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ham1\Desktop\Dougs Office by due date\2 Corn\Corn 2023\Testing\"/>
    </mc:Choice>
  </mc:AlternateContent>
  <xr:revisionPtr revIDLastSave="0" documentId="13_ncr:1_{446411CD-D180-422A-BB2D-9B4261B374A7}" xr6:coauthVersionLast="47" xr6:coauthVersionMax="47" xr10:uidLastSave="{00000000-0000-0000-0000-000000000000}"/>
  <bookViews>
    <workbookView xWindow="10104" yWindow="840" windowWidth="17976" windowHeight="15720" activeTab="2" xr2:uid="{00000000-000D-0000-FFFF-FFFF00000000}"/>
  </bookViews>
  <sheets>
    <sheet name="Summary-Contracts" sheetId="1" r:id="rId1"/>
    <sheet name="SS" sheetId="7" r:id="rId2"/>
    <sheet name="Transaction Entry" sheetId="2" r:id="rId3"/>
    <sheet name="Production-Inventory" sheetId="4" r:id="rId4"/>
    <sheet name="Insurance" sheetId="5" r:id="rId5"/>
    <sheet name="Drop Lists" sheetId="6" state="hidden" r:id="rId6"/>
    <sheet name="backup" sheetId="3" state="hidden" r:id="rId7"/>
  </sheets>
  <definedNames>
    <definedName name="_xlnm._FilterDatabase" localSheetId="0" hidden="1">'Summary-Contracts'!$G$6:$G$10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2X1eFPhicZUQ88JeCtzkbotlmRn9he3GYJPmW6QFBKQ="/>
    </ext>
  </extLst>
</workbook>
</file>

<file path=xl/calcChain.xml><?xml version="1.0" encoding="utf-8"?>
<calcChain xmlns="http://schemas.openxmlformats.org/spreadsheetml/2006/main">
  <c r="C21" i="4" l="1"/>
  <c r="D21" i="4"/>
  <c r="E21" i="4"/>
  <c r="F21" i="4"/>
  <c r="G21" i="4"/>
  <c r="H21" i="4"/>
  <c r="I21" i="4"/>
  <c r="J21" i="4"/>
  <c r="D32" i="4"/>
  <c r="E32" i="4"/>
  <c r="F32" i="4"/>
  <c r="C22" i="4"/>
  <c r="D22" i="4"/>
  <c r="E22" i="4"/>
  <c r="F22" i="4"/>
  <c r="G22" i="4"/>
  <c r="H22" i="4"/>
  <c r="I22" i="4"/>
  <c r="J22" i="4"/>
  <c r="D33" i="4"/>
  <c r="E33" i="4"/>
  <c r="F33" i="4"/>
  <c r="C23" i="4"/>
  <c r="D23" i="4"/>
  <c r="E23" i="4"/>
  <c r="F23" i="4"/>
  <c r="G23" i="4"/>
  <c r="H23" i="4"/>
  <c r="I23" i="4"/>
  <c r="J23" i="4"/>
  <c r="D34" i="4"/>
  <c r="E34" i="4"/>
  <c r="F34" i="4"/>
  <c r="C24" i="4"/>
  <c r="D24" i="4"/>
  <c r="E24" i="4"/>
  <c r="F24" i="4"/>
  <c r="G24" i="4"/>
  <c r="H24" i="4"/>
  <c r="I24" i="4"/>
  <c r="J24" i="4"/>
  <c r="D35" i="4"/>
  <c r="E35" i="4"/>
  <c r="F35" i="4"/>
  <c r="C25" i="4"/>
  <c r="D25" i="4"/>
  <c r="E25" i="4"/>
  <c r="F25" i="4"/>
  <c r="G25" i="4"/>
  <c r="H25" i="4"/>
  <c r="I25" i="4"/>
  <c r="J25" i="4"/>
  <c r="D36" i="4"/>
  <c r="E36" i="4"/>
  <c r="F36" i="4"/>
  <c r="C26" i="4"/>
  <c r="D26" i="4"/>
  <c r="E26" i="4"/>
  <c r="F26" i="4"/>
  <c r="G26" i="4"/>
  <c r="H26" i="4"/>
  <c r="I26" i="4"/>
  <c r="J26" i="4"/>
  <c r="D37" i="4"/>
  <c r="E37" i="4"/>
  <c r="F37" i="4"/>
  <c r="C27" i="4"/>
  <c r="D27" i="4"/>
  <c r="E27" i="4"/>
  <c r="F27" i="4"/>
  <c r="G27" i="4"/>
  <c r="H27" i="4"/>
  <c r="I27" i="4"/>
  <c r="J27" i="4"/>
  <c r="D38" i="4"/>
  <c r="E38" i="4"/>
  <c r="F38" i="4"/>
  <c r="F39" i="4"/>
  <c r="B5" i="1"/>
  <c r="F10" i="2"/>
  <c r="F11" i="2"/>
  <c r="F12" i="2"/>
  <c r="F13" i="2"/>
  <c r="F14" i="2"/>
  <c r="F15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C16" i="1" a="1"/>
  <c r="C16" i="1"/>
  <c r="B16" i="1"/>
  <c r="D16" i="1"/>
  <c r="C15" i="1" a="1"/>
  <c r="C15" i="1"/>
  <c r="B15" i="1"/>
  <c r="D15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B14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C14" i="1"/>
  <c r="D14" i="1"/>
  <c r="D13" i="1"/>
  <c r="C6" i="4"/>
  <c r="D6" i="4"/>
  <c r="E6" i="4"/>
  <c r="F6" i="4"/>
  <c r="G6" i="4"/>
  <c r="H6" i="4"/>
  <c r="I6" i="4"/>
  <c r="J6" i="4"/>
  <c r="B6" i="4"/>
  <c r="B9" i="1"/>
  <c r="B7" i="1"/>
  <c r="C7" i="1"/>
  <c r="D7" i="1"/>
  <c r="D10" i="1"/>
  <c r="C9" i="1"/>
  <c r="D9" i="1"/>
  <c r="D8" i="7"/>
  <c r="D9" i="7"/>
  <c r="D10" i="7"/>
  <c r="D11" i="7"/>
  <c r="D12" i="7"/>
  <c r="D13" i="7"/>
  <c r="D14" i="7"/>
  <c r="D15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4" i="7"/>
  <c r="B8" i="1"/>
  <c r="C8" i="1"/>
  <c r="D8" i="1"/>
  <c r="B4" i="1"/>
  <c r="J18" i="5"/>
  <c r="I18" i="5"/>
  <c r="H18" i="5"/>
  <c r="G18" i="5"/>
  <c r="F18" i="5"/>
  <c r="E18" i="5"/>
  <c r="D18" i="5"/>
  <c r="C18" i="5"/>
  <c r="C4" i="1"/>
  <c r="G30" i="1"/>
  <c r="N30" i="1"/>
  <c r="G31" i="1"/>
  <c r="N31" i="1"/>
  <c r="G32" i="1"/>
  <c r="N32" i="1"/>
  <c r="G33" i="1"/>
  <c r="N33" i="1"/>
  <c r="G34" i="1"/>
  <c r="N34" i="1"/>
  <c r="G35" i="1"/>
  <c r="N35" i="1"/>
  <c r="G36" i="1"/>
  <c r="N36" i="1"/>
  <c r="G37" i="1"/>
  <c r="G38" i="1"/>
  <c r="N38" i="1"/>
  <c r="G39" i="1"/>
  <c r="N39" i="1"/>
  <c r="G40" i="1"/>
  <c r="N40" i="1"/>
  <c r="G41" i="1"/>
  <c r="N41" i="1"/>
  <c r="G42" i="1"/>
  <c r="N42" i="1"/>
  <c r="G43" i="1"/>
  <c r="N43" i="1"/>
  <c r="G44" i="1"/>
  <c r="N44" i="1"/>
  <c r="G45" i="1"/>
  <c r="N45" i="1"/>
  <c r="G46" i="1"/>
  <c r="N46" i="1"/>
  <c r="G47" i="1"/>
  <c r="N47" i="1"/>
  <c r="G48" i="1"/>
  <c r="N48" i="1"/>
  <c r="G49" i="1"/>
  <c r="N49" i="1"/>
  <c r="G50" i="1"/>
  <c r="N50" i="1"/>
  <c r="G51" i="1"/>
  <c r="N51" i="1"/>
  <c r="G52" i="1"/>
  <c r="N52" i="1"/>
  <c r="G53" i="1"/>
  <c r="N53" i="1"/>
  <c r="G54" i="1"/>
  <c r="N54" i="1"/>
  <c r="G55" i="1"/>
  <c r="N55" i="1"/>
  <c r="G56" i="1"/>
  <c r="N56" i="1"/>
  <c r="G57" i="1"/>
  <c r="N57" i="1"/>
  <c r="G58" i="1"/>
  <c r="N58" i="1"/>
  <c r="G59" i="1"/>
  <c r="N59" i="1"/>
  <c r="G60" i="1"/>
  <c r="N60" i="1"/>
  <c r="G61" i="1"/>
  <c r="N61" i="1"/>
  <c r="G62" i="1"/>
  <c r="N62" i="1"/>
  <c r="G63" i="1"/>
  <c r="N63" i="1"/>
  <c r="E44" i="7"/>
  <c r="C22" i="1" a="1"/>
  <c r="C22" i="1"/>
  <c r="C23" i="1"/>
  <c r="C25" i="1"/>
  <c r="B23" i="1"/>
  <c r="D23" i="1"/>
  <c r="K35" i="1"/>
  <c r="K30" i="1"/>
  <c r="K31" i="1"/>
  <c r="K32" i="1"/>
  <c r="K33" i="1"/>
  <c r="K34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B21" i="1"/>
  <c r="C21" i="1" a="1"/>
  <c r="C21" i="1"/>
  <c r="D21" i="1"/>
  <c r="H64" i="1"/>
  <c r="B20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C20" i="1"/>
  <c r="D20" i="1"/>
  <c r="B22" i="1"/>
  <c r="D22" i="1"/>
  <c r="F16" i="7"/>
  <c r="I44" i="7"/>
  <c r="H44" i="7"/>
  <c r="G11" i="7"/>
  <c r="G44" i="7"/>
  <c r="F10" i="7"/>
  <c r="F12" i="7"/>
  <c r="F44" i="7"/>
  <c r="K43" i="7"/>
  <c r="K42" i="7"/>
  <c r="K41" i="7"/>
  <c r="J41" i="7"/>
  <c r="K40" i="7"/>
  <c r="J40" i="7"/>
  <c r="K39" i="7"/>
  <c r="J39" i="7"/>
  <c r="K38" i="7"/>
  <c r="J38" i="7"/>
  <c r="K37" i="7"/>
  <c r="J37" i="7"/>
  <c r="K36" i="7"/>
  <c r="J36" i="7"/>
  <c r="K35" i="7"/>
  <c r="J35" i="7"/>
  <c r="K34" i="7"/>
  <c r="J34" i="7"/>
  <c r="K33" i="7"/>
  <c r="J33" i="7"/>
  <c r="K32" i="7"/>
  <c r="J32" i="7"/>
  <c r="K31" i="7"/>
  <c r="J31" i="7"/>
  <c r="K30" i="7"/>
  <c r="J30" i="7"/>
  <c r="K29" i="7"/>
  <c r="J29" i="7"/>
  <c r="K28" i="7"/>
  <c r="J28" i="7"/>
  <c r="K27" i="7"/>
  <c r="J27" i="7"/>
  <c r="K16" i="7"/>
  <c r="J16" i="7"/>
  <c r="K12" i="7"/>
  <c r="J12" i="7"/>
  <c r="K11" i="7"/>
  <c r="J11" i="7"/>
  <c r="K10" i="7"/>
  <c r="J10" i="7"/>
  <c r="K26" i="7"/>
  <c r="J26" i="7"/>
  <c r="K25" i="7"/>
  <c r="J25" i="7"/>
  <c r="K24" i="7"/>
  <c r="J24" i="7"/>
  <c r="K23" i="7"/>
  <c r="J23" i="7"/>
  <c r="K9" i="7"/>
  <c r="J9" i="7"/>
  <c r="K8" i="7"/>
  <c r="J8" i="7"/>
  <c r="K15" i="7"/>
  <c r="J15" i="7"/>
  <c r="K14" i="7"/>
  <c r="J14" i="7"/>
  <c r="K13" i="7"/>
  <c r="K22" i="7"/>
  <c r="J22" i="7"/>
  <c r="K21" i="7"/>
  <c r="J21" i="7"/>
  <c r="K20" i="7"/>
  <c r="J20" i="7"/>
  <c r="K19" i="7"/>
  <c r="J19" i="7"/>
  <c r="K18" i="7"/>
  <c r="J18" i="7"/>
  <c r="K17" i="7"/>
  <c r="J17" i="7"/>
  <c r="A26" i="1"/>
  <c r="N64" i="1"/>
  <c r="B13" i="1"/>
  <c r="G32" i="4"/>
  <c r="G33" i="4"/>
  <c r="G34" i="4"/>
  <c r="G35" i="4"/>
  <c r="G36" i="4"/>
  <c r="G37" i="4"/>
  <c r="G38" i="4"/>
  <c r="G39" i="4"/>
  <c r="B6" i="1"/>
  <c r="C13" i="1"/>
  <c r="N29" i="1"/>
  <c r="B25" i="1"/>
  <c r="C22" i="5"/>
  <c r="C29" i="5"/>
  <c r="C30" i="5"/>
  <c r="C31" i="5"/>
  <c r="C24" i="5"/>
  <c r="C25" i="5"/>
  <c r="C33" i="5"/>
  <c r="C35" i="5"/>
  <c r="D22" i="5"/>
  <c r="D29" i="5"/>
  <c r="D30" i="5"/>
  <c r="B10" i="5"/>
  <c r="D31" i="5"/>
  <c r="D24" i="5"/>
  <c r="D25" i="5"/>
  <c r="D33" i="5"/>
  <c r="D35" i="5"/>
  <c r="E22" i="5"/>
  <c r="E29" i="5"/>
  <c r="E30" i="5"/>
  <c r="E31" i="5"/>
  <c r="E24" i="5"/>
  <c r="E25" i="5"/>
  <c r="E33" i="5"/>
  <c r="E35" i="5"/>
  <c r="F22" i="5"/>
  <c r="F29" i="5"/>
  <c r="F30" i="5"/>
  <c r="F31" i="5"/>
  <c r="F24" i="5"/>
  <c r="F25" i="5"/>
  <c r="F33" i="5"/>
  <c r="F35" i="5"/>
  <c r="G22" i="5"/>
  <c r="G29" i="5"/>
  <c r="G30" i="5"/>
  <c r="G31" i="5"/>
  <c r="G24" i="5"/>
  <c r="G25" i="5"/>
  <c r="G33" i="5"/>
  <c r="G35" i="5"/>
  <c r="H22" i="5"/>
  <c r="H30" i="5"/>
  <c r="H31" i="5"/>
  <c r="H24" i="5"/>
  <c r="H25" i="5"/>
  <c r="H33" i="5"/>
  <c r="H35" i="5"/>
  <c r="I22" i="5"/>
  <c r="I29" i="5"/>
  <c r="I30" i="5"/>
  <c r="I31" i="5"/>
  <c r="I24" i="5"/>
  <c r="I25" i="5"/>
  <c r="I33" i="5"/>
  <c r="I35" i="5"/>
  <c r="J22" i="5"/>
  <c r="J29" i="5"/>
  <c r="J30" i="5"/>
  <c r="J31" i="5"/>
  <c r="J24" i="5"/>
  <c r="J25" i="5"/>
  <c r="J33" i="5"/>
  <c r="J35" i="5"/>
  <c r="C11" i="1"/>
  <c r="C10" i="1"/>
  <c r="B10" i="1"/>
  <c r="A27" i="1"/>
  <c r="D25" i="1"/>
  <c r="M36" i="1"/>
  <c r="M37" i="1"/>
  <c r="M38" i="1"/>
  <c r="M39" i="1"/>
  <c r="M40" i="1"/>
  <c r="M41" i="1"/>
  <c r="M42" i="1"/>
  <c r="M43" i="1"/>
  <c r="M34" i="1"/>
  <c r="M30" i="1"/>
  <c r="M31" i="1"/>
  <c r="M35" i="1"/>
  <c r="M44" i="1"/>
  <c r="M45" i="1"/>
  <c r="M32" i="1"/>
  <c r="M33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G64" i="1"/>
  <c r="F64" i="1"/>
  <c r="G9" i="4"/>
  <c r="C174" i="6"/>
  <c r="C175" i="6"/>
  <c r="C166" i="6"/>
  <c r="C159" i="6"/>
  <c r="C161" i="6"/>
  <c r="C158" i="6"/>
  <c r="C157" i="6"/>
  <c r="B150" i="6"/>
  <c r="B149" i="6"/>
  <c r="C160" i="6"/>
  <c r="B148" i="6"/>
  <c r="J12" i="6"/>
  <c r="J13" i="6"/>
  <c r="J14" i="6"/>
  <c r="J15" i="6"/>
  <c r="J5" i="6"/>
  <c r="J6" i="6"/>
  <c r="J7" i="6"/>
  <c r="J8" i="6"/>
  <c r="I26" i="5"/>
  <c r="G26" i="5"/>
  <c r="F26" i="5"/>
  <c r="E27" i="5"/>
  <c r="D27" i="5"/>
  <c r="C27" i="5"/>
  <c r="J21" i="5"/>
  <c r="I21" i="5"/>
  <c r="H21" i="5"/>
  <c r="G21" i="5"/>
  <c r="F21" i="5"/>
  <c r="E21" i="5"/>
  <c r="D21" i="5"/>
  <c r="C21" i="5"/>
  <c r="J20" i="5"/>
  <c r="I20" i="5"/>
  <c r="H20" i="5"/>
  <c r="G20" i="5"/>
  <c r="F20" i="5"/>
  <c r="E20" i="5"/>
  <c r="D20" i="5"/>
  <c r="C20" i="5"/>
  <c r="J14" i="5"/>
  <c r="I14" i="5"/>
  <c r="H14" i="5"/>
  <c r="G14" i="5"/>
  <c r="F14" i="5"/>
  <c r="E14" i="5"/>
  <c r="D14" i="5"/>
  <c r="C14" i="5"/>
  <c r="B12" i="5"/>
  <c r="B11" i="5"/>
  <c r="E26" i="5"/>
  <c r="C38" i="4"/>
  <c r="C37" i="4"/>
  <c r="C36" i="4"/>
  <c r="C35" i="4"/>
  <c r="C34" i="4"/>
  <c r="C33" i="4"/>
  <c r="C32" i="4"/>
  <c r="J14" i="4"/>
  <c r="E14" i="4"/>
  <c r="J13" i="4"/>
  <c r="I13" i="4"/>
  <c r="I14" i="4"/>
  <c r="H13" i="4"/>
  <c r="H14" i="4"/>
  <c r="G13" i="4"/>
  <c r="G14" i="4"/>
  <c r="F13" i="4"/>
  <c r="E13" i="4"/>
  <c r="D13" i="4"/>
  <c r="D14" i="4"/>
  <c r="C13" i="4"/>
  <c r="C14" i="4"/>
  <c r="B12" i="4"/>
  <c r="J9" i="4"/>
  <c r="H9" i="4"/>
  <c r="F9" i="4"/>
  <c r="E9" i="4"/>
  <c r="C9" i="4"/>
  <c r="B7" i="4"/>
  <c r="J15" i="4"/>
  <c r="H15" i="4"/>
  <c r="G15" i="4"/>
  <c r="E15" i="4"/>
  <c r="D8" i="4"/>
  <c r="C8" i="4"/>
  <c r="J5" i="4"/>
  <c r="I5" i="4"/>
  <c r="H5" i="4"/>
  <c r="G5" i="4"/>
  <c r="F5" i="4"/>
  <c r="E5" i="4"/>
  <c r="D5" i="4"/>
  <c r="C5" i="4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Q163" i="1"/>
  <c r="I163" i="1"/>
  <c r="Q162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33" i="1"/>
  <c r="I32" i="1"/>
  <c r="I45" i="1"/>
  <c r="I44" i="1"/>
  <c r="I35" i="1"/>
  <c r="I31" i="1"/>
  <c r="I30" i="1"/>
  <c r="I34" i="1"/>
  <c r="I43" i="1"/>
  <c r="I42" i="1"/>
  <c r="I41" i="1"/>
  <c r="I40" i="1"/>
  <c r="I39" i="1"/>
  <c r="I38" i="1"/>
  <c r="I37" i="1"/>
  <c r="I36" i="1"/>
  <c r="J34" i="5"/>
  <c r="I64" i="1"/>
  <c r="J26" i="5"/>
  <c r="C32" i="5"/>
  <c r="H27" i="5"/>
  <c r="E23" i="5"/>
  <c r="I27" i="5"/>
  <c r="H8" i="4"/>
  <c r="I9" i="4"/>
  <c r="D9" i="4"/>
  <c r="E39" i="4"/>
  <c r="J8" i="4"/>
  <c r="D15" i="4"/>
  <c r="E8" i="4"/>
  <c r="G8" i="4"/>
  <c r="H34" i="4"/>
  <c r="H36" i="4"/>
  <c r="H38" i="4"/>
  <c r="I8" i="4"/>
  <c r="I15" i="4"/>
  <c r="F23" i="5"/>
  <c r="G23" i="5"/>
  <c r="G27" i="5"/>
  <c r="F14" i="4"/>
  <c r="B13" i="4"/>
  <c r="B14" i="4"/>
  <c r="F27" i="5"/>
  <c r="B15" i="4"/>
  <c r="F34" i="5"/>
  <c r="C162" i="6"/>
  <c r="G34" i="5"/>
  <c r="H32" i="5"/>
  <c r="J36" i="5"/>
  <c r="J27" i="5"/>
  <c r="J32" i="5"/>
  <c r="C165" i="6"/>
  <c r="C164" i="6"/>
  <c r="F15" i="4"/>
  <c r="F8" i="4"/>
  <c r="J23" i="5"/>
  <c r="C176" i="6"/>
  <c r="H23" i="5"/>
  <c r="H34" i="5"/>
  <c r="H26" i="5"/>
  <c r="C15" i="4"/>
  <c r="I23" i="5"/>
  <c r="I34" i="5"/>
  <c r="C23" i="5"/>
  <c r="C26" i="5"/>
  <c r="D23" i="5"/>
  <c r="D26" i="5"/>
  <c r="E34" i="5"/>
  <c r="D34" i="5"/>
  <c r="F36" i="5"/>
  <c r="F32" i="5"/>
  <c r="I32" i="5"/>
  <c r="I36" i="5"/>
  <c r="H37" i="4"/>
  <c r="H35" i="4"/>
  <c r="D39" i="4"/>
  <c r="D36" i="5"/>
  <c r="D32" i="5"/>
  <c r="K31" i="5"/>
  <c r="H33" i="4"/>
  <c r="H36" i="5"/>
  <c r="G36" i="5"/>
  <c r="G32" i="5"/>
  <c r="H32" i="4"/>
  <c r="E32" i="5"/>
  <c r="E36" i="5"/>
  <c r="C170" i="6"/>
  <c r="C171" i="6"/>
  <c r="C163" i="6"/>
  <c r="B8" i="4"/>
  <c r="H39" i="4"/>
  <c r="C177" i="6"/>
  <c r="C172" i="6"/>
  <c r="C173" i="6"/>
  <c r="C34" i="5"/>
  <c r="K33" i="5"/>
  <c r="C36" i="5"/>
  <c r="K36" i="5"/>
  <c r="K35" i="5"/>
  <c r="C178" i="6"/>
  <c r="C179" i="6"/>
  <c r="C18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<sst xmlns="http://schemas.openxmlformats.org/spreadsheetml/2006/main" count="680" uniqueCount="202">
  <si>
    <t>Corn Sales 2023</t>
  </si>
  <si>
    <t>Market Price</t>
  </si>
  <si>
    <t>Doc Links</t>
  </si>
  <si>
    <t>Beginning Bin Inv</t>
  </si>
  <si>
    <t>SS Sheets</t>
  </si>
  <si>
    <t>Corn Left in Bins</t>
  </si>
  <si>
    <t>Ave Price</t>
  </si>
  <si>
    <t>Contracts</t>
  </si>
  <si>
    <t>Shipping Docs</t>
  </si>
  <si>
    <t>Total Production</t>
  </si>
  <si>
    <t>Spring Ins. Guar.</t>
  </si>
  <si>
    <t>Insurance Payouts</t>
  </si>
  <si>
    <t>Contracted</t>
  </si>
  <si>
    <t>Total Shipped</t>
  </si>
  <si>
    <t>Shipped Field</t>
  </si>
  <si>
    <t>Shipped Bins</t>
  </si>
  <si>
    <t>Select Buyer --&gt;</t>
  </si>
  <si>
    <t>ALL</t>
  </si>
  <si>
    <t>2 Shipped Unpaid</t>
  </si>
  <si>
    <t>3 Settled/Paid</t>
  </si>
  <si>
    <t>Buyer  Total</t>
  </si>
  <si>
    <t>O</t>
  </si>
  <si>
    <t>Actual Other</t>
  </si>
  <si>
    <t>Calculated</t>
  </si>
  <si>
    <t>A</t>
  </si>
  <si>
    <t>Debit/Credit</t>
  </si>
  <si>
    <t>Paid/Owed</t>
  </si>
  <si>
    <t>By Contract</t>
  </si>
  <si>
    <t>D</t>
  </si>
  <si>
    <t>Bushels</t>
  </si>
  <si>
    <t>From SS</t>
  </si>
  <si>
    <t>with Chkoff</t>
  </si>
  <si>
    <t>Date</t>
  </si>
  <si>
    <t>Buyer</t>
  </si>
  <si>
    <t>Contract</t>
  </si>
  <si>
    <t>Delivery</t>
  </si>
  <si>
    <t>Price</t>
  </si>
  <si>
    <t>BOL Detail</t>
  </si>
  <si>
    <t>S</t>
  </si>
  <si>
    <t>Over/Under</t>
  </si>
  <si>
    <t>Checkoff</t>
  </si>
  <si>
    <t>+Other D/C</t>
  </si>
  <si>
    <t>WP</t>
  </si>
  <si>
    <t>Ken</t>
  </si>
  <si>
    <t>CAP</t>
  </si>
  <si>
    <t>CCS0202997</t>
  </si>
  <si>
    <t>CCS0202996</t>
  </si>
  <si>
    <t>Text 4.4.2024</t>
  </si>
  <si>
    <t>CCS0203207</t>
  </si>
  <si>
    <t>CCS0203208</t>
  </si>
  <si>
    <t xml:space="preserve"> </t>
  </si>
  <si>
    <t>Totals</t>
  </si>
  <si>
    <t>By Settlement Sheet</t>
  </si>
  <si>
    <t>Total Bu per</t>
  </si>
  <si>
    <t>Actual Total</t>
  </si>
  <si>
    <t>Actual Corn</t>
  </si>
  <si>
    <t>Average Price</t>
  </si>
  <si>
    <t>SS</t>
  </si>
  <si>
    <t>$ Paid</t>
  </si>
  <si>
    <t>Calcltd $/bu</t>
  </si>
  <si>
    <t>each SS</t>
  </si>
  <si>
    <t>CCS0404328</t>
  </si>
  <si>
    <t>CCS0404329</t>
  </si>
  <si>
    <t>Transaction</t>
  </si>
  <si>
    <t>Detail</t>
  </si>
  <si>
    <t>All Entries go here</t>
  </si>
  <si>
    <t>&lt;----Estimated Bushels BOL</t>
  </si>
  <si>
    <t xml:space="preserve">D - Doug  </t>
  </si>
  <si>
    <t>Shipped</t>
  </si>
  <si>
    <t>Ticket</t>
  </si>
  <si>
    <t>F - Ficken</t>
  </si>
  <si>
    <t>Count</t>
  </si>
  <si>
    <t>Field or Bin</t>
  </si>
  <si>
    <t>Load Date</t>
  </si>
  <si>
    <t>BOL</t>
  </si>
  <si>
    <t>Contract #</t>
  </si>
  <si>
    <t>Settle #</t>
  </si>
  <si>
    <t>Applied</t>
  </si>
  <si>
    <t>Truck</t>
  </si>
  <si>
    <t>Moisture</t>
  </si>
  <si>
    <t>Field</t>
  </si>
  <si>
    <t>Bin #</t>
  </si>
  <si>
    <t>Young #2</t>
  </si>
  <si>
    <t>Tower</t>
  </si>
  <si>
    <t>West Youngs</t>
  </si>
  <si>
    <t>HBF</t>
  </si>
  <si>
    <t>East Youngs</t>
  </si>
  <si>
    <t>WTB</t>
  </si>
  <si>
    <t>Grady</t>
  </si>
  <si>
    <t>Bin D 2</t>
  </si>
  <si>
    <t>White</t>
  </si>
  <si>
    <t>Red</t>
  </si>
  <si>
    <t>Bin D 3</t>
  </si>
  <si>
    <t>Bin D 4</t>
  </si>
  <si>
    <t xml:space="preserve">Bin M </t>
  </si>
  <si>
    <t>Switzer</t>
  </si>
  <si>
    <t>Spanjer</t>
  </si>
  <si>
    <t>Dads</t>
  </si>
  <si>
    <t>Bin F 5</t>
  </si>
  <si>
    <t>Bin</t>
  </si>
  <si>
    <t xml:space="preserve">Production </t>
  </si>
  <si>
    <t>Total</t>
  </si>
  <si>
    <t>Acres</t>
  </si>
  <si>
    <t>Yield</t>
  </si>
  <si>
    <t>Combine data</t>
  </si>
  <si>
    <t>Percent diff</t>
  </si>
  <si>
    <t>Inventory-On Farm</t>
  </si>
  <si>
    <t>Bin Msrmnts</t>
  </si>
  <si>
    <t>Measured</t>
  </si>
  <si>
    <t>Bin D 1</t>
  </si>
  <si>
    <t>Bin D 5</t>
  </si>
  <si>
    <t>Bin D 6</t>
  </si>
  <si>
    <t>Weighed in</t>
  </si>
  <si>
    <t>Bin Totals</t>
  </si>
  <si>
    <t>Remaining</t>
  </si>
  <si>
    <t>Insurance Info Resource 1</t>
  </si>
  <si>
    <t>Proof of Yield</t>
  </si>
  <si>
    <t>Insurance Info Resource 2</t>
  </si>
  <si>
    <t>RICS Wrksht</t>
  </si>
  <si>
    <t>RP=Rev Protection</t>
  </si>
  <si>
    <t>RICS Final</t>
  </si>
  <si>
    <t>YP=Yield Protection</t>
  </si>
  <si>
    <t>RCIS Loss Checks</t>
  </si>
  <si>
    <t>Harvest Report</t>
  </si>
  <si>
    <t>Projected Price</t>
  </si>
  <si>
    <t>Harvest Price</t>
  </si>
  <si>
    <t>Paid Price</t>
  </si>
  <si>
    <t>Trigger %</t>
  </si>
  <si>
    <t>RP Amount</t>
  </si>
  <si>
    <t>Tract #</t>
  </si>
  <si>
    <t>Share</t>
  </si>
  <si>
    <t>APPR/APH</t>
  </si>
  <si>
    <t>Coverage Level</t>
  </si>
  <si>
    <t xml:space="preserve">Guarantee Bu/a. </t>
  </si>
  <si>
    <t>Guarantee Rev/a Spring</t>
  </si>
  <si>
    <t>Guarantee Bu.</t>
  </si>
  <si>
    <t>Trigger Bu</t>
  </si>
  <si>
    <t>Guarantee Revenue Spring</t>
  </si>
  <si>
    <t>Fall Revenue Hrvst price RP</t>
  </si>
  <si>
    <t>Guarantee Rev/a. Fall</t>
  </si>
  <si>
    <t>Adjsted liability RP</t>
  </si>
  <si>
    <t>RCIS determined Yield/a. Fall</t>
  </si>
  <si>
    <t>RCIS determined Prod Bu Fall</t>
  </si>
  <si>
    <t>Bushel Diff</t>
  </si>
  <si>
    <t>RCIS determined Loss YP</t>
  </si>
  <si>
    <t>YP Loss by Share</t>
  </si>
  <si>
    <t>RCIS determined Loss RP</t>
  </si>
  <si>
    <t>RP Loss By Share</t>
  </si>
  <si>
    <t>Total Actual Paid</t>
  </si>
  <si>
    <t>Ins. Chks &amp; Detail by Shares Link</t>
  </si>
  <si>
    <t>2023 Drop Lists</t>
  </si>
  <si>
    <t>West Plains</t>
  </si>
  <si>
    <t>#rings</t>
  </si>
  <si>
    <t>Colo Agri Products</t>
  </si>
  <si>
    <t>Weighed to Bin</t>
  </si>
  <si>
    <t>bu/ring</t>
  </si>
  <si>
    <t>Creekside</t>
  </si>
  <si>
    <r>
      <rPr>
        <sz val="10"/>
        <color theme="1"/>
        <rFont val="Arial"/>
        <family val="2"/>
      </rPr>
      <t xml:space="preserve">Bin M </t>
    </r>
  </si>
  <si>
    <t>Bin Measurement</t>
  </si>
  <si>
    <t>less floor</t>
  </si>
  <si>
    <t>Full Bin</t>
  </si>
  <si>
    <t>Down 1/2 ring</t>
  </si>
  <si>
    <t>Normal full</t>
  </si>
  <si>
    <t>Bin 2</t>
  </si>
  <si>
    <t>Bin 3</t>
  </si>
  <si>
    <t>Bin 4</t>
  </si>
  <si>
    <t>`</t>
  </si>
  <si>
    <t>Dads Bin</t>
  </si>
  <si>
    <t>RP formula using IF() "=IF($B$149=0, 0, IF(H164&lt;=H159, IF(H166=0, H162-(H164*$B$146), ($B$147-$B$146)*H164), IF(H166=0, 0, ($B$147-$B$146)*H164)))</t>
  </si>
  <si>
    <t>RP Prod Revenue</t>
  </si>
  <si>
    <t>total rp</t>
  </si>
  <si>
    <t>Highlighted are</t>
  </si>
  <si>
    <t>Duplicates</t>
  </si>
  <si>
    <t>CCS0404395</t>
  </si>
  <si>
    <t>CCS0404397</t>
  </si>
  <si>
    <r>
      <t xml:space="preserve">1 </t>
    </r>
    <r>
      <rPr>
        <b/>
        <sz val="10"/>
        <color theme="5"/>
        <rFont val="Arial"/>
        <family val="2"/>
      </rPr>
      <t>Unfilled</t>
    </r>
    <r>
      <rPr>
        <b/>
        <sz val="10"/>
        <color theme="1"/>
        <rFont val="Arial"/>
        <family val="2"/>
      </rPr>
      <t xml:space="preserve">/Overfilled </t>
    </r>
  </si>
  <si>
    <t xml:space="preserve">Production-Inventory </t>
  </si>
  <si>
    <t>Crop Insurance</t>
  </si>
  <si>
    <t>Receivables</t>
  </si>
  <si>
    <t>Remaining Unsold</t>
  </si>
  <si>
    <t>L</t>
  </si>
  <si>
    <t>Value</t>
  </si>
  <si>
    <t>Extracted</t>
  </si>
  <si>
    <t>of Contract</t>
  </si>
  <si>
    <t>Less</t>
  </si>
  <si>
    <t>from</t>
  </si>
  <si>
    <t xml:space="preserve"> Arrow</t>
  </si>
  <si>
    <t>DK</t>
  </si>
  <si>
    <t>head</t>
  </si>
  <si>
    <t>Total Contracts</t>
  </si>
  <si>
    <t>CCS0404403</t>
  </si>
  <si>
    <t>Settlement Sheets</t>
  </si>
  <si>
    <t>Equip</t>
  </si>
  <si>
    <t>E</t>
  </si>
  <si>
    <t>T</t>
  </si>
  <si>
    <t>Y</t>
  </si>
  <si>
    <t>N</t>
  </si>
  <si>
    <t>Transaction Entry</t>
  </si>
  <si>
    <t>SS from Ken are always entered using check number</t>
  </si>
  <si>
    <t>SUMIF(SS!B8:B43,B18,SS!E8:E43)</t>
  </si>
  <si>
    <t>Projected Prod. Bu.</t>
  </si>
  <si>
    <t>Projected Prod.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</si>
</sst>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#,##0.000"/>
    <numFmt numFmtId="165" formatCode="&quot;$&quot;#,##0.00"/>
    <numFmt numFmtId="166" formatCode="#,##0;[Red]#,##0"/>
    <numFmt numFmtId="167" formatCode="&quot;$&quot;#,##0.00;[Red]&quot;$&quot;#,##0.00"/>
    <numFmt numFmtId="168" formatCode="#,##0.00;[Red]#,##0.00"/>
    <numFmt numFmtId="169" formatCode="&quot;$&quot;#,##0.0000"/>
    <numFmt numFmtId="170" formatCode="&quot;$&quot;#,##0"/>
    <numFmt numFmtId="171" formatCode="0.0"/>
    <numFmt numFmtId="172" formatCode="#,##0.0"/>
    <numFmt numFmtId="173" formatCode="0.0%"/>
    <numFmt numFmtId="174" formatCode="&quot;$&quot;#,##0;[Red]&quot;$&quot;#,##0"/>
    <numFmt numFmtId="175" formatCode="0.0000"/>
    <numFmt numFmtId="176" formatCode="mm/dd/yy"/>
    <numFmt numFmtId="177" formatCode="0,000.0;;;"/>
    <numFmt numFmtId="178" formatCode="0.00000"/>
  </numFmts>
  <fonts count="20" x14ac:knownFonts="1">
    <font>
      <sz val="10"/>
      <color rgb="FF000000"/>
      <name val="Arial"/>
      <scheme val="minor"/>
    </font>
    <font>
      <b/>
      <sz val="14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b/>
      <sz val="10"/>
      <color rgb="FF0A0101"/>
      <name val="Arial"/>
      <family val="2"/>
    </font>
    <font>
      <sz val="10"/>
      <color rgb="FFFF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7"/>
      <color theme="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u/>
      <sz val="10"/>
      <color rgb="FF0000FF"/>
      <name val="Arial"/>
      <family val="2"/>
    </font>
    <font>
      <sz val="8"/>
      <color rgb="FFFFFFFF"/>
      <name val="Courier New"/>
      <family val="3"/>
    </font>
    <font>
      <sz val="10"/>
      <color rgb="FF0D0D0D"/>
      <name val="Quattrocento Sans"/>
      <family val="2"/>
    </font>
    <font>
      <u/>
      <sz val="10"/>
      <color theme="10"/>
      <name val="Arial"/>
      <family val="2"/>
      <scheme val="minor"/>
    </font>
    <font>
      <b/>
      <sz val="10"/>
      <color theme="5"/>
      <name val="Arial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DAEEF3"/>
        <bgColor rgb="FFDAEEF3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rgb="FF000000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67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4" fontId="3" fillId="2" borderId="1" xfId="0" applyNumberFormat="1" applyFont="1" applyFill="1" applyBorder="1"/>
    <xf numFmtId="1" fontId="4" fillId="0" borderId="0" xfId="0" applyNumberFormat="1" applyFont="1"/>
    <xf numFmtId="0" fontId="3" fillId="4" borderId="1" xfId="0" applyFont="1" applyFill="1" applyBorder="1"/>
    <xf numFmtId="3" fontId="2" fillId="4" borderId="1" xfId="0" applyNumberFormat="1" applyFont="1" applyFill="1" applyBorder="1"/>
    <xf numFmtId="165" fontId="2" fillId="0" borderId="0" xfId="0" applyNumberFormat="1" applyFont="1"/>
    <xf numFmtId="0" fontId="5" fillId="0" borderId="0" xfId="0" applyFont="1"/>
    <xf numFmtId="3" fontId="2" fillId="0" borderId="0" xfId="0" applyNumberFormat="1" applyFont="1"/>
    <xf numFmtId="0" fontId="6" fillId="0" borderId="0" xfId="0" applyFont="1"/>
    <xf numFmtId="165" fontId="3" fillId="4" borderId="1" xfId="0" applyNumberFormat="1" applyFont="1" applyFill="1" applyBorder="1"/>
    <xf numFmtId="165" fontId="2" fillId="0" borderId="0" xfId="0" applyNumberFormat="1" applyFont="1" applyAlignment="1">
      <alignment horizontal="left"/>
    </xf>
    <xf numFmtId="0" fontId="3" fillId="2" borderId="1" xfId="0" applyFont="1" applyFill="1" applyBorder="1"/>
    <xf numFmtId="166" fontId="3" fillId="2" borderId="1" xfId="0" applyNumberFormat="1" applyFont="1" applyFill="1" applyBorder="1"/>
    <xf numFmtId="167" fontId="3" fillId="2" borderId="1" xfId="0" applyNumberFormat="1" applyFont="1" applyFill="1" applyBorder="1"/>
    <xf numFmtId="4" fontId="7" fillId="0" borderId="0" xfId="0" applyNumberFormat="1" applyFont="1"/>
    <xf numFmtId="0" fontId="3" fillId="3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4" fontId="2" fillId="0" borderId="0" xfId="0" applyNumberFormat="1" applyFont="1"/>
    <xf numFmtId="166" fontId="2" fillId="0" borderId="0" xfId="0" applyNumberFormat="1" applyFont="1"/>
    <xf numFmtId="167" fontId="3" fillId="4" borderId="1" xfId="0" applyNumberFormat="1" applyFont="1" applyFill="1" applyBorder="1"/>
    <xf numFmtId="3" fontId="3" fillId="0" borderId="0" xfId="0" applyNumberFormat="1" applyFont="1"/>
    <xf numFmtId="165" fontId="3" fillId="0" borderId="0" xfId="0" applyNumberFormat="1" applyFont="1"/>
    <xf numFmtId="165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4" fontId="8" fillId="0" borderId="0" xfId="0" applyNumberFormat="1" applyFont="1"/>
    <xf numFmtId="169" fontId="2" fillId="0" borderId="0" xfId="0" applyNumberFormat="1" applyFont="1"/>
    <xf numFmtId="0" fontId="3" fillId="0" borderId="0" xfId="0" applyFont="1"/>
    <xf numFmtId="14" fontId="2" fillId="0" borderId="0" xfId="0" applyNumberFormat="1" applyFont="1"/>
    <xf numFmtId="1" fontId="9" fillId="0" borderId="0" xfId="0" applyNumberFormat="1" applyFont="1" applyAlignment="1">
      <alignment horizontal="right"/>
    </xf>
    <xf numFmtId="17" fontId="2" fillId="0" borderId="0" xfId="0" applyNumberFormat="1" applyFont="1"/>
    <xf numFmtId="168" fontId="3" fillId="0" borderId="0" xfId="0" applyNumberFormat="1" applyFont="1"/>
    <xf numFmtId="167" fontId="2" fillId="0" borderId="0" xfId="0" applyNumberFormat="1" applyFont="1"/>
    <xf numFmtId="1" fontId="10" fillId="0" borderId="0" xfId="0" applyNumberFormat="1" applyFont="1"/>
    <xf numFmtId="169" fontId="3" fillId="2" borderId="1" xfId="0" applyNumberFormat="1" applyFont="1" applyFill="1" applyBorder="1"/>
    <xf numFmtId="4" fontId="3" fillId="2" borderId="1" xfId="0" applyNumberFormat="1" applyFont="1" applyFill="1" applyBorder="1"/>
    <xf numFmtId="168" fontId="3" fillId="2" borderId="1" xfId="0" applyNumberFormat="1" applyFont="1" applyFill="1" applyBorder="1"/>
    <xf numFmtId="165" fontId="3" fillId="2" borderId="1" xfId="0" applyNumberFormat="1" applyFont="1" applyFill="1" applyBorder="1"/>
    <xf numFmtId="2" fontId="2" fillId="0" borderId="0" xfId="0" applyNumberFormat="1" applyFont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170" fontId="2" fillId="0" borderId="0" xfId="0" applyNumberFormat="1" applyFont="1"/>
    <xf numFmtId="164" fontId="3" fillId="0" borderId="0" xfId="0" applyNumberFormat="1" applyFont="1"/>
    <xf numFmtId="171" fontId="3" fillId="0" borderId="0" xfId="0" applyNumberFormat="1" applyFont="1" applyAlignment="1">
      <alignment horizontal="right"/>
    </xf>
    <xf numFmtId="171" fontId="3" fillId="0" borderId="0" xfId="0" applyNumberFormat="1" applyFont="1"/>
    <xf numFmtId="171" fontId="2" fillId="0" borderId="0" xfId="0" applyNumberFormat="1" applyFont="1"/>
    <xf numFmtId="4" fontId="3" fillId="0" borderId="0" xfId="0" applyNumberFormat="1" applyFont="1"/>
    <xf numFmtId="2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left" vertical="top"/>
    </xf>
    <xf numFmtId="1" fontId="11" fillId="0" borderId="0" xfId="0" applyNumberFormat="1" applyFont="1" applyAlignment="1">
      <alignment horizontal="left" vertical="top" wrapText="1"/>
    </xf>
    <xf numFmtId="1" fontId="11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2" fontId="2" fillId="0" borderId="0" xfId="0" applyNumberFormat="1" applyFont="1"/>
    <xf numFmtId="43" fontId="2" fillId="0" borderId="0" xfId="0" applyNumberFormat="1" applyFont="1"/>
    <xf numFmtId="0" fontId="12" fillId="0" borderId="0" xfId="0" applyFont="1" applyAlignment="1">
      <alignment horizontal="right"/>
    </xf>
    <xf numFmtId="3" fontId="12" fillId="0" borderId="0" xfId="0" applyNumberFormat="1" applyFont="1"/>
    <xf numFmtId="0" fontId="12" fillId="0" borderId="0" xfId="0" applyFont="1"/>
    <xf numFmtId="172" fontId="12" fillId="0" borderId="0" xfId="0" applyNumberFormat="1" applyFont="1"/>
    <xf numFmtId="172" fontId="3" fillId="0" borderId="0" xfId="0" applyNumberFormat="1" applyFont="1"/>
    <xf numFmtId="173" fontId="3" fillId="0" borderId="0" xfId="0" applyNumberFormat="1" applyFont="1"/>
    <xf numFmtId="170" fontId="12" fillId="0" borderId="0" xfId="0" applyNumberFormat="1" applyFont="1"/>
    <xf numFmtId="174" fontId="12" fillId="0" borderId="0" xfId="0" applyNumberFormat="1" applyFont="1"/>
    <xf numFmtId="175" fontId="2" fillId="0" borderId="0" xfId="0" applyNumberFormat="1" applyFont="1"/>
    <xf numFmtId="1" fontId="3" fillId="0" borderId="0" xfId="0" applyNumberFormat="1" applyFont="1" applyAlignment="1">
      <alignment horizontal="right"/>
    </xf>
    <xf numFmtId="171" fontId="12" fillId="0" borderId="0" xfId="0" applyNumberFormat="1" applyFont="1"/>
    <xf numFmtId="49" fontId="2" fillId="0" borderId="0" xfId="0" applyNumberFormat="1" applyFont="1"/>
    <xf numFmtId="172" fontId="3" fillId="0" borderId="2" xfId="0" applyNumberFormat="1" applyFont="1" applyBorder="1"/>
    <xf numFmtId="173" fontId="2" fillId="0" borderId="0" xfId="0" applyNumberFormat="1" applyFont="1"/>
    <xf numFmtId="49" fontId="3" fillId="0" borderId="0" xfId="0" applyNumberFormat="1" applyFont="1"/>
    <xf numFmtId="9" fontId="2" fillId="0" borderId="0" xfId="0" applyNumberFormat="1" applyFont="1"/>
    <xf numFmtId="0" fontId="3" fillId="0" borderId="0" xfId="0" applyFont="1" applyAlignment="1">
      <alignment horizontal="center"/>
    </xf>
    <xf numFmtId="172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14" fontId="2" fillId="3" borderId="1" xfId="0" applyNumberFormat="1" applyFont="1" applyFill="1" applyBorder="1"/>
    <xf numFmtId="176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13" fillId="0" borderId="0" xfId="0" applyFont="1" applyAlignment="1">
      <alignment horizontal="left"/>
    </xf>
    <xf numFmtId="164" fontId="12" fillId="0" borderId="0" xfId="0" applyNumberFormat="1" applyFont="1"/>
    <xf numFmtId="164" fontId="12" fillId="0" borderId="0" xfId="0" applyNumberFormat="1" applyFont="1" applyAlignment="1">
      <alignment horizontal="right"/>
    </xf>
    <xf numFmtId="1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177" fontId="3" fillId="0" borderId="0" xfId="0" applyNumberFormat="1" applyFont="1"/>
    <xf numFmtId="177" fontId="2" fillId="0" borderId="0" xfId="0" applyNumberFormat="1" applyFont="1"/>
    <xf numFmtId="165" fontId="3" fillId="0" borderId="0" xfId="0" applyNumberFormat="1" applyFont="1" applyAlignment="1">
      <alignment horizontal="right"/>
    </xf>
    <xf numFmtId="170" fontId="3" fillId="0" borderId="0" xfId="0" applyNumberFormat="1" applyFont="1"/>
    <xf numFmtId="0" fontId="3" fillId="0" borderId="0" xfId="0" applyFont="1" applyAlignment="1">
      <alignment horizontal="left"/>
    </xf>
    <xf numFmtId="173" fontId="2" fillId="0" borderId="0" xfId="0" applyNumberFormat="1" applyFont="1" applyAlignment="1">
      <alignment horizontal="right"/>
    </xf>
    <xf numFmtId="165" fontId="2" fillId="3" borderId="1" xfId="0" applyNumberFormat="1" applyFont="1" applyFill="1" applyBorder="1"/>
    <xf numFmtId="178" fontId="3" fillId="0" borderId="0" xfId="0" applyNumberFormat="1" applyFont="1"/>
    <xf numFmtId="10" fontId="3" fillId="0" borderId="0" xfId="0" applyNumberFormat="1" applyFont="1"/>
    <xf numFmtId="165" fontId="1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72" fontId="4" fillId="0" borderId="0" xfId="0" applyNumberFormat="1" applyFont="1"/>
    <xf numFmtId="172" fontId="3" fillId="3" borderId="1" xfId="0" applyNumberFormat="1" applyFont="1" applyFill="1" applyBorder="1"/>
    <xf numFmtId="0" fontId="15" fillId="0" borderId="0" xfId="0" applyFont="1"/>
    <xf numFmtId="0" fontId="1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7" fillId="0" borderId="0" xfId="1"/>
    <xf numFmtId="3" fontId="3" fillId="2" borderId="1" xfId="0" applyNumberFormat="1" applyFont="1" applyFill="1" applyBorder="1"/>
    <xf numFmtId="0" fontId="1" fillId="0" borderId="0" xfId="0" applyFont="1" applyAlignment="1">
      <alignment horizontal="left" vertical="center"/>
    </xf>
    <xf numFmtId="166" fontId="2" fillId="4" borderId="1" xfId="0" applyNumberFormat="1" applyFont="1" applyFill="1" applyBorder="1"/>
    <xf numFmtId="0" fontId="2" fillId="5" borderId="0" xfId="0" applyFont="1" applyFill="1" applyAlignment="1">
      <alignment horizontal="center"/>
    </xf>
    <xf numFmtId="0" fontId="5" fillId="4" borderId="1" xfId="0" applyFont="1" applyFill="1" applyBorder="1"/>
    <xf numFmtId="3" fontId="0" fillId="0" borderId="0" xfId="0" applyNumberFormat="1"/>
    <xf numFmtId="166" fontId="6" fillId="0" borderId="0" xfId="0" applyNumberFormat="1" applyFont="1"/>
    <xf numFmtId="4" fontId="3" fillId="0" borderId="0" xfId="0" applyNumberFormat="1" applyFont="1" applyAlignment="1">
      <alignment horizontal="left"/>
    </xf>
    <xf numFmtId="165" fontId="6" fillId="0" borderId="0" xfId="0" applyNumberFormat="1" applyFont="1"/>
    <xf numFmtId="4" fontId="2" fillId="0" borderId="0" xfId="0" applyNumberFormat="1" applyFont="1" applyAlignment="1">
      <alignment horizontal="left"/>
    </xf>
    <xf numFmtId="4" fontId="0" fillId="0" borderId="0" xfId="0" applyNumberFormat="1" applyAlignment="1">
      <alignment horizontal="left"/>
    </xf>
    <xf numFmtId="164" fontId="0" fillId="0" borderId="0" xfId="0" applyNumberFormat="1"/>
    <xf numFmtId="4" fontId="0" fillId="0" borderId="0" xfId="0" applyNumberFormat="1"/>
    <xf numFmtId="0" fontId="19" fillId="0" borderId="0" xfId="0" applyFont="1"/>
    <xf numFmtId="0" fontId="3" fillId="3" borderId="1" xfId="0" applyFont="1" applyFill="1" applyBorder="1" applyAlignment="1">
      <alignment horizontal="center"/>
    </xf>
    <xf numFmtId="17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6" borderId="1" xfId="0" applyNumberFormat="1" applyFont="1" applyFill="1" applyBorder="1"/>
    <xf numFmtId="165" fontId="3" fillId="3" borderId="1" xfId="0" applyNumberFormat="1" applyFont="1" applyFill="1" applyBorder="1" applyProtection="1">
      <protection locked="0"/>
    </xf>
    <xf numFmtId="0" fontId="3" fillId="3" borderId="1" xfId="0" applyFont="1" applyFill="1" applyBorder="1" applyAlignment="1" applyProtection="1">
      <alignment horizontal="right"/>
      <protection locked="0"/>
    </xf>
    <xf numFmtId="0" fontId="17" fillId="0" borderId="0" xfId="1" applyProtection="1">
      <protection locked="0"/>
    </xf>
    <xf numFmtId="0" fontId="6" fillId="0" borderId="0" xfId="0" applyFont="1" applyProtection="1">
      <protection locked="0"/>
    </xf>
    <xf numFmtId="14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1" fontId="17" fillId="0" borderId="0" xfId="1" applyNumberFormat="1" applyAlignment="1" applyProtection="1">
      <alignment horizontal="right"/>
      <protection locked="0"/>
    </xf>
    <xf numFmtId="17" fontId="2" fillId="0" borderId="0" xfId="0" applyNumberFormat="1" applyFont="1" applyProtection="1">
      <protection locked="0"/>
    </xf>
    <xf numFmtId="169" fontId="2" fillId="0" borderId="0" xfId="0" applyNumberFormat="1" applyFont="1" applyProtection="1">
      <protection locked="0"/>
    </xf>
    <xf numFmtId="1" fontId="17" fillId="0" borderId="0" xfId="1" applyNumberFormat="1" applyProtection="1">
      <protection locked="0"/>
    </xf>
    <xf numFmtId="1" fontId="9" fillId="0" borderId="0" xfId="0" applyNumberFormat="1" applyFont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3" fontId="2" fillId="0" borderId="0" xfId="0" applyNumberFormat="1" applyFont="1" applyProtection="1">
      <protection locked="0"/>
    </xf>
    <xf numFmtId="1" fontId="5" fillId="0" borderId="0" xfId="0" applyNumberFormat="1" applyFont="1" applyAlignment="1" applyProtection="1">
      <alignment horizontal="right"/>
      <protection locked="0"/>
    </xf>
    <xf numFmtId="1" fontId="10" fillId="0" borderId="0" xfId="0" applyNumberFormat="1" applyFont="1" applyProtection="1">
      <protection locked="0"/>
    </xf>
    <xf numFmtId="165" fontId="2" fillId="0" borderId="0" xfId="0" applyNumberFormat="1" applyFont="1" applyProtection="1">
      <protection locked="0"/>
    </xf>
    <xf numFmtId="167" fontId="2" fillId="0" borderId="0" xfId="0" applyNumberFormat="1" applyFont="1" applyProtection="1">
      <protection locked="0"/>
    </xf>
    <xf numFmtId="1" fontId="2" fillId="0" borderId="0" xfId="0" applyNumberFormat="1" applyFont="1" applyAlignment="1" applyProtection="1">
      <alignment horizontal="right"/>
      <protection locked="0"/>
    </xf>
    <xf numFmtId="4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171" fontId="2" fillId="0" borderId="0" xfId="0" applyNumberFormat="1" applyFont="1" applyProtection="1">
      <protection locked="0"/>
    </xf>
    <xf numFmtId="176" fontId="2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  <xf numFmtId="172" fontId="12" fillId="3" borderId="1" xfId="0" applyNumberFormat="1" applyFont="1" applyFill="1" applyBorder="1" applyProtection="1">
      <protection locked="0"/>
    </xf>
    <xf numFmtId="3" fontId="12" fillId="3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17" fillId="0" borderId="0" xfId="1" applyAlignment="1" applyProtection="1">
      <alignment horizontal="right"/>
      <protection locked="0"/>
    </xf>
    <xf numFmtId="0" fontId="17" fillId="0" borderId="0" xfId="1" applyAlignment="1" applyProtection="1">
      <alignment horizontal="left"/>
      <protection locked="0"/>
    </xf>
    <xf numFmtId="165" fontId="17" fillId="0" borderId="0" xfId="1" applyNumberFormat="1" applyProtection="1">
      <protection locked="0"/>
    </xf>
    <xf numFmtId="165" fontId="2" fillId="3" borderId="1" xfId="0" applyNumberFormat="1" applyFont="1" applyFill="1" applyBorder="1" applyProtection="1">
      <protection locked="0"/>
    </xf>
    <xf numFmtId="1" fontId="2" fillId="3" borderId="1" xfId="0" applyNumberFormat="1" applyFont="1" applyFill="1" applyBorder="1" applyProtection="1">
      <protection locked="0"/>
    </xf>
    <xf numFmtId="1" fontId="12" fillId="3" borderId="1" xfId="0" applyNumberFormat="1" applyFont="1" applyFill="1" applyBorder="1" applyAlignment="1" applyProtection="1">
      <alignment horizontal="right"/>
      <protection locked="0"/>
    </xf>
    <xf numFmtId="165" fontId="12" fillId="3" borderId="1" xfId="0" applyNumberFormat="1" applyFont="1" applyFill="1" applyBorder="1" applyAlignment="1" applyProtection="1">
      <alignment horizontal="right"/>
      <protection locked="0"/>
    </xf>
    <xf numFmtId="0" fontId="12" fillId="3" borderId="1" xfId="0" applyFont="1" applyFill="1" applyBorder="1" applyAlignment="1" applyProtection="1">
      <alignment horizontal="right"/>
      <protection locked="0"/>
    </xf>
    <xf numFmtId="172" fontId="3" fillId="3" borderId="1" xfId="0" applyNumberFormat="1" applyFont="1" applyFill="1" applyBorder="1" applyProtection="1">
      <protection locked="0"/>
    </xf>
    <xf numFmtId="2" fontId="2" fillId="7" borderId="0" xfId="0" applyNumberFormat="1" applyFont="1" applyFill="1" applyProtection="1">
      <protection locked="0"/>
    </xf>
    <xf numFmtId="9" fontId="2" fillId="7" borderId="0" xfId="0" applyNumberFormat="1" applyFont="1" applyFill="1" applyProtection="1">
      <protection locked="0"/>
    </xf>
    <xf numFmtId="9" fontId="2" fillId="7" borderId="0" xfId="0" applyNumberFormat="1" applyFont="1" applyFill="1" applyAlignment="1" applyProtection="1">
      <alignment horizontal="right"/>
      <protection locked="0"/>
    </xf>
    <xf numFmtId="0" fontId="3" fillId="7" borderId="0" xfId="0" applyFont="1" applyFill="1" applyAlignment="1" applyProtection="1">
      <alignment horizontal="right"/>
      <protection locked="0"/>
    </xf>
    <xf numFmtId="164" fontId="3" fillId="0" borderId="0" xfId="0" applyNumberFormat="1" applyFont="1" applyProtection="1">
      <protection locked="0"/>
    </xf>
    <xf numFmtId="0" fontId="1" fillId="0" borderId="0" xfId="0" applyFont="1" applyProtection="1">
      <protection locked="0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276225</xdr:colOff>
      <xdr:row>338</xdr:row>
      <xdr:rowOff>-19050</xdr:rowOff>
    </xdr:from>
    <xdr:ext cx="657225" cy="38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017388" y="3780000"/>
          <a:ext cx="657225" cy="0"/>
        </a:xfrm>
        <a:custGeom>
          <a:avLst/>
          <a:gdLst/>
          <a:ahLst/>
          <a:cxnLst/>
          <a:rect l="l" t="t" r="r" b="b"/>
          <a:pathLst>
            <a:path w="542925" h="9525" extrusionOk="0">
              <a:moveTo>
                <a:pt x="542577" y="0"/>
              </a:moveTo>
              <a:lnTo>
                <a:pt x="538004" y="0"/>
              </a:lnTo>
              <a:lnTo>
                <a:pt x="4572" y="0"/>
              </a:lnTo>
              <a:lnTo>
                <a:pt x="0" y="0"/>
              </a:lnTo>
              <a:lnTo>
                <a:pt x="4572" y="0"/>
              </a:lnTo>
              <a:lnTo>
                <a:pt x="538004" y="0"/>
              </a:lnTo>
              <a:lnTo>
                <a:pt x="542577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34</xdr:col>
      <xdr:colOff>276225</xdr:colOff>
      <xdr:row>156</xdr:row>
      <xdr:rowOff>-19050</xdr:rowOff>
    </xdr:from>
    <xdr:ext cx="904875" cy="381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93563" y="3780000"/>
          <a:ext cx="904875" cy="0"/>
        </a:xfrm>
        <a:custGeom>
          <a:avLst/>
          <a:gdLst/>
          <a:ahLst/>
          <a:cxnLst/>
          <a:rect l="l" t="t" r="r" b="b"/>
          <a:pathLst>
            <a:path w="542925" h="9525" extrusionOk="0">
              <a:moveTo>
                <a:pt x="542577" y="0"/>
              </a:moveTo>
              <a:lnTo>
                <a:pt x="538004" y="0"/>
              </a:lnTo>
              <a:lnTo>
                <a:pt x="4572" y="0"/>
              </a:lnTo>
              <a:lnTo>
                <a:pt x="0" y="0"/>
              </a:lnTo>
              <a:lnTo>
                <a:pt x="4572" y="0"/>
              </a:lnTo>
              <a:lnTo>
                <a:pt x="538004" y="0"/>
              </a:lnTo>
              <a:lnTo>
                <a:pt x="542577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orn%202023\Contracts\33687.pdf" TargetMode="External"/><Relationship Id="rId13" Type="http://schemas.openxmlformats.org/officeDocument/2006/relationships/hyperlink" Target="Corn%202023\Contracts\CCS0202997.pdf" TargetMode="External"/><Relationship Id="rId18" Type="http://schemas.openxmlformats.org/officeDocument/2006/relationships/hyperlink" Target="Corn%202023\Contracts\CCS0203207.pdf" TargetMode="External"/><Relationship Id="rId3" Type="http://schemas.openxmlformats.org/officeDocument/2006/relationships/hyperlink" Target="Corn%202023\Shipping%20docs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Corn%202023\Contracts\33686.pdf" TargetMode="External"/><Relationship Id="rId12" Type="http://schemas.openxmlformats.org/officeDocument/2006/relationships/hyperlink" Target="Corn%202023\Shipping%20docs\Scale%20Tickets\253186%20Custom%20weigh%20To%204S%20Feed%2012-22-23.pdf" TargetMode="External"/><Relationship Id="rId17" Type="http://schemas.openxmlformats.org/officeDocument/2006/relationships/hyperlink" Target="Corn%202023\Contracts\34742.pdf" TargetMode="External"/><Relationship Id="rId2" Type="http://schemas.openxmlformats.org/officeDocument/2006/relationships/hyperlink" Target="Corn%202023\Contracts" TargetMode="External"/><Relationship Id="rId16" Type="http://schemas.openxmlformats.org/officeDocument/2006/relationships/hyperlink" Target="Corn%202023\Contracts\34442.pdf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Corn%202023\Shipping%20docs\Payments%20&amp;%20SS" TargetMode="External"/><Relationship Id="rId6" Type="http://schemas.openxmlformats.org/officeDocument/2006/relationships/hyperlink" Target="Corn%202023\Contracts\32864.pdf" TargetMode="External"/><Relationship Id="rId11" Type="http://schemas.openxmlformats.org/officeDocument/2006/relationships/hyperlink" Target="Corn%202023\Contracts\15609%20HTA%2034571.pdf" TargetMode="External"/><Relationship Id="rId5" Type="http://schemas.openxmlformats.org/officeDocument/2006/relationships/hyperlink" Target="Corn%202023\Contracts\32820.pdf" TargetMode="External"/><Relationship Id="rId15" Type="http://schemas.openxmlformats.org/officeDocument/2006/relationships/hyperlink" Target="Corn%202023\Contracts\Text%204.4.2024%20Ken%20corn%20sales%20april%202024.pdf" TargetMode="External"/><Relationship Id="rId10" Type="http://schemas.openxmlformats.org/officeDocument/2006/relationships/hyperlink" Target="Corn%202023\Contracts\15608%20HTA%2034570.pdf" TargetMode="External"/><Relationship Id="rId19" Type="http://schemas.openxmlformats.org/officeDocument/2006/relationships/hyperlink" Target="Corn%202023\Contracts\CCS0203208.pdf" TargetMode="External"/><Relationship Id="rId4" Type="http://schemas.openxmlformats.org/officeDocument/2006/relationships/hyperlink" Target="Corn%202023\Contracts\32519.pdf" TargetMode="External"/><Relationship Id="rId9" Type="http://schemas.openxmlformats.org/officeDocument/2006/relationships/hyperlink" Target="Corn%202023\Contracts\33826.pdf" TargetMode="External"/><Relationship Id="rId14" Type="http://schemas.openxmlformats.org/officeDocument/2006/relationships/hyperlink" Target="Corn%202023\Contracts\CCS0202996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Corn%202023\Shipping%20docs\Payments%20&amp;%20SS\6102%20Ken%20Ham%20Corn.pdf" TargetMode="External"/><Relationship Id="rId13" Type="http://schemas.openxmlformats.org/officeDocument/2006/relationships/hyperlink" Target="Corn%202023\Shipping%20docs\Payments%20&amp;%20SS\56070.pdf" TargetMode="External"/><Relationship Id="rId18" Type="http://schemas.openxmlformats.org/officeDocument/2006/relationships/hyperlink" Target="Corn%202023\Shipping%20docs\Payments%20&amp;%20SS\6154%20Ken%20Ham%20Corn.pdf" TargetMode="External"/><Relationship Id="rId3" Type="http://schemas.openxmlformats.org/officeDocument/2006/relationships/hyperlink" Target="Corn%202023\Shipping%20docs\Payments%20&amp;%20SS\53655.pdf" TargetMode="External"/><Relationship Id="rId7" Type="http://schemas.openxmlformats.org/officeDocument/2006/relationships/hyperlink" Target="Corn%202023\Shipping%20docs\Payments%20&amp;%20SS\6049%20Ken%20Ham%20Corn.pdf" TargetMode="External"/><Relationship Id="rId12" Type="http://schemas.openxmlformats.org/officeDocument/2006/relationships/hyperlink" Target="Corn%202023\Shipping%20docs\Payments%20&amp;%20SS\56069.pdf" TargetMode="External"/><Relationship Id="rId17" Type="http://schemas.openxmlformats.org/officeDocument/2006/relationships/hyperlink" Target="Corn%202023\Shipping%20docs\Payments%20&amp;%20SS\CCS0404397.pdf" TargetMode="External"/><Relationship Id="rId2" Type="http://schemas.openxmlformats.org/officeDocument/2006/relationships/hyperlink" Target="Corn%202023\Shipping%20docs\Payments%20&amp;%20SS\53654.pdf" TargetMode="External"/><Relationship Id="rId16" Type="http://schemas.openxmlformats.org/officeDocument/2006/relationships/hyperlink" Target="Corn%202023\Shipping%20docs\Payments%20&amp;%20SS\CCS0404395.pdf" TargetMode="External"/><Relationship Id="rId1" Type="http://schemas.openxmlformats.org/officeDocument/2006/relationships/hyperlink" Target="Corn%202023\Shipping%20docs\Payments%20&amp;%20SS\53653.pdf" TargetMode="External"/><Relationship Id="rId6" Type="http://schemas.openxmlformats.org/officeDocument/2006/relationships/hyperlink" Target="Corn%202023\Shipping%20docs\Payments%20&amp;%20SS\53660.pdf" TargetMode="External"/><Relationship Id="rId11" Type="http://schemas.openxmlformats.org/officeDocument/2006/relationships/hyperlink" Target="Corn%202023\Shipping%20docs\Payments%20&amp;%20SS\CCS0404329.pdf" TargetMode="External"/><Relationship Id="rId5" Type="http://schemas.openxmlformats.org/officeDocument/2006/relationships/hyperlink" Target="Corn%202023\Shipping%20docs\Payments%20&amp;%20SS\53658.pdf" TargetMode="External"/><Relationship Id="rId15" Type="http://schemas.openxmlformats.org/officeDocument/2006/relationships/hyperlink" Target="Corn%202023\Shipping%20docs\Payments%20&amp;%20SS\56066.pdf" TargetMode="External"/><Relationship Id="rId10" Type="http://schemas.openxmlformats.org/officeDocument/2006/relationships/hyperlink" Target="Corn%202023\Shipping%20docs\Payments%20&amp;%20SS\CCS0404328.pdf" TargetMode="External"/><Relationship Id="rId4" Type="http://schemas.openxmlformats.org/officeDocument/2006/relationships/hyperlink" Target="Corn%202023\Shipping%20docs\Payments%20&amp;%20SS\53657.pdf" TargetMode="External"/><Relationship Id="rId9" Type="http://schemas.openxmlformats.org/officeDocument/2006/relationships/hyperlink" Target="Corn%202023\Shipping%20docs\Payments%20&amp;%20SS\6103%20Ken%20Ham%20Corn.pdf" TargetMode="External"/><Relationship Id="rId14" Type="http://schemas.openxmlformats.org/officeDocument/2006/relationships/hyperlink" Target="Corn%202023\Shipping%20docs\Payments%20&amp;%20SS\56065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Corn%202023\Shipping%20docs\BOL\BOL%20Individual%20scans\Field%20shipped\443232.pdf" TargetMode="External"/><Relationship Id="rId7" Type="http://schemas.openxmlformats.org/officeDocument/2006/relationships/hyperlink" Target="Corn%202023\Shipping%20docs\BOL\BOL%20Individual%20scans\Field%20shipped\443223.pdf" TargetMode="External"/><Relationship Id="rId2" Type="http://schemas.openxmlformats.org/officeDocument/2006/relationships/hyperlink" Target="Corn%202023\Shipping%20docs\BOL\BOL%20Individual%20scans\Field%20shipped\443230.pdf" TargetMode="External"/><Relationship Id="rId1" Type="http://schemas.openxmlformats.org/officeDocument/2006/relationships/hyperlink" Target="Corn%202023\Shipping%20docs" TargetMode="External"/><Relationship Id="rId6" Type="http://schemas.openxmlformats.org/officeDocument/2006/relationships/hyperlink" Target="Corn%202023\Shipping%20docs\BOL\BOL%20Individual%20scans\Field%20shipped\443245.pdf" TargetMode="External"/><Relationship Id="rId5" Type="http://schemas.openxmlformats.org/officeDocument/2006/relationships/hyperlink" Target="Corn%202023\Shipping%20docs\BOL\BOL%20Individual%20scans\Field%20shipped\443235.pdf" TargetMode="External"/><Relationship Id="rId4" Type="http://schemas.openxmlformats.org/officeDocument/2006/relationships/hyperlink" Target="Corn%202023\Shipping%20docs\BOL\BOL%20Individual%20scans\Field%20shipped\443234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Corn%202023\Insurance%20docs\Bin%20Measurement%20Sheet%20Corn%202023.xlsx" TargetMode="External"/><Relationship Id="rId2" Type="http://schemas.openxmlformats.org/officeDocument/2006/relationships/hyperlink" Target="Corn%202023\Insurance%20docs\Bin%20Measurement%20Sheet%20Corn%202023.xlsx" TargetMode="External"/><Relationship Id="rId1" Type="http://schemas.openxmlformats.org/officeDocument/2006/relationships/hyperlink" Target="Corn%202023\Insurance%20docs\2023%20Corn%20Harvest%20Report%20Fieldviewplus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Corn%202023\Insurance%20docs\Bin%20Measurement%20Sheet%20Corn%202023.xlsx" TargetMode="External"/><Relationship Id="rId3" Type="http://schemas.openxmlformats.org/officeDocument/2006/relationships/hyperlink" Target="Corn%202023\Insurance%20docs\Insurance%20Options-%20explanations%202.pdf" TargetMode="External"/><Relationship Id="rId7" Type="http://schemas.openxmlformats.org/officeDocument/2006/relationships/hyperlink" Target="Corn%202023\Insurance%20docs\2023%20Corn%20Harvest%20Report%20Fieldviewplus.pdf" TargetMode="External"/><Relationship Id="rId2" Type="http://schemas.openxmlformats.org/officeDocument/2006/relationships/hyperlink" Target="Corn%202023\Insurance%20docs\Proof%20Of%20Yield%20West%20Plains%202023%20Corn.pdf" TargetMode="External"/><Relationship Id="rId1" Type="http://schemas.openxmlformats.org/officeDocument/2006/relationships/hyperlink" Target="Corn%202023\Insurance%20docs\Insurance%20Options-%20explanations%201.pdf" TargetMode="External"/><Relationship Id="rId6" Type="http://schemas.openxmlformats.org/officeDocument/2006/relationships/hyperlink" Target="Corn%202023\Insurance%20docs\RCIS%202023%20Corn%20Loss%20payments%20November%202023.pdf" TargetMode="External"/><Relationship Id="rId5" Type="http://schemas.openxmlformats.org/officeDocument/2006/relationships/hyperlink" Target="Corn%202023\Insurance%20docs\RCIS%20Signed%20Claim%20Docs%20Corn%202023.pdf" TargetMode="External"/><Relationship Id="rId4" Type="http://schemas.openxmlformats.org/officeDocument/2006/relationships/hyperlink" Target="Corn%202023\Insurance%20docs\RCIS%20Insurance%20data%20for%202023%20CORN%20PRODUCTION.pdf" TargetMode="External"/><Relationship Id="rId9" Type="http://schemas.openxmlformats.org/officeDocument/2006/relationships/hyperlink" Target="Corn%202023\Insurance%20docs\RCIS%202023%20Corn%20Loss%20payments%20November%202023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3"/>
  <sheetViews>
    <sheetView workbookViewId="0">
      <selection activeCell="A2" sqref="A2"/>
    </sheetView>
  </sheetViews>
  <sheetFormatPr defaultColWidth="12.6640625" defaultRowHeight="15" customHeight="1" x14ac:dyDescent="0.25"/>
  <cols>
    <col min="1" max="1" width="17.77734375" customWidth="1"/>
    <col min="2" max="2" width="10.44140625" customWidth="1"/>
    <col min="3" max="3" width="11.88671875" customWidth="1"/>
    <col min="4" max="4" width="14.77734375" customWidth="1"/>
    <col min="5" max="5" width="2.77734375" customWidth="1"/>
    <col min="6" max="6" width="14.33203125" customWidth="1"/>
    <col min="7" max="7" width="11.6640625" customWidth="1"/>
    <col min="8" max="8" width="10.88671875" customWidth="1"/>
    <col min="9" max="9" width="2.77734375" customWidth="1"/>
    <col min="10" max="10" width="11.21875" customWidth="1"/>
    <col min="11" max="11" width="11" customWidth="1"/>
    <col min="12" max="12" width="14.44140625" customWidth="1"/>
    <col min="13" max="13" width="12.33203125" customWidth="1"/>
    <col min="14" max="14" width="13" customWidth="1"/>
    <col min="15" max="15" width="12.44140625" customWidth="1"/>
    <col min="17" max="17" width="12.6640625" customWidth="1"/>
    <col min="18" max="18" width="13.33203125" customWidth="1"/>
    <col min="19" max="23" width="12.88671875" customWidth="1"/>
    <col min="24" max="24" width="9.44140625" customWidth="1"/>
    <col min="25" max="25" width="10.109375" customWidth="1"/>
    <col min="26" max="26" width="12.109375" customWidth="1"/>
    <col min="27" max="27" width="13.44140625" customWidth="1"/>
    <col min="28" max="28" width="17.33203125" customWidth="1"/>
    <col min="29" max="29" width="11.21875" customWidth="1"/>
    <col min="30" max="30" width="10.109375" customWidth="1"/>
    <col min="31" max="32" width="13.44140625" customWidth="1"/>
    <col min="33" max="33" width="10.33203125" customWidth="1"/>
    <col min="34" max="34" width="8.88671875" customWidth="1"/>
    <col min="35" max="35" width="12.33203125" customWidth="1"/>
    <col min="36" max="36" width="11" customWidth="1"/>
    <col min="37" max="37" width="11.44140625" customWidth="1"/>
    <col min="38" max="39" width="8.88671875" customWidth="1"/>
    <col min="40" max="41" width="13.33203125" customWidth="1"/>
    <col min="42" max="42" width="11.88671875" customWidth="1"/>
    <col min="43" max="44" width="8.88671875" customWidth="1"/>
    <col min="45" max="45" width="10.21875" customWidth="1"/>
    <col min="46" max="47" width="13.77734375" customWidth="1"/>
    <col min="48" max="48" width="8.88671875" customWidth="1"/>
  </cols>
  <sheetData>
    <row r="1" spans="1:48" ht="12.75" customHeight="1" x14ac:dyDescent="0.35">
      <c r="A1" s="107" t="s">
        <v>0</v>
      </c>
      <c r="B1" s="1"/>
      <c r="C1" s="2"/>
      <c r="G1" s="107" t="s">
        <v>2</v>
      </c>
      <c r="H1" s="2"/>
      <c r="I1" s="2"/>
      <c r="J1" s="2"/>
      <c r="K1" s="2"/>
      <c r="L1" s="2"/>
      <c r="M1" s="2"/>
      <c r="N1" s="2"/>
      <c r="O1" s="3"/>
      <c r="Q1" s="4"/>
      <c r="R1" s="5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2.75" customHeight="1" x14ac:dyDescent="0.35">
      <c r="A2" s="166"/>
      <c r="B2" s="1"/>
      <c r="C2" s="2"/>
      <c r="G2" s="127" t="s">
        <v>4</v>
      </c>
      <c r="H2" s="2"/>
      <c r="I2" s="2"/>
      <c r="J2" s="2"/>
      <c r="K2" s="2"/>
      <c r="L2" s="2"/>
      <c r="M2" s="2"/>
      <c r="N2" s="2"/>
      <c r="O2" s="3"/>
      <c r="Q2" s="4"/>
      <c r="R2" s="5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ht="12.75" customHeight="1" x14ac:dyDescent="0.3">
      <c r="A3" s="6" t="s">
        <v>1</v>
      </c>
      <c r="B3" s="125">
        <v>4.5</v>
      </c>
      <c r="C3" s="2"/>
      <c r="G3" s="127" t="s">
        <v>7</v>
      </c>
      <c r="H3" s="2"/>
      <c r="I3" s="2"/>
      <c r="J3" s="2"/>
      <c r="K3" s="2"/>
      <c r="L3" s="7"/>
      <c r="M3" s="2"/>
      <c r="N3" s="2"/>
      <c r="O3" s="2"/>
      <c r="Q3" s="4"/>
      <c r="R3" s="5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ht="12.75" customHeight="1" x14ac:dyDescent="0.3">
      <c r="A4" s="124" t="s">
        <v>200</v>
      </c>
      <c r="B4" s="12">
        <f>+SUM(Insurance!C18:J18)</f>
        <v>159459.66333333333</v>
      </c>
      <c r="C4" s="91">
        <f>+B3*B4</f>
        <v>717568.48499999999</v>
      </c>
      <c r="G4" s="127" t="s">
        <v>8</v>
      </c>
      <c r="H4" s="2"/>
      <c r="I4" s="2"/>
      <c r="J4" s="2"/>
      <c r="K4" s="2"/>
      <c r="L4" s="7"/>
      <c r="M4" s="2"/>
      <c r="N4" s="2"/>
      <c r="O4" s="2"/>
      <c r="Q4" s="4"/>
      <c r="R4" s="5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ht="12.75" customHeight="1" x14ac:dyDescent="0.3">
      <c r="A5" s="8" t="s">
        <v>3</v>
      </c>
      <c r="B5" s="9">
        <f>+'Production-Inventory'!F39</f>
        <v>0</v>
      </c>
      <c r="C5" s="10"/>
      <c r="G5" s="128"/>
      <c r="H5" s="2"/>
      <c r="I5" s="2"/>
      <c r="J5" s="12"/>
      <c r="K5" s="2"/>
      <c r="L5" s="7"/>
      <c r="M5" s="2"/>
      <c r="N5" s="2"/>
      <c r="Q5" s="4"/>
      <c r="R5" s="5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ht="12.75" customHeight="1" x14ac:dyDescent="0.3">
      <c r="A6" s="8" t="s">
        <v>5</v>
      </c>
      <c r="B6" s="9">
        <f>+'Production-Inventory'!G39</f>
        <v>0</v>
      </c>
      <c r="C6" s="2"/>
      <c r="D6" s="13" t="s">
        <v>6</v>
      </c>
      <c r="E6" s="13"/>
      <c r="F6" s="111"/>
      <c r="G6" s="10"/>
      <c r="H6" s="2"/>
      <c r="I6" s="2"/>
      <c r="J6" s="13"/>
      <c r="K6" s="2"/>
      <c r="L6" s="7"/>
      <c r="M6" s="2"/>
      <c r="N6" s="2"/>
      <c r="Q6" s="4"/>
      <c r="R6" s="5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ht="12.75" customHeight="1" x14ac:dyDescent="0.25">
      <c r="A7" s="16" t="s">
        <v>179</v>
      </c>
      <c r="B7" s="17">
        <f>+B9-B14</f>
        <v>0</v>
      </c>
      <c r="C7" s="18">
        <f>+B7*B3</f>
        <v>0</v>
      </c>
      <c r="D7" s="15" t="str">
        <f t="shared" ref="D7:D16" si="0">IF(OR(ABS(B7)&lt;0.0000000001, ABS(C7)&lt;0.0000000001), "$0.00", C7/B7)</f>
        <v>$0.00</v>
      </c>
      <c r="E7" s="15"/>
      <c r="F7" s="29"/>
      <c r="G7" s="114"/>
      <c r="I7" s="2"/>
      <c r="J7" s="15"/>
      <c r="K7" s="2"/>
      <c r="L7" s="115"/>
      <c r="M7" s="2"/>
      <c r="N7" s="2"/>
      <c r="Q7" s="4"/>
      <c r="R7" s="5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ht="12.75" customHeight="1" x14ac:dyDescent="0.25">
      <c r="A8" s="8" t="s">
        <v>178</v>
      </c>
      <c r="B8" s="9">
        <f>MAX(0, J64 - SS!D44)</f>
        <v>0</v>
      </c>
      <c r="C8" s="14">
        <f>O64-SS!E44</f>
        <v>-463151.381995</v>
      </c>
      <c r="D8" s="15" t="str">
        <f t="shared" si="0"/>
        <v>$0.00</v>
      </c>
      <c r="E8" s="15"/>
      <c r="F8" s="58"/>
      <c r="G8" s="114"/>
      <c r="I8" s="2"/>
      <c r="J8" s="15"/>
      <c r="K8" s="10"/>
      <c r="L8" s="115"/>
      <c r="M8" s="2"/>
      <c r="N8" s="2"/>
      <c r="Q8" s="4"/>
      <c r="R8" s="5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ht="12.75" customHeight="1" x14ac:dyDescent="0.25">
      <c r="A9" s="8" t="s">
        <v>9</v>
      </c>
      <c r="B9" s="9">
        <f>+'Production-Inventory'!B6</f>
        <v>7360.7929999999997</v>
      </c>
      <c r="C9" s="14">
        <f>+C14+((B9-J64)*B3)</f>
        <v>39623.438004999982</v>
      </c>
      <c r="D9" s="15">
        <f t="shared" si="0"/>
        <v>5.38303930092858</v>
      </c>
      <c r="E9" s="15"/>
      <c r="F9" s="2"/>
      <c r="I9" s="2"/>
      <c r="J9" s="115"/>
      <c r="K9" s="10"/>
      <c r="L9" s="115"/>
      <c r="M9" s="2"/>
      <c r="N9" s="2"/>
      <c r="Q9" s="4"/>
      <c r="R9" s="5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ht="12.75" customHeight="1" x14ac:dyDescent="0.25">
      <c r="A10" s="8" t="s">
        <v>10</v>
      </c>
      <c r="B10" s="9">
        <f>+SUM(Insurance!C22:J22)</f>
        <v>118415.09600000001</v>
      </c>
      <c r="C10" s="14">
        <f>+SUM(Insurance!C24:J24)</f>
        <v>699833.21736000001</v>
      </c>
      <c r="D10" s="15">
        <f t="shared" si="0"/>
        <v>5.91</v>
      </c>
      <c r="E10" s="15"/>
      <c r="F10" s="2"/>
      <c r="G10" s="114"/>
      <c r="I10" s="2"/>
      <c r="J10" s="118"/>
      <c r="K10" s="10"/>
      <c r="L10" s="115"/>
      <c r="M10" s="2"/>
      <c r="N10" s="2"/>
      <c r="Q10" s="4"/>
      <c r="R10" s="5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ht="12.75" customHeight="1" x14ac:dyDescent="0.25">
      <c r="A11" s="110" t="s">
        <v>11</v>
      </c>
      <c r="B11" s="9"/>
      <c r="C11" s="14">
        <f>+SUM(Insurance!C35:J35)</f>
        <v>290423.97105000005</v>
      </c>
      <c r="D11" s="15"/>
      <c r="E11" s="15"/>
      <c r="F11" s="36"/>
      <c r="G11" s="15"/>
      <c r="H11" s="2"/>
      <c r="I11" s="2"/>
      <c r="J11" s="118"/>
      <c r="K11" s="10"/>
      <c r="L11" s="115"/>
      <c r="M11" s="2"/>
      <c r="N11" s="2"/>
      <c r="Q11" s="4"/>
      <c r="R11" s="5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ht="12.75" customHeight="1" x14ac:dyDescent="0.25">
      <c r="A12" s="2"/>
      <c r="F12" s="2"/>
      <c r="G12" s="13"/>
      <c r="H12" s="2"/>
      <c r="I12" s="2"/>
      <c r="K12" s="2"/>
      <c r="L12" s="115"/>
      <c r="M12" s="2"/>
      <c r="N12" s="2"/>
      <c r="Q12" s="4"/>
      <c r="R12" s="5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ht="12.75" customHeight="1" x14ac:dyDescent="0.25">
      <c r="A13" s="8" t="s">
        <v>12</v>
      </c>
      <c r="B13" s="9">
        <f>H64</f>
        <v>96518.401999999987</v>
      </c>
      <c r="C13" s="14">
        <f>L64</f>
        <v>503097.80451499997</v>
      </c>
      <c r="D13" s="15">
        <f t="shared" si="0"/>
        <v>5.2124547660351856</v>
      </c>
      <c r="E13" s="15"/>
      <c r="F13" s="36"/>
      <c r="G13" s="15"/>
      <c r="H13" s="2"/>
      <c r="I13" s="2"/>
      <c r="J13" s="115"/>
      <c r="K13" s="10"/>
      <c r="L13" s="115"/>
      <c r="M13" s="10"/>
      <c r="N13" s="2"/>
      <c r="Q13" s="4"/>
      <c r="R13" s="5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ht="12.75" customHeight="1" x14ac:dyDescent="0.25">
      <c r="A14" s="8" t="s">
        <v>13</v>
      </c>
      <c r="B14" s="9">
        <f>+J64</f>
        <v>7360.7929999999997</v>
      </c>
      <c r="C14" s="14">
        <f>+O64</f>
        <v>39623.438004999982</v>
      </c>
      <c r="D14" s="15">
        <f t="shared" si="0"/>
        <v>5.38303930092858</v>
      </c>
      <c r="E14" s="15"/>
      <c r="F14" s="2"/>
      <c r="G14" s="13"/>
      <c r="H14" s="2"/>
      <c r="I14" s="2"/>
      <c r="J14" s="118"/>
      <c r="K14" s="10"/>
      <c r="L14" s="115"/>
      <c r="M14" s="10"/>
      <c r="N14" s="2"/>
      <c r="Q14" s="4"/>
      <c r="R14" s="5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ht="12.75" customHeight="1" x14ac:dyDescent="0.25">
      <c r="A15" s="8" t="s">
        <v>14</v>
      </c>
      <c r="B15" s="9">
        <f>+SUMIF('Transaction Entry'!B10:B192,"Field",'Transaction Entry'!H10:H192)</f>
        <v>7360.7929999999997</v>
      </c>
      <c r="C15" s="14" cm="1">
        <f t="array" ref="C15">+SUMPRODUCT(--('Transaction Entry'!B10:B192="Field"),'Transaction Entry'!F10:F192,'Transaction Entry'!H10:H192)</f>
        <v>38397.043024999999</v>
      </c>
      <c r="D15" s="15">
        <f t="shared" si="0"/>
        <v>5.2164274997272715</v>
      </c>
      <c r="E15" s="15"/>
      <c r="F15" s="2"/>
      <c r="G15" s="15"/>
      <c r="H15" s="2"/>
      <c r="I15" s="2"/>
      <c r="J15" s="115"/>
      <c r="K15" s="10"/>
      <c r="L15" s="115"/>
      <c r="M15" s="10"/>
      <c r="N15" s="2"/>
      <c r="Q15" s="4"/>
      <c r="R15" s="5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ht="12.75" customHeight="1" x14ac:dyDescent="0.25">
      <c r="A16" s="8" t="s">
        <v>15</v>
      </c>
      <c r="B16" s="9">
        <f>+SUMIF('Transaction Entry'!B10:B192,"Bin",'Transaction Entry'!H10:H192)</f>
        <v>0</v>
      </c>
      <c r="C16" s="14" cm="1">
        <f t="array" ref="C16">+SUMPRODUCT(--('Transaction Entry'!B10:B192="Bin"),'Transaction Entry'!F10:F192,'Transaction Entry'!H10:H192)</f>
        <v>0</v>
      </c>
      <c r="D16" s="15" t="str">
        <f t="shared" si="0"/>
        <v>$0.00</v>
      </c>
      <c r="E16" s="15"/>
      <c r="F16" s="2"/>
      <c r="G16" s="13"/>
      <c r="H16" s="2"/>
      <c r="I16" s="2"/>
      <c r="J16" s="15"/>
      <c r="K16" s="12"/>
      <c r="L16" s="115"/>
      <c r="M16" s="10"/>
      <c r="N16" s="2"/>
      <c r="Q16" s="4"/>
      <c r="R16" s="5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2.75" customHeight="1" x14ac:dyDescent="0.25">
      <c r="A17" s="2"/>
      <c r="B17" s="13"/>
      <c r="C17" s="2"/>
      <c r="D17" s="15"/>
      <c r="E17" s="15"/>
      <c r="F17" s="2"/>
      <c r="I17" s="2"/>
      <c r="J17" s="15"/>
      <c r="K17" s="12"/>
      <c r="L17" s="115"/>
      <c r="M17" s="10"/>
      <c r="N17" s="2"/>
      <c r="Q17" s="4"/>
      <c r="R17" s="5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2.75" customHeight="1" x14ac:dyDescent="0.25">
      <c r="A18" s="25" t="s">
        <v>7</v>
      </c>
      <c r="D18" s="15"/>
      <c r="E18" s="15"/>
      <c r="F18" s="2"/>
      <c r="I18" s="2"/>
      <c r="J18" s="15"/>
      <c r="K18" s="10"/>
      <c r="L18" s="115"/>
      <c r="M18" s="10"/>
      <c r="N18" s="2"/>
      <c r="Q18" s="4"/>
      <c r="R18" s="5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2.75" customHeight="1" x14ac:dyDescent="0.25">
      <c r="A19" s="6" t="s">
        <v>16</v>
      </c>
      <c r="B19" s="126" t="s">
        <v>17</v>
      </c>
      <c r="C19" s="15"/>
      <c r="D19" s="15"/>
      <c r="E19" s="15"/>
      <c r="F19" s="21"/>
      <c r="J19" s="36"/>
      <c r="K19" s="15"/>
      <c r="L19" s="115"/>
      <c r="M19" s="10"/>
      <c r="N19" s="10"/>
      <c r="O19" s="2"/>
      <c r="Q19" s="4"/>
      <c r="R19" s="5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2.75" customHeight="1" x14ac:dyDescent="0.25">
      <c r="A20" s="8" t="s">
        <v>189</v>
      </c>
      <c r="B20" s="108">
        <f>IF(B19="all",H64,SUMIF(B30:B62,B19,H30:H62))</f>
        <v>96518.401999999987</v>
      </c>
      <c r="C20" s="24">
        <f>IF(B19="all",L64,SUMIF(B30:B62,B19,L30:L62))</f>
        <v>503097.80451499997</v>
      </c>
      <c r="D20" s="15">
        <f t="shared" ref="D20:D21" si="1">IF(OR(ABS(B20)&lt;0.0000000001, ABS(C20)&lt;0.0000000001), "$0.00", C20/B20)</f>
        <v>5.2124547660351856</v>
      </c>
      <c r="E20" s="15"/>
      <c r="F20" s="21"/>
      <c r="J20" s="36"/>
      <c r="K20" s="15"/>
      <c r="L20" s="115"/>
      <c r="M20" s="10"/>
      <c r="N20" s="10"/>
      <c r="O20" s="2"/>
      <c r="Q20" s="4"/>
      <c r="R20" s="5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2.75" customHeight="1" x14ac:dyDescent="0.25">
      <c r="A21" s="8" t="s">
        <v>175</v>
      </c>
      <c r="B21" s="108">
        <f>IF(B19="ALL",(K64),(SUMIF(B30:B62,B19,K30:K63)))</f>
        <v>0</v>
      </c>
      <c r="C21" s="24" cm="1">
        <f t="array" ref="C21">IF(B19="All",(SUMPRODUCT(G30:G63,K30:K63)),(SUMPRODUCT((B30:B63=B19)*G30:G63,K30:K63)))</f>
        <v>0</v>
      </c>
      <c r="D21" s="15" t="str">
        <f t="shared" si="1"/>
        <v>$0.00</v>
      </c>
      <c r="F21" s="10"/>
      <c r="J21" s="10"/>
      <c r="K21" s="15"/>
      <c r="L21" s="115"/>
      <c r="M21" s="10"/>
      <c r="N21" s="2"/>
      <c r="O21" s="2"/>
      <c r="Q21" s="4"/>
      <c r="R21" s="5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2.75" customHeight="1" x14ac:dyDescent="0.25">
      <c r="A22" s="8" t="s">
        <v>18</v>
      </c>
      <c r="B22" s="108">
        <f>IF(B19&lt;&gt;"All",SUMIF(B30:B63,B19,J30:J63)-SUMIF(SS!B8:B43,B19,SS!D8:D43),+J64-SS!D44)</f>
        <v>-3217.5</v>
      </c>
      <c r="C22" s="24" cm="1">
        <f t="array" ref="C22">IF(B19="All",+O64-SS!E44,(SUMPRODUCT((B30:B63=B19)*G30:G63,J30:J63)-SUMIF(SS!B8:B43,B19,SS!E8:E43))+SUMIF(SS!B8:B43,B19,SS!I8:I43))</f>
        <v>-463151.381995</v>
      </c>
      <c r="D22" s="15">
        <f>IF(OR(ABS(B22)&lt;0.0000000001, ABS(C22)&lt;0.0000000001), "$0.00", C22/B22)</f>
        <v>143.94759347163946</v>
      </c>
      <c r="H22" s="112"/>
      <c r="J22" s="10"/>
      <c r="K22" s="15"/>
      <c r="L22" s="115"/>
      <c r="M22" s="10"/>
      <c r="N22" s="10"/>
      <c r="O22" s="2"/>
      <c r="Q22" s="4"/>
      <c r="R22" s="5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2.75" customHeight="1" x14ac:dyDescent="0.25">
      <c r="A23" s="8" t="s">
        <v>19</v>
      </c>
      <c r="B23" s="108">
        <f>IF(B19="All",+SS!D44,SUMIF(SS!B8:B43,B19,SS!D8:D43))</f>
        <v>10578.293</v>
      </c>
      <c r="C23" s="24">
        <f>IF(B19="All",SS!E44,SUMIF(SS!B8:B43,B19,SS!E8:E43))</f>
        <v>502774.82</v>
      </c>
      <c r="D23" s="15">
        <f>IF(OR(ABS(B23)&lt;0.0000000001, ABS(C23)&lt;0.0000000001), "$0.00", C23/B23)</f>
        <v>47.528917945456797</v>
      </c>
      <c r="E23" s="120" t="s">
        <v>38</v>
      </c>
      <c r="F23" s="22"/>
      <c r="H23" s="15"/>
      <c r="J23" s="2"/>
      <c r="K23" s="15"/>
      <c r="L23" s="115"/>
      <c r="M23" s="10"/>
      <c r="N23" s="10"/>
      <c r="O23" s="2"/>
      <c r="Q23" s="4"/>
      <c r="R23" s="5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2.75" customHeight="1" x14ac:dyDescent="0.25">
      <c r="A24" s="2"/>
      <c r="E24" s="120" t="s">
        <v>193</v>
      </c>
      <c r="F24" s="12"/>
      <c r="H24" s="13"/>
      <c r="I24" s="13"/>
      <c r="J24" s="28"/>
      <c r="K24" s="28"/>
      <c r="L24" s="113"/>
      <c r="M24" s="28" t="s">
        <v>68</v>
      </c>
      <c r="N24" s="28" t="s">
        <v>68</v>
      </c>
      <c r="O24" s="28" t="s">
        <v>68</v>
      </c>
      <c r="Q24" s="4"/>
      <c r="R24" s="5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2.75" customHeight="1" x14ac:dyDescent="0.25">
      <c r="A25" s="25" t="s">
        <v>20</v>
      </c>
      <c r="B25" s="25">
        <f>ABS(B23+B22)</f>
        <v>7360.7929999999997</v>
      </c>
      <c r="C25" s="26">
        <f>ABS(C23+C22)</f>
        <v>39623.438005000004</v>
      </c>
      <c r="D25" s="27">
        <f>IFERROR(IF(B25=0,0,+C25/B25),"Input error")</f>
        <v>5.3830393009285826</v>
      </c>
      <c r="E25" s="120" t="s">
        <v>194</v>
      </c>
      <c r="F25" s="12"/>
      <c r="H25" s="25"/>
      <c r="I25" s="28" t="s">
        <v>180</v>
      </c>
      <c r="J25" s="26"/>
      <c r="K25" s="113"/>
      <c r="L25" s="116"/>
      <c r="Q25" s="4"/>
      <c r="R25" s="5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2.75" customHeight="1" x14ac:dyDescent="0.25">
      <c r="A26" s="29" t="str">
        <f>IF(B19&lt;&gt;"All","On Error Warning Cell do not delete",IF(+C9-(C25+C7)&lt;&gt;0,"Error, C24+C6 do not equal C8","On Error Warning Cell do not delete"))</f>
        <v>Error, C24+C6 do not equal C8</v>
      </c>
      <c r="B26" s="12"/>
      <c r="C26" s="2"/>
      <c r="D26" s="15"/>
      <c r="E26" s="120" t="s">
        <v>194</v>
      </c>
      <c r="F26" s="30"/>
      <c r="H26" s="2"/>
      <c r="I26" s="28" t="s">
        <v>21</v>
      </c>
      <c r="K26" s="30"/>
      <c r="L26" s="28" t="s">
        <v>181</v>
      </c>
      <c r="M26" s="2"/>
      <c r="N26" s="28" t="s">
        <v>22</v>
      </c>
      <c r="O26" s="28" t="s">
        <v>23</v>
      </c>
      <c r="Q26" s="4"/>
      <c r="R26" s="5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2.75" customHeight="1" x14ac:dyDescent="0.25">
      <c r="A27" s="31" t="str">
        <f>IF((B9 - H48) &lt; 0, "Warning: Negative Unsold Corn!", "")</f>
        <v/>
      </c>
      <c r="B27" s="25"/>
      <c r="C27" s="25"/>
      <c r="D27" s="25"/>
      <c r="E27" s="120" t="s">
        <v>180</v>
      </c>
      <c r="F27" s="11"/>
      <c r="G27" s="28" t="s">
        <v>36</v>
      </c>
      <c r="H27" s="2"/>
      <c r="I27" s="28" t="s">
        <v>24</v>
      </c>
      <c r="J27" s="28" t="s">
        <v>182</v>
      </c>
      <c r="L27" s="28" t="s">
        <v>183</v>
      </c>
      <c r="N27" s="28" t="s">
        <v>25</v>
      </c>
      <c r="O27" s="28" t="s">
        <v>26</v>
      </c>
      <c r="Q27" s="4"/>
      <c r="R27" s="5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2.75" customHeight="1" x14ac:dyDescent="0.25">
      <c r="A28" s="31" t="s">
        <v>27</v>
      </c>
      <c r="B28" s="2"/>
      <c r="C28" s="28"/>
      <c r="D28" s="2"/>
      <c r="E28" s="120" t="s">
        <v>193</v>
      </c>
      <c r="F28" s="2"/>
      <c r="G28" s="28" t="s">
        <v>184</v>
      </c>
      <c r="H28" s="20" t="s">
        <v>12</v>
      </c>
      <c r="I28" s="28" t="s">
        <v>28</v>
      </c>
      <c r="J28" s="28" t="s">
        <v>185</v>
      </c>
      <c r="K28" s="28" t="s">
        <v>29</v>
      </c>
      <c r="L28" s="28" t="s">
        <v>23</v>
      </c>
      <c r="M28" s="28" t="s">
        <v>23</v>
      </c>
      <c r="N28" s="28" t="s">
        <v>30</v>
      </c>
      <c r="O28" s="28" t="s">
        <v>31</v>
      </c>
      <c r="Q28" s="4"/>
      <c r="R28" s="5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2.75" customHeight="1" x14ac:dyDescent="0.25">
      <c r="A29" s="20" t="s">
        <v>32</v>
      </c>
      <c r="B29" s="20" t="s">
        <v>33</v>
      </c>
      <c r="C29" s="20" t="s">
        <v>34</v>
      </c>
      <c r="D29" s="20" t="s">
        <v>35</v>
      </c>
      <c r="E29" s="120" t="s">
        <v>28</v>
      </c>
      <c r="F29" s="20" t="s">
        <v>36</v>
      </c>
      <c r="G29" s="28" t="s">
        <v>40</v>
      </c>
      <c r="H29" s="20" t="s">
        <v>29</v>
      </c>
      <c r="I29" s="28" t="s">
        <v>38</v>
      </c>
      <c r="J29" s="28" t="s">
        <v>37</v>
      </c>
      <c r="K29" s="28" t="s">
        <v>39</v>
      </c>
      <c r="L29" s="28" t="s">
        <v>31</v>
      </c>
      <c r="M29" s="28" t="s">
        <v>40</v>
      </c>
      <c r="N29" s="28" t="str">
        <f>+SS!I7</f>
        <v>Debit/Credit</v>
      </c>
      <c r="O29" s="28" t="s">
        <v>41</v>
      </c>
      <c r="Q29" s="4"/>
      <c r="R29" s="5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2.75" customHeight="1" x14ac:dyDescent="0.25">
      <c r="A30" s="129">
        <v>45320</v>
      </c>
      <c r="B30" s="130" t="s">
        <v>44</v>
      </c>
      <c r="C30" s="131" t="s">
        <v>45</v>
      </c>
      <c r="D30" s="132">
        <v>45474</v>
      </c>
      <c r="E30" s="132" t="s">
        <v>195</v>
      </c>
      <c r="F30" s="133">
        <v>4.6875</v>
      </c>
      <c r="G30" s="30">
        <f t="shared" ref="G30:G45" si="2">+IF(F30=0,0,IF(B30&lt;&gt;"Ken",F30-0.01,F30))</f>
        <v>4.6775000000000002</v>
      </c>
      <c r="H30" s="137">
        <v>5000</v>
      </c>
      <c r="I30" s="3">
        <f>COUNTIF('Transaction Entry'!E$10:E$192,C30)</f>
        <v>0</v>
      </c>
      <c r="J30" s="19">
        <f>SUMIF('Transaction Entry'!E$10:E$192,C30,'Transaction Entry'!H$10:H$192)</f>
        <v>0</v>
      </c>
      <c r="K30" s="35">
        <f t="shared" ref="K30:K45" si="3">IF(E30="Y",0,+J30-H30)</f>
        <v>0</v>
      </c>
      <c r="L30" s="10">
        <f t="shared" ref="L30:L45" si="4">+G30*H30</f>
        <v>23387.5</v>
      </c>
      <c r="M30" s="10">
        <f t="shared" ref="M30:M45" si="5">IF(F30-G30=0,0,0.01*J30)</f>
        <v>0</v>
      </c>
      <c r="N30" s="36">
        <f>+SS!I17</f>
        <v>0</v>
      </c>
      <c r="O30" s="10">
        <f t="shared" ref="O30:O45" si="6">(+J30*G30)+N30</f>
        <v>0</v>
      </c>
      <c r="Q30" s="4"/>
      <c r="R30" s="123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2.75" customHeight="1" x14ac:dyDescent="0.25">
      <c r="A31" s="129">
        <v>45320</v>
      </c>
      <c r="B31" s="130" t="s">
        <v>44</v>
      </c>
      <c r="C31" s="131" t="s">
        <v>46</v>
      </c>
      <c r="D31" s="132">
        <v>45474</v>
      </c>
      <c r="E31" s="132" t="s">
        <v>195</v>
      </c>
      <c r="F31" s="133">
        <v>4.6875</v>
      </c>
      <c r="G31" s="30">
        <f t="shared" si="2"/>
        <v>4.6775000000000002</v>
      </c>
      <c r="H31" s="137">
        <v>5000</v>
      </c>
      <c r="I31" s="3">
        <f>COUNTIF('Transaction Entry'!E$10:E$192,C31)</f>
        <v>0</v>
      </c>
      <c r="J31" s="19">
        <f>SUMIF('Transaction Entry'!E$10:E$192,C31,'Transaction Entry'!H$10:H$192)</f>
        <v>0</v>
      </c>
      <c r="K31" s="35">
        <f t="shared" si="3"/>
        <v>0</v>
      </c>
      <c r="L31" s="10">
        <f t="shared" si="4"/>
        <v>23387.5</v>
      </c>
      <c r="M31" s="10">
        <f t="shared" si="5"/>
        <v>0</v>
      </c>
      <c r="N31" s="36">
        <f>+SS!I18</f>
        <v>0</v>
      </c>
      <c r="O31" s="10">
        <f t="shared" si="6"/>
        <v>0</v>
      </c>
      <c r="Q31" s="4"/>
      <c r="R31" s="123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2.75" customHeight="1" x14ac:dyDescent="0.25">
      <c r="A32" s="129">
        <v>45489</v>
      </c>
      <c r="B32" s="130" t="s">
        <v>44</v>
      </c>
      <c r="C32" s="131" t="s">
        <v>48</v>
      </c>
      <c r="D32" s="132">
        <v>45528</v>
      </c>
      <c r="E32" s="132" t="s">
        <v>195</v>
      </c>
      <c r="F32" s="133">
        <v>4.95</v>
      </c>
      <c r="G32" s="30">
        <f t="shared" si="2"/>
        <v>4.9400000000000004</v>
      </c>
      <c r="H32" s="137">
        <v>5000</v>
      </c>
      <c r="I32" s="3">
        <f>COUNTIF('Transaction Entry'!E$10:E$192,C32)</f>
        <v>0</v>
      </c>
      <c r="J32" s="19">
        <f>SUMIF('Transaction Entry'!E$10:E$192,C32,'Transaction Entry'!H$10:H$192)</f>
        <v>0</v>
      </c>
      <c r="K32" s="35">
        <f t="shared" si="3"/>
        <v>0</v>
      </c>
      <c r="L32" s="10">
        <f t="shared" si="4"/>
        <v>24700.000000000004</v>
      </c>
      <c r="M32" s="10">
        <f t="shared" si="5"/>
        <v>0</v>
      </c>
      <c r="N32" s="36">
        <f>+SS!I22</f>
        <v>1200.01</v>
      </c>
      <c r="O32" s="10">
        <f t="shared" si="6"/>
        <v>1200.01</v>
      </c>
      <c r="Q32" s="4"/>
      <c r="R32" s="123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2.75" customHeight="1" x14ac:dyDescent="0.25">
      <c r="A33" s="129">
        <v>45489</v>
      </c>
      <c r="B33" s="130" t="s">
        <v>44</v>
      </c>
      <c r="C33" s="131" t="s">
        <v>49</v>
      </c>
      <c r="D33" s="132">
        <v>45528</v>
      </c>
      <c r="E33" s="132" t="s">
        <v>195</v>
      </c>
      <c r="F33" s="133">
        <v>4.95</v>
      </c>
      <c r="G33" s="30">
        <f t="shared" si="2"/>
        <v>4.9400000000000004</v>
      </c>
      <c r="H33" s="137">
        <v>5000</v>
      </c>
      <c r="I33" s="3">
        <f>COUNTIF('Transaction Entry'!E$10:E$192,C33)</f>
        <v>0</v>
      </c>
      <c r="J33" s="19">
        <f>SUMIF('Transaction Entry'!E$10:E$192,C33,'Transaction Entry'!H$10:H$192)</f>
        <v>0</v>
      </c>
      <c r="K33" s="35">
        <f t="shared" si="3"/>
        <v>0</v>
      </c>
      <c r="L33" s="10">
        <f t="shared" si="4"/>
        <v>24700.000000000004</v>
      </c>
      <c r="M33" s="10">
        <f t="shared" si="5"/>
        <v>0</v>
      </c>
      <c r="N33" s="36">
        <f>+SS!I23</f>
        <v>0</v>
      </c>
      <c r="O33" s="10">
        <f t="shared" si="6"/>
        <v>0</v>
      </c>
      <c r="Q33" s="4"/>
      <c r="R33" s="5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2.75" customHeight="1" x14ac:dyDescent="0.25">
      <c r="A34" s="129">
        <v>45282</v>
      </c>
      <c r="B34" s="130" t="s">
        <v>43</v>
      </c>
      <c r="C34" s="134">
        <v>253186</v>
      </c>
      <c r="D34" s="132">
        <v>45283</v>
      </c>
      <c r="E34" s="132" t="s">
        <v>195</v>
      </c>
      <c r="F34" s="133">
        <v>4.5999999999999996</v>
      </c>
      <c r="G34" s="30">
        <f t="shared" si="2"/>
        <v>4.5999999999999996</v>
      </c>
      <c r="H34" s="137">
        <v>1043</v>
      </c>
      <c r="I34" s="3">
        <f>COUNTIF('Transaction Entry'!E$10:E$192,C34)</f>
        <v>0</v>
      </c>
      <c r="J34" s="19">
        <f>SUMIF('Transaction Entry'!E$10:E$192,C34,'Transaction Entry'!H$10:H$192)</f>
        <v>0</v>
      </c>
      <c r="K34" s="35">
        <f t="shared" si="3"/>
        <v>0</v>
      </c>
      <c r="L34" s="10">
        <f t="shared" si="4"/>
        <v>4797.7999999999993</v>
      </c>
      <c r="M34" s="10">
        <f t="shared" si="5"/>
        <v>0</v>
      </c>
      <c r="N34" s="36">
        <f>+SS!I16</f>
        <v>0</v>
      </c>
      <c r="O34" s="10">
        <f t="shared" si="6"/>
        <v>0</v>
      </c>
      <c r="Q34" s="4"/>
      <c r="R34" s="5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2.75" customHeight="1" x14ac:dyDescent="0.25">
      <c r="A35" s="129">
        <v>45386</v>
      </c>
      <c r="B35" s="130" t="s">
        <v>43</v>
      </c>
      <c r="C35" s="131" t="s">
        <v>47</v>
      </c>
      <c r="D35" s="132">
        <v>45436</v>
      </c>
      <c r="E35" s="132" t="s">
        <v>195</v>
      </c>
      <c r="F35" s="133">
        <v>4.6640028723744109</v>
      </c>
      <c r="G35" s="30">
        <f t="shared" si="2"/>
        <v>4.6640028723744109</v>
      </c>
      <c r="H35" s="137">
        <v>5305.7150000000001</v>
      </c>
      <c r="I35" s="3">
        <f>COUNTIF('Transaction Entry'!E$10:E$192,C35)</f>
        <v>0</v>
      </c>
      <c r="J35" s="19">
        <f>SUMIF('Transaction Entry'!E$10:E$192,C35,'Transaction Entry'!H$10:H$192)</f>
        <v>0</v>
      </c>
      <c r="K35" s="35">
        <f t="shared" si="3"/>
        <v>0</v>
      </c>
      <c r="L35" s="10">
        <f t="shared" si="4"/>
        <v>24745.87</v>
      </c>
      <c r="M35" s="10">
        <f t="shared" si="5"/>
        <v>0</v>
      </c>
      <c r="N35" s="36">
        <f>+SS!I19</f>
        <v>0</v>
      </c>
      <c r="O35" s="10">
        <f t="shared" si="6"/>
        <v>0</v>
      </c>
      <c r="Q35" s="4"/>
      <c r="R35" s="5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2.75" customHeight="1" x14ac:dyDescent="0.25">
      <c r="A36" s="129">
        <v>44999</v>
      </c>
      <c r="B36" s="130" t="s">
        <v>42</v>
      </c>
      <c r="C36" s="131">
        <v>32519</v>
      </c>
      <c r="D36" s="132">
        <v>45231</v>
      </c>
      <c r="E36" s="132" t="s">
        <v>195</v>
      </c>
      <c r="F36" s="133">
        <v>5.6974999999999998</v>
      </c>
      <c r="G36" s="30">
        <f t="shared" si="2"/>
        <v>5.6875</v>
      </c>
      <c r="H36" s="137">
        <v>5000</v>
      </c>
      <c r="I36" s="3">
        <f>COUNTIF('Transaction Entry'!E$10:E$192,C36)</f>
        <v>0</v>
      </c>
      <c r="J36" s="19">
        <f>SUMIF('Transaction Entry'!E$10:E$192,C36,'Transaction Entry'!H$10:H$192)</f>
        <v>0</v>
      </c>
      <c r="K36" s="35">
        <f t="shared" si="3"/>
        <v>0</v>
      </c>
      <c r="L36" s="10">
        <f t="shared" si="4"/>
        <v>28437.5</v>
      </c>
      <c r="M36" s="10">
        <f t="shared" si="5"/>
        <v>0</v>
      </c>
      <c r="N36" s="36">
        <f>+SS!I8</f>
        <v>0</v>
      </c>
      <c r="O36" s="10">
        <f t="shared" si="6"/>
        <v>0</v>
      </c>
      <c r="Q36" s="4"/>
      <c r="R36" s="5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2.75" customHeight="1" x14ac:dyDescent="0.25">
      <c r="A37" s="129">
        <v>45076</v>
      </c>
      <c r="B37" s="130" t="s">
        <v>42</v>
      </c>
      <c r="C37" s="131">
        <v>32820</v>
      </c>
      <c r="D37" s="132">
        <v>45231</v>
      </c>
      <c r="E37" s="132" t="s">
        <v>195</v>
      </c>
      <c r="F37" s="133">
        <v>5.3849999999999998</v>
      </c>
      <c r="G37" s="30">
        <f t="shared" si="2"/>
        <v>5.375</v>
      </c>
      <c r="H37" s="137">
        <v>15000</v>
      </c>
      <c r="I37" s="3">
        <f>COUNTIF('Transaction Entry'!E$10:E$192,C37)</f>
        <v>3</v>
      </c>
      <c r="J37" s="19">
        <f>SUMIF('Transaction Entry'!E$10:E$192,C37,'Transaction Entry'!H$10:H$192)</f>
        <v>3683.5630000000001</v>
      </c>
      <c r="K37" s="35">
        <f t="shared" si="3"/>
        <v>0</v>
      </c>
      <c r="L37" s="10">
        <f t="shared" si="4"/>
        <v>80625</v>
      </c>
      <c r="M37" s="10">
        <f t="shared" si="5"/>
        <v>36.835630000000002</v>
      </c>
      <c r="N37" s="36">
        <v>-0.02</v>
      </c>
      <c r="O37" s="10">
        <f t="shared" si="6"/>
        <v>19799.131125</v>
      </c>
      <c r="Q37" s="4"/>
      <c r="R37" s="5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2.75" customHeight="1" x14ac:dyDescent="0.25">
      <c r="A38" s="129">
        <v>45082</v>
      </c>
      <c r="B38" s="130" t="s">
        <v>42</v>
      </c>
      <c r="C38" s="131">
        <v>32864</v>
      </c>
      <c r="D38" s="132">
        <v>45231</v>
      </c>
      <c r="E38" s="132" t="s">
        <v>195</v>
      </c>
      <c r="F38" s="133">
        <v>5.4249999999999998</v>
      </c>
      <c r="G38" s="30">
        <f t="shared" si="2"/>
        <v>5.415</v>
      </c>
      <c r="H38" s="137">
        <v>10000</v>
      </c>
      <c r="I38" s="3">
        <f>COUNTIF('Transaction Entry'!E$10:E$192,C38)</f>
        <v>0</v>
      </c>
      <c r="J38" s="19">
        <f>SUMIF('Transaction Entry'!E$10:E$192,C38,'Transaction Entry'!H$10:H$192)</f>
        <v>0</v>
      </c>
      <c r="K38" s="35">
        <f t="shared" si="3"/>
        <v>0</v>
      </c>
      <c r="L38" s="10">
        <f t="shared" si="4"/>
        <v>54150</v>
      </c>
      <c r="M38" s="10">
        <f t="shared" si="5"/>
        <v>0</v>
      </c>
      <c r="N38" s="36">
        <f>+SS!I10</f>
        <v>0</v>
      </c>
      <c r="O38" s="10">
        <f t="shared" si="6"/>
        <v>0</v>
      </c>
      <c r="Q38" s="4"/>
      <c r="R38" s="5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2.75" customHeight="1" x14ac:dyDescent="0.25">
      <c r="A39" s="129">
        <v>45217</v>
      </c>
      <c r="B39" s="130" t="s">
        <v>42</v>
      </c>
      <c r="C39" s="131">
        <v>33686</v>
      </c>
      <c r="D39" s="132">
        <v>45231</v>
      </c>
      <c r="E39" s="132" t="s">
        <v>195</v>
      </c>
      <c r="F39" s="133">
        <v>5.8775000000000004</v>
      </c>
      <c r="G39" s="30">
        <f t="shared" si="2"/>
        <v>5.8675000000000006</v>
      </c>
      <c r="H39" s="137">
        <v>10000</v>
      </c>
      <c r="I39" s="3">
        <f>COUNTIF('Transaction Entry'!E$10:E$192,C39)</f>
        <v>0</v>
      </c>
      <c r="J39" s="19">
        <f>SUMIF('Transaction Entry'!E$10:E$192,C39,'Transaction Entry'!H$10:H$192)</f>
        <v>0</v>
      </c>
      <c r="K39" s="35">
        <f t="shared" si="3"/>
        <v>0</v>
      </c>
      <c r="L39" s="10">
        <f t="shared" si="4"/>
        <v>58675.000000000007</v>
      </c>
      <c r="M39" s="10">
        <f t="shared" si="5"/>
        <v>0</v>
      </c>
      <c r="N39" s="36">
        <f>+SS!I11</f>
        <v>0</v>
      </c>
      <c r="O39" s="10">
        <f t="shared" si="6"/>
        <v>0</v>
      </c>
      <c r="Q39" s="4"/>
      <c r="R39" s="5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2.75" customHeight="1" x14ac:dyDescent="0.25">
      <c r="A40" s="129">
        <v>45217</v>
      </c>
      <c r="B40" s="130" t="s">
        <v>42</v>
      </c>
      <c r="C40" s="131">
        <v>33687</v>
      </c>
      <c r="D40" s="132">
        <v>45231</v>
      </c>
      <c r="E40" s="132" t="s">
        <v>195</v>
      </c>
      <c r="F40" s="133">
        <v>5.8425000000000002</v>
      </c>
      <c r="G40" s="30">
        <f t="shared" si="2"/>
        <v>5.8325000000000005</v>
      </c>
      <c r="H40" s="137">
        <v>5000</v>
      </c>
      <c r="I40" s="3">
        <f>COUNTIF('Transaction Entry'!E$10:E$192,C40)</f>
        <v>1</v>
      </c>
      <c r="J40" s="19">
        <f>SUMIF('Transaction Entry'!E$10:E$192,C40,'Transaction Entry'!H$10:H$192)</f>
        <v>1231.0709999999999</v>
      </c>
      <c r="K40" s="35">
        <f t="shared" si="3"/>
        <v>0</v>
      </c>
      <c r="L40" s="10">
        <f t="shared" si="4"/>
        <v>29162.500000000004</v>
      </c>
      <c r="M40" s="10">
        <f t="shared" si="5"/>
        <v>12.31071</v>
      </c>
      <c r="N40" s="36">
        <f>+SS!I12</f>
        <v>0</v>
      </c>
      <c r="O40" s="10">
        <f t="shared" si="6"/>
        <v>7180.2216074999997</v>
      </c>
      <c r="Q40" s="4"/>
      <c r="R40" s="5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2.75" customHeight="1" x14ac:dyDescent="0.25">
      <c r="A41" s="129">
        <v>45243</v>
      </c>
      <c r="B41" s="130" t="s">
        <v>42</v>
      </c>
      <c r="C41" s="127">
        <v>33826</v>
      </c>
      <c r="D41" s="132">
        <v>45231</v>
      </c>
      <c r="E41" s="132" t="s">
        <v>195</v>
      </c>
      <c r="F41" s="133">
        <v>4.6475</v>
      </c>
      <c r="G41" s="30">
        <f t="shared" si="2"/>
        <v>4.6375000000000002</v>
      </c>
      <c r="H41" s="137">
        <v>3611.79</v>
      </c>
      <c r="I41" s="3">
        <f>COUNTIF('Transaction Entry'!E$10:E$192,C41)</f>
        <v>2</v>
      </c>
      <c r="J41" s="19">
        <f>SUMIF('Transaction Entry'!E$10:E$192,C41,'Transaction Entry'!H$10:H$192)</f>
        <v>2446.1589999999997</v>
      </c>
      <c r="K41" s="35">
        <f t="shared" si="3"/>
        <v>0</v>
      </c>
      <c r="L41" s="10">
        <f t="shared" si="4"/>
        <v>16749.676125000002</v>
      </c>
      <c r="M41" s="10">
        <f t="shared" si="5"/>
        <v>24.461589999999998</v>
      </c>
      <c r="N41" s="36">
        <f>+SS!I13</f>
        <v>0</v>
      </c>
      <c r="O41" s="10">
        <f t="shared" si="6"/>
        <v>11344.062362499999</v>
      </c>
      <c r="Q41" s="4"/>
      <c r="R41" s="5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2.75" customHeight="1" x14ac:dyDescent="0.25">
      <c r="A42" s="129">
        <v>45251</v>
      </c>
      <c r="B42" s="130" t="s">
        <v>42</v>
      </c>
      <c r="C42" s="131">
        <v>34570</v>
      </c>
      <c r="D42" s="132">
        <v>45444</v>
      </c>
      <c r="E42" s="132" t="s">
        <v>195</v>
      </c>
      <c r="F42" s="133">
        <v>5.3</v>
      </c>
      <c r="G42" s="30">
        <f t="shared" si="2"/>
        <v>5.29</v>
      </c>
      <c r="H42" s="137">
        <v>10000</v>
      </c>
      <c r="I42" s="3">
        <f>COUNTIF('Transaction Entry'!E$10:E$192,C42)</f>
        <v>0</v>
      </c>
      <c r="J42" s="19">
        <f>SUMIF('Transaction Entry'!E$10:E$192,C42,'Transaction Entry'!H$10:H$192)</f>
        <v>0</v>
      </c>
      <c r="K42" s="35">
        <f t="shared" si="3"/>
        <v>0</v>
      </c>
      <c r="L42" s="10">
        <f t="shared" si="4"/>
        <v>52900</v>
      </c>
      <c r="M42" s="10">
        <f t="shared" si="5"/>
        <v>0</v>
      </c>
      <c r="N42" s="36">
        <f>+SS!I14</f>
        <v>0</v>
      </c>
      <c r="O42" s="10">
        <f t="shared" si="6"/>
        <v>0</v>
      </c>
      <c r="Q42" s="4"/>
      <c r="R42" s="5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2.75" customHeight="1" x14ac:dyDescent="0.25">
      <c r="A43" s="129">
        <v>45266</v>
      </c>
      <c r="B43" s="130" t="s">
        <v>42</v>
      </c>
      <c r="C43" s="131">
        <v>34571</v>
      </c>
      <c r="D43" s="132">
        <v>45444</v>
      </c>
      <c r="E43" s="132" t="s">
        <v>195</v>
      </c>
      <c r="F43" s="133">
        <v>5.25</v>
      </c>
      <c r="G43" s="30">
        <f t="shared" si="2"/>
        <v>5.24</v>
      </c>
      <c r="H43" s="137">
        <v>5000</v>
      </c>
      <c r="I43" s="3">
        <f>COUNTIF('Transaction Entry'!E$10:E$192,C43)</f>
        <v>0</v>
      </c>
      <c r="J43" s="19">
        <f>SUMIF('Transaction Entry'!E$10:E$192,C43,'Transaction Entry'!H$10:H$192)</f>
        <v>0</v>
      </c>
      <c r="K43" s="35">
        <f t="shared" si="3"/>
        <v>0</v>
      </c>
      <c r="L43" s="10">
        <f t="shared" si="4"/>
        <v>26200</v>
      </c>
      <c r="M43" s="10">
        <f t="shared" si="5"/>
        <v>0</v>
      </c>
      <c r="N43" s="36">
        <f>+SS!I15</f>
        <v>0</v>
      </c>
      <c r="O43" s="10">
        <f t="shared" si="6"/>
        <v>0</v>
      </c>
      <c r="Q43" s="4"/>
      <c r="R43" s="5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2.75" customHeight="1" x14ac:dyDescent="0.25">
      <c r="A44" s="129">
        <v>45397</v>
      </c>
      <c r="B44" s="130" t="s">
        <v>42</v>
      </c>
      <c r="C44" s="131">
        <v>34442</v>
      </c>
      <c r="D44" s="132">
        <v>45406</v>
      </c>
      <c r="E44" s="132" t="s">
        <v>195</v>
      </c>
      <c r="F44" s="133">
        <v>4.6150000000000002</v>
      </c>
      <c r="G44" s="30">
        <f t="shared" si="2"/>
        <v>4.6050000000000004</v>
      </c>
      <c r="H44" s="137">
        <v>5500</v>
      </c>
      <c r="I44" s="3">
        <f>COUNTIF('Transaction Entry'!E$10:E$192,C44)</f>
        <v>0</v>
      </c>
      <c r="J44" s="19">
        <f>SUMIF('Transaction Entry'!E$10:E$192,C44,'Transaction Entry'!H$10:H$192)</f>
        <v>0</v>
      </c>
      <c r="K44" s="35">
        <f t="shared" si="3"/>
        <v>0</v>
      </c>
      <c r="L44" s="10">
        <f t="shared" si="4"/>
        <v>25327.500000000004</v>
      </c>
      <c r="M44" s="10">
        <f t="shared" si="5"/>
        <v>0</v>
      </c>
      <c r="N44" s="36">
        <f>+SS!I20</f>
        <v>400</v>
      </c>
      <c r="O44" s="10">
        <f t="shared" si="6"/>
        <v>400</v>
      </c>
      <c r="Q44" s="4"/>
      <c r="R44" s="5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2.75" customHeight="1" x14ac:dyDescent="0.25">
      <c r="A45" s="129">
        <v>45475</v>
      </c>
      <c r="B45" s="130" t="s">
        <v>42</v>
      </c>
      <c r="C45" s="131">
        <v>34742</v>
      </c>
      <c r="D45" s="132">
        <v>45474</v>
      </c>
      <c r="E45" s="132" t="s">
        <v>195</v>
      </c>
      <c r="F45" s="133">
        <v>4.88</v>
      </c>
      <c r="G45" s="30">
        <f t="shared" si="2"/>
        <v>4.87</v>
      </c>
      <c r="H45" s="137">
        <v>1057.8969999999999</v>
      </c>
      <c r="I45" s="3">
        <f>COUNTIF('Transaction Entry'!E$10:E$192,C45)</f>
        <v>0</v>
      </c>
      <c r="J45" s="19">
        <f>SUMIF('Transaction Entry'!E$10:E$192,C45,'Transaction Entry'!H$10:H$192)</f>
        <v>0</v>
      </c>
      <c r="K45" s="35">
        <f t="shared" si="3"/>
        <v>0</v>
      </c>
      <c r="L45" s="10">
        <f t="shared" si="4"/>
        <v>5151.9583899999998</v>
      </c>
      <c r="M45" s="10">
        <f t="shared" si="5"/>
        <v>0</v>
      </c>
      <c r="N45" s="36">
        <f>+SS!I21</f>
        <v>0</v>
      </c>
      <c r="O45" s="10">
        <f t="shared" si="6"/>
        <v>0</v>
      </c>
      <c r="Q45" s="4"/>
      <c r="R45" s="5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2.75" customHeight="1" x14ac:dyDescent="0.25">
      <c r="A46" s="129"/>
      <c r="B46" s="130"/>
      <c r="C46" s="135">
        <v>0</v>
      </c>
      <c r="D46" s="132"/>
      <c r="E46" s="132" t="s">
        <v>196</v>
      </c>
      <c r="F46" s="133">
        <v>0</v>
      </c>
      <c r="G46" s="30">
        <f t="shared" ref="G46" si="7">+IF(F46=0,0,IF(B46&lt;&gt;"Ken",F46-0.01,F46))</f>
        <v>0</v>
      </c>
      <c r="H46" s="137">
        <v>0</v>
      </c>
      <c r="I46" s="3">
        <f>COUNTIF('Transaction Entry'!E$10:E$192,C46)</f>
        <v>0</v>
      </c>
      <c r="J46" s="19">
        <f>SUMIF('Transaction Entry'!E$10:E$192,C46,'Transaction Entry'!H$10:H$192)</f>
        <v>0</v>
      </c>
      <c r="K46" s="35">
        <f t="shared" ref="K46:K63" si="8">IF(E46="Y",0,+J46-H46)</f>
        <v>0</v>
      </c>
      <c r="L46" s="10">
        <f t="shared" ref="L46:L63" si="9">+G46*H46</f>
        <v>0</v>
      </c>
      <c r="M46" s="10">
        <f t="shared" ref="M46:M63" si="10">IF(F46-G46=0,0,0.01*J46)</f>
        <v>0</v>
      </c>
      <c r="N46" s="36">
        <f>+SS!I24</f>
        <v>0</v>
      </c>
      <c r="O46" s="10">
        <f t="shared" ref="O46:O63" si="11">(+J46*G46)+N46</f>
        <v>0</v>
      </c>
      <c r="Q46" s="4"/>
      <c r="R46" s="5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2.75" customHeight="1" x14ac:dyDescent="0.25">
      <c r="A47" s="129"/>
      <c r="B47" s="130"/>
      <c r="C47" s="135">
        <v>0</v>
      </c>
      <c r="D47" s="132"/>
      <c r="E47" s="132" t="s">
        <v>196</v>
      </c>
      <c r="F47" s="133">
        <v>0</v>
      </c>
      <c r="G47" s="30">
        <f t="shared" ref="G47:G63" si="12">+IF(F47=0,0,IF(B47&lt;&gt;"Ken",F47-0.01,F47))</f>
        <v>0</v>
      </c>
      <c r="H47" s="137">
        <v>0</v>
      </c>
      <c r="I47" s="3">
        <f>COUNTIF('Transaction Entry'!E$10:E$192,C47)</f>
        <v>0</v>
      </c>
      <c r="J47" s="19">
        <f>SUMIF('Transaction Entry'!E$10:E$192,C47,'Transaction Entry'!H$10:H$192)</f>
        <v>0</v>
      </c>
      <c r="K47" s="35">
        <f t="shared" si="8"/>
        <v>0</v>
      </c>
      <c r="L47" s="10">
        <f t="shared" si="9"/>
        <v>0</v>
      </c>
      <c r="M47" s="10">
        <f t="shared" si="10"/>
        <v>0</v>
      </c>
      <c r="N47" s="36">
        <f>+SS!I25</f>
        <v>0</v>
      </c>
      <c r="O47" s="10">
        <f t="shared" si="11"/>
        <v>0</v>
      </c>
      <c r="Q47" s="4"/>
      <c r="R47" s="5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2.75" customHeight="1" x14ac:dyDescent="0.25">
      <c r="A48" s="129"/>
      <c r="B48" s="130"/>
      <c r="C48" s="135">
        <v>0</v>
      </c>
      <c r="D48" s="132"/>
      <c r="E48" s="132" t="s">
        <v>196</v>
      </c>
      <c r="F48" s="133">
        <v>0</v>
      </c>
      <c r="G48" s="30">
        <f t="shared" si="12"/>
        <v>0</v>
      </c>
      <c r="H48" s="137">
        <v>0</v>
      </c>
      <c r="I48" s="3">
        <f>COUNTIF('Transaction Entry'!E$10:E$192,C48)</f>
        <v>0</v>
      </c>
      <c r="J48" s="19">
        <f>SUMIF('Transaction Entry'!E$10:E$192,C48,'Transaction Entry'!H$10:H$192)</f>
        <v>0</v>
      </c>
      <c r="K48" s="35">
        <f t="shared" si="8"/>
        <v>0</v>
      </c>
      <c r="L48" s="10">
        <f t="shared" si="9"/>
        <v>0</v>
      </c>
      <c r="M48" s="10">
        <f t="shared" si="10"/>
        <v>0</v>
      </c>
      <c r="N48" s="36">
        <f>+SS!I26</f>
        <v>-299.9870900000189</v>
      </c>
      <c r="O48" s="10">
        <f t="shared" si="11"/>
        <v>-299.9870900000189</v>
      </c>
      <c r="Q48" s="4"/>
      <c r="R48" s="5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2.75" customHeight="1" x14ac:dyDescent="0.25">
      <c r="A49" s="129"/>
      <c r="B49" s="130"/>
      <c r="C49" s="135">
        <v>0</v>
      </c>
      <c r="D49" s="132"/>
      <c r="E49" s="132" t="s">
        <v>196</v>
      </c>
      <c r="F49" s="133">
        <v>0</v>
      </c>
      <c r="G49" s="30">
        <f t="shared" si="12"/>
        <v>0</v>
      </c>
      <c r="H49" s="137">
        <v>0</v>
      </c>
      <c r="I49" s="3">
        <f>COUNTIF('Transaction Entry'!E$10:E$192,C49)</f>
        <v>0</v>
      </c>
      <c r="J49" s="19">
        <f>SUMIF('Transaction Entry'!E$10:E$192,C49,'Transaction Entry'!H$10:H$192)</f>
        <v>0</v>
      </c>
      <c r="K49" s="35">
        <f t="shared" si="8"/>
        <v>0</v>
      </c>
      <c r="L49" s="10">
        <f t="shared" si="9"/>
        <v>0</v>
      </c>
      <c r="M49" s="10">
        <f t="shared" si="10"/>
        <v>0</v>
      </c>
      <c r="N49" s="36">
        <f>+SS!I27</f>
        <v>0</v>
      </c>
      <c r="O49" s="10">
        <f t="shared" si="11"/>
        <v>0</v>
      </c>
      <c r="Q49" s="4"/>
      <c r="R49" s="5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2.75" customHeight="1" x14ac:dyDescent="0.25">
      <c r="A50" s="129"/>
      <c r="B50" s="130"/>
      <c r="C50" s="135">
        <v>0</v>
      </c>
      <c r="D50" s="132"/>
      <c r="E50" s="132" t="s">
        <v>196</v>
      </c>
      <c r="F50" s="133">
        <v>0</v>
      </c>
      <c r="G50" s="30">
        <f t="shared" si="12"/>
        <v>0</v>
      </c>
      <c r="H50" s="137">
        <v>0</v>
      </c>
      <c r="I50" s="3">
        <f>COUNTIF('Transaction Entry'!E$10:E$192,C50)</f>
        <v>0</v>
      </c>
      <c r="J50" s="19">
        <f>SUMIF('Transaction Entry'!E$10:E$192,C50,'Transaction Entry'!H$10:H$192)</f>
        <v>0</v>
      </c>
      <c r="K50" s="35">
        <f t="shared" si="8"/>
        <v>0</v>
      </c>
      <c r="L50" s="10">
        <f t="shared" si="9"/>
        <v>0</v>
      </c>
      <c r="M50" s="10">
        <f t="shared" si="10"/>
        <v>0</v>
      </c>
      <c r="N50" s="36">
        <f>+SS!I28</f>
        <v>0</v>
      </c>
      <c r="O50" s="10">
        <f t="shared" si="11"/>
        <v>0</v>
      </c>
      <c r="Q50" s="4"/>
      <c r="R50" s="5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2.75" customHeight="1" x14ac:dyDescent="0.25">
      <c r="A51" s="129"/>
      <c r="B51" s="130"/>
      <c r="C51" s="135">
        <v>0</v>
      </c>
      <c r="D51" s="132"/>
      <c r="E51" s="132" t="s">
        <v>196</v>
      </c>
      <c r="F51" s="133">
        <v>0</v>
      </c>
      <c r="G51" s="30">
        <f t="shared" si="12"/>
        <v>0</v>
      </c>
      <c r="H51" s="137">
        <v>0</v>
      </c>
      <c r="I51" s="3">
        <f>COUNTIF('Transaction Entry'!E$10:E$192,C51)</f>
        <v>0</v>
      </c>
      <c r="J51" s="19">
        <f>SUMIF('Transaction Entry'!E$10:E$192,C51,'Transaction Entry'!H$10:H$192)</f>
        <v>0</v>
      </c>
      <c r="K51" s="35">
        <f t="shared" si="8"/>
        <v>0</v>
      </c>
      <c r="L51" s="10">
        <f t="shared" si="9"/>
        <v>0</v>
      </c>
      <c r="M51" s="10">
        <f t="shared" si="10"/>
        <v>0</v>
      </c>
      <c r="N51" s="36">
        <f>+SS!I29</f>
        <v>0</v>
      </c>
      <c r="O51" s="10">
        <f t="shared" si="11"/>
        <v>0</v>
      </c>
      <c r="Q51" s="4"/>
      <c r="R51" s="5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2.75" customHeight="1" x14ac:dyDescent="0.25">
      <c r="A52" s="129"/>
      <c r="B52" s="130"/>
      <c r="C52" s="135">
        <v>0</v>
      </c>
      <c r="D52" s="132"/>
      <c r="E52" s="132" t="s">
        <v>196</v>
      </c>
      <c r="F52" s="133">
        <v>0</v>
      </c>
      <c r="G52" s="30">
        <f t="shared" si="12"/>
        <v>0</v>
      </c>
      <c r="H52" s="137">
        <v>0</v>
      </c>
      <c r="I52" s="3">
        <f>COUNTIF('Transaction Entry'!E$10:E$192,C52)</f>
        <v>0</v>
      </c>
      <c r="J52" s="19">
        <f>SUMIF('Transaction Entry'!E$10:E$192,C52,'Transaction Entry'!H$10:H$192)</f>
        <v>0</v>
      </c>
      <c r="K52" s="35">
        <f t="shared" si="8"/>
        <v>0</v>
      </c>
      <c r="L52" s="10">
        <f t="shared" si="9"/>
        <v>0</v>
      </c>
      <c r="M52" s="10">
        <f t="shared" si="10"/>
        <v>0</v>
      </c>
      <c r="N52" s="36">
        <f>+SS!I30</f>
        <v>0</v>
      </c>
      <c r="O52" s="10">
        <f t="shared" si="11"/>
        <v>0</v>
      </c>
      <c r="Q52" s="4"/>
      <c r="R52" s="5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2.75" customHeight="1" x14ac:dyDescent="0.25">
      <c r="A53" s="129"/>
      <c r="B53" s="130"/>
      <c r="C53" s="135">
        <v>0</v>
      </c>
      <c r="D53" s="132"/>
      <c r="E53" s="132" t="s">
        <v>196</v>
      </c>
      <c r="F53" s="133">
        <v>0</v>
      </c>
      <c r="G53" s="30">
        <f t="shared" si="12"/>
        <v>0</v>
      </c>
      <c r="H53" s="137">
        <v>0</v>
      </c>
      <c r="I53" s="3">
        <f>COUNTIF('Transaction Entry'!E$10:E$192,C53)</f>
        <v>0</v>
      </c>
      <c r="J53" s="19">
        <f>SUMIF('Transaction Entry'!E$10:E$192,C53,'Transaction Entry'!H$10:H$192)</f>
        <v>0</v>
      </c>
      <c r="K53" s="35">
        <f t="shared" si="8"/>
        <v>0</v>
      </c>
      <c r="L53" s="10">
        <f t="shared" si="9"/>
        <v>0</v>
      </c>
      <c r="M53" s="10">
        <f t="shared" si="10"/>
        <v>0</v>
      </c>
      <c r="N53" s="36">
        <f>+SS!I31</f>
        <v>0</v>
      </c>
      <c r="O53" s="10">
        <f t="shared" si="11"/>
        <v>0</v>
      </c>
      <c r="Q53" s="4"/>
      <c r="R53" s="5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2.75" customHeight="1" x14ac:dyDescent="0.25">
      <c r="A54" s="129"/>
      <c r="B54" s="130"/>
      <c r="C54" s="135">
        <v>0</v>
      </c>
      <c r="D54" s="132"/>
      <c r="E54" s="132" t="s">
        <v>196</v>
      </c>
      <c r="F54" s="133">
        <v>0</v>
      </c>
      <c r="G54" s="30">
        <f t="shared" si="12"/>
        <v>0</v>
      </c>
      <c r="H54" s="137">
        <v>0</v>
      </c>
      <c r="I54" s="3">
        <f>COUNTIF('Transaction Entry'!E$10:E$192,C54)</f>
        <v>0</v>
      </c>
      <c r="J54" s="19">
        <f>SUMIF('Transaction Entry'!E$10:E$192,C54,'Transaction Entry'!H$10:H$192)</f>
        <v>0</v>
      </c>
      <c r="K54" s="35">
        <f t="shared" si="8"/>
        <v>0</v>
      </c>
      <c r="L54" s="10">
        <f t="shared" si="9"/>
        <v>0</v>
      </c>
      <c r="M54" s="10">
        <f t="shared" si="10"/>
        <v>0</v>
      </c>
      <c r="N54" s="36">
        <f>+SS!I32</f>
        <v>0</v>
      </c>
      <c r="O54" s="10">
        <f t="shared" si="11"/>
        <v>0</v>
      </c>
      <c r="Q54" s="4"/>
      <c r="R54" s="5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2.75" customHeight="1" x14ac:dyDescent="0.25">
      <c r="A55" s="129"/>
      <c r="B55" s="130"/>
      <c r="C55" s="135">
        <v>0</v>
      </c>
      <c r="D55" s="132"/>
      <c r="E55" s="132" t="s">
        <v>196</v>
      </c>
      <c r="F55" s="133">
        <v>0</v>
      </c>
      <c r="G55" s="30">
        <f t="shared" si="12"/>
        <v>0</v>
      </c>
      <c r="H55" s="137">
        <v>0</v>
      </c>
      <c r="I55" s="3">
        <f>COUNTIF('Transaction Entry'!E$10:E$192,C55)</f>
        <v>0</v>
      </c>
      <c r="J55" s="19">
        <f>SUMIF('Transaction Entry'!E$10:E$192,C55,'Transaction Entry'!H$10:H$192)</f>
        <v>0</v>
      </c>
      <c r="K55" s="35">
        <f t="shared" si="8"/>
        <v>0</v>
      </c>
      <c r="L55" s="10">
        <f t="shared" si="9"/>
        <v>0</v>
      </c>
      <c r="M55" s="10">
        <f t="shared" si="10"/>
        <v>0</v>
      </c>
      <c r="N55" s="36">
        <f>+SS!I33</f>
        <v>0</v>
      </c>
      <c r="O55" s="10">
        <f t="shared" si="11"/>
        <v>0</v>
      </c>
      <c r="Q55" s="4"/>
      <c r="R55" s="5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2.75" customHeight="1" x14ac:dyDescent="0.25">
      <c r="A56" s="129"/>
      <c r="B56" s="130"/>
      <c r="C56" s="135">
        <v>0</v>
      </c>
      <c r="D56" s="132"/>
      <c r="E56" s="132" t="s">
        <v>196</v>
      </c>
      <c r="F56" s="133">
        <v>0</v>
      </c>
      <c r="G56" s="30">
        <f t="shared" si="12"/>
        <v>0</v>
      </c>
      <c r="H56" s="137">
        <v>0</v>
      </c>
      <c r="I56" s="3">
        <f>COUNTIF('Transaction Entry'!E$10:E$192,C56)</f>
        <v>0</v>
      </c>
      <c r="J56" s="19">
        <f>SUMIF('Transaction Entry'!E$10:E$192,C56,'Transaction Entry'!H$10:H$192)</f>
        <v>0</v>
      </c>
      <c r="K56" s="35">
        <f t="shared" si="8"/>
        <v>0</v>
      </c>
      <c r="L56" s="10">
        <f t="shared" si="9"/>
        <v>0</v>
      </c>
      <c r="M56" s="10">
        <f t="shared" si="10"/>
        <v>0</v>
      </c>
      <c r="N56" s="36">
        <f>+SS!I34</f>
        <v>0</v>
      </c>
      <c r="O56" s="10">
        <f t="shared" si="11"/>
        <v>0</v>
      </c>
      <c r="Q56" s="4"/>
      <c r="R56" s="5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2.75" customHeight="1" x14ac:dyDescent="0.25">
      <c r="A57" s="129"/>
      <c r="B57" s="130"/>
      <c r="C57" s="135">
        <v>0</v>
      </c>
      <c r="D57" s="132"/>
      <c r="E57" s="132" t="s">
        <v>196</v>
      </c>
      <c r="F57" s="133">
        <v>0</v>
      </c>
      <c r="G57" s="30">
        <f t="shared" si="12"/>
        <v>0</v>
      </c>
      <c r="H57" s="137">
        <v>0</v>
      </c>
      <c r="I57" s="3">
        <f>COUNTIF('Transaction Entry'!E$10:E$192,C57)</f>
        <v>0</v>
      </c>
      <c r="J57" s="19">
        <f>SUMIF('Transaction Entry'!E$10:E$192,C57,'Transaction Entry'!H$10:H$192)</f>
        <v>0</v>
      </c>
      <c r="K57" s="35">
        <f t="shared" si="8"/>
        <v>0</v>
      </c>
      <c r="L57" s="10">
        <f t="shared" si="9"/>
        <v>0</v>
      </c>
      <c r="M57" s="10">
        <f t="shared" si="10"/>
        <v>0</v>
      </c>
      <c r="N57" s="36">
        <f>+SS!I35</f>
        <v>0</v>
      </c>
      <c r="O57" s="10">
        <f t="shared" si="11"/>
        <v>0</v>
      </c>
      <c r="Q57" s="4"/>
      <c r="R57" s="5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2.75" customHeight="1" x14ac:dyDescent="0.25">
      <c r="A58" s="129"/>
      <c r="B58" s="130"/>
      <c r="C58" s="135">
        <v>0</v>
      </c>
      <c r="D58" s="132"/>
      <c r="E58" s="132" t="s">
        <v>196</v>
      </c>
      <c r="F58" s="133">
        <v>0</v>
      </c>
      <c r="G58" s="30">
        <f t="shared" si="12"/>
        <v>0</v>
      </c>
      <c r="H58" s="137">
        <v>0</v>
      </c>
      <c r="I58" s="3">
        <f>COUNTIF('Transaction Entry'!E$10:E$192,C58)</f>
        <v>0</v>
      </c>
      <c r="J58" s="19">
        <f>SUMIF('Transaction Entry'!E$10:E$192,C58,'Transaction Entry'!H$10:H$192)</f>
        <v>0</v>
      </c>
      <c r="K58" s="35">
        <f t="shared" si="8"/>
        <v>0</v>
      </c>
      <c r="L58" s="10">
        <f t="shared" si="9"/>
        <v>0</v>
      </c>
      <c r="M58" s="10">
        <f t="shared" si="10"/>
        <v>0</v>
      </c>
      <c r="N58" s="36">
        <f>+SS!I36</f>
        <v>0</v>
      </c>
      <c r="O58" s="10">
        <f t="shared" si="11"/>
        <v>0</v>
      </c>
      <c r="Q58" s="4"/>
      <c r="R58" s="5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2.75" customHeight="1" x14ac:dyDescent="0.25">
      <c r="A59" s="129"/>
      <c r="B59" s="130"/>
      <c r="C59" s="135">
        <v>0</v>
      </c>
      <c r="D59" s="132"/>
      <c r="E59" s="132" t="s">
        <v>196</v>
      </c>
      <c r="F59" s="133">
        <v>0</v>
      </c>
      <c r="G59" s="30">
        <f t="shared" si="12"/>
        <v>0</v>
      </c>
      <c r="H59" s="137">
        <v>0</v>
      </c>
      <c r="I59" s="3">
        <f>COUNTIF('Transaction Entry'!E$10:E$192,C59)</f>
        <v>0</v>
      </c>
      <c r="J59" s="19">
        <f>SUMIF('Transaction Entry'!E$10:E$192,C59,'Transaction Entry'!H$10:H$192)</f>
        <v>0</v>
      </c>
      <c r="K59" s="35">
        <f t="shared" si="8"/>
        <v>0</v>
      </c>
      <c r="L59" s="10">
        <f t="shared" si="9"/>
        <v>0</v>
      </c>
      <c r="M59" s="10">
        <f t="shared" si="10"/>
        <v>0</v>
      </c>
      <c r="N59" s="36">
        <f>+SS!I37</f>
        <v>0</v>
      </c>
      <c r="O59" s="10">
        <f t="shared" si="11"/>
        <v>0</v>
      </c>
      <c r="Q59" s="4"/>
      <c r="R59" s="5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2.75" customHeight="1" x14ac:dyDescent="0.25">
      <c r="A60" s="129"/>
      <c r="B60" s="130"/>
      <c r="C60" s="135">
        <v>0</v>
      </c>
      <c r="D60" s="132"/>
      <c r="E60" s="132" t="s">
        <v>196</v>
      </c>
      <c r="F60" s="133">
        <v>0</v>
      </c>
      <c r="G60" s="30">
        <f t="shared" si="12"/>
        <v>0</v>
      </c>
      <c r="H60" s="137">
        <v>0</v>
      </c>
      <c r="I60" s="3">
        <f>COUNTIF('Transaction Entry'!E$10:E$192,C60)</f>
        <v>0</v>
      </c>
      <c r="J60" s="19">
        <f>SUMIF('Transaction Entry'!E$10:E$192,C60,'Transaction Entry'!H$10:H$192)</f>
        <v>0</v>
      </c>
      <c r="K60" s="35">
        <f t="shared" si="8"/>
        <v>0</v>
      </c>
      <c r="L60" s="10">
        <f t="shared" si="9"/>
        <v>0</v>
      </c>
      <c r="M60" s="10">
        <f t="shared" si="10"/>
        <v>0</v>
      </c>
      <c r="N60" s="36">
        <f>+SS!I38</f>
        <v>0</v>
      </c>
      <c r="O60" s="10">
        <f t="shared" si="11"/>
        <v>0</v>
      </c>
      <c r="Q60" s="4"/>
      <c r="R60" s="5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2.75" customHeight="1" x14ac:dyDescent="0.25">
      <c r="A61" s="129"/>
      <c r="B61" s="130"/>
      <c r="C61" s="135">
        <v>0</v>
      </c>
      <c r="D61" s="132"/>
      <c r="E61" s="132" t="s">
        <v>196</v>
      </c>
      <c r="F61" s="133">
        <v>0</v>
      </c>
      <c r="G61" s="30">
        <f t="shared" si="12"/>
        <v>0</v>
      </c>
      <c r="H61" s="137">
        <v>0</v>
      </c>
      <c r="I61" s="3">
        <f>COUNTIF('Transaction Entry'!E$10:E$192,C61)</f>
        <v>0</v>
      </c>
      <c r="J61" s="19">
        <f>SUMIF('Transaction Entry'!E$10:E$192,C61,'Transaction Entry'!H$10:H$192)</f>
        <v>0</v>
      </c>
      <c r="K61" s="35">
        <f t="shared" si="8"/>
        <v>0</v>
      </c>
      <c r="L61" s="10">
        <f t="shared" si="9"/>
        <v>0</v>
      </c>
      <c r="M61" s="10">
        <f t="shared" si="10"/>
        <v>0</v>
      </c>
      <c r="N61" s="36">
        <f>+SS!I39</f>
        <v>0</v>
      </c>
      <c r="O61" s="10">
        <f t="shared" si="11"/>
        <v>0</v>
      </c>
      <c r="Q61" s="4"/>
      <c r="R61" s="5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2.75" customHeight="1" x14ac:dyDescent="0.25">
      <c r="A62" s="129"/>
      <c r="B62" s="130"/>
      <c r="C62" s="135">
        <v>0</v>
      </c>
      <c r="D62" s="132"/>
      <c r="E62" s="132" t="s">
        <v>196</v>
      </c>
      <c r="F62" s="133">
        <v>0</v>
      </c>
      <c r="G62" s="30">
        <f t="shared" si="12"/>
        <v>0</v>
      </c>
      <c r="H62" s="137">
        <v>0</v>
      </c>
      <c r="I62" s="3">
        <f>COUNTIF('Transaction Entry'!E$10:E$192,C62)</f>
        <v>0</v>
      </c>
      <c r="J62" s="19">
        <f>SUMIF('Transaction Entry'!E$10:E$192,C62,'Transaction Entry'!H$10:H$192)</f>
        <v>0</v>
      </c>
      <c r="K62" s="35">
        <f t="shared" si="8"/>
        <v>0</v>
      </c>
      <c r="L62" s="10">
        <f t="shared" si="9"/>
        <v>0</v>
      </c>
      <c r="M62" s="10">
        <f t="shared" si="10"/>
        <v>0</v>
      </c>
      <c r="N62" s="36">
        <f>+SS!I40</f>
        <v>0</v>
      </c>
      <c r="O62" s="10">
        <f t="shared" si="11"/>
        <v>0</v>
      </c>
      <c r="Q62" s="4"/>
      <c r="R62" s="5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2.75" customHeight="1" x14ac:dyDescent="0.25">
      <c r="A63" s="129" t="s">
        <v>50</v>
      </c>
      <c r="B63" s="136"/>
      <c r="C63" s="135" t="s">
        <v>50</v>
      </c>
      <c r="D63" s="132"/>
      <c r="E63" s="132" t="s">
        <v>196</v>
      </c>
      <c r="F63" s="133">
        <v>0</v>
      </c>
      <c r="G63" s="30">
        <f t="shared" si="12"/>
        <v>0</v>
      </c>
      <c r="H63" s="137">
        <v>0</v>
      </c>
      <c r="I63" s="3">
        <f>COUNTIF('Transaction Entry'!E$10:E$192,C63)</f>
        <v>0</v>
      </c>
      <c r="J63" s="19">
        <f>SUMIF('Transaction Entry'!E$10:E$192,C63,'Transaction Entry'!H$10:H$192)</f>
        <v>0</v>
      </c>
      <c r="K63" s="35">
        <f t="shared" si="8"/>
        <v>0</v>
      </c>
      <c r="L63" s="10">
        <f t="shared" si="9"/>
        <v>0</v>
      </c>
      <c r="M63" s="10">
        <f t="shared" si="10"/>
        <v>0</v>
      </c>
      <c r="N63" s="36">
        <f>+SS!I41</f>
        <v>0</v>
      </c>
      <c r="O63" s="10">
        <f t="shared" si="11"/>
        <v>0</v>
      </c>
      <c r="Q63" s="4"/>
      <c r="R63" s="5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2.75" customHeight="1" x14ac:dyDescent="0.25">
      <c r="A64" s="28" t="s">
        <v>51</v>
      </c>
      <c r="B64" s="2"/>
      <c r="C64" s="26"/>
      <c r="D64" s="10"/>
      <c r="E64" s="10"/>
      <c r="F64" s="38">
        <f>+IFERROR(G64,0)</f>
        <v>5.2124547660351856</v>
      </c>
      <c r="G64" s="38">
        <f>+L64/H64</f>
        <v>5.2124547660351856</v>
      </c>
      <c r="H64" s="39">
        <f t="shared" ref="H64:J64" si="13">+SUM(H30:H63)</f>
        <v>96518.401999999987</v>
      </c>
      <c r="I64" s="106">
        <f>+SUM(I30:I63)</f>
        <v>6</v>
      </c>
      <c r="J64" s="39">
        <f t="shared" si="13"/>
        <v>7360.7929999999997</v>
      </c>
      <c r="K64" s="40">
        <f t="shared" ref="K64:O64" si="14">+SUM(K30:K63)</f>
        <v>0</v>
      </c>
      <c r="L64" s="41">
        <f t="shared" si="14"/>
        <v>503097.80451499997</v>
      </c>
      <c r="M64" s="18">
        <f t="shared" si="14"/>
        <v>73.607929999999996</v>
      </c>
      <c r="N64" s="18">
        <f t="shared" si="14"/>
        <v>1300.0029099999811</v>
      </c>
      <c r="O64" s="41">
        <f t="shared" si="14"/>
        <v>39623.438004999982</v>
      </c>
      <c r="Q64" s="4"/>
      <c r="R64" s="5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5:48" ht="12.75" customHeight="1" x14ac:dyDescent="0.25">
      <c r="O65" s="36">
        <v>502774.82</v>
      </c>
      <c r="Q65" s="4"/>
      <c r="R65" s="5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5:48" ht="12.75" customHeight="1" x14ac:dyDescent="0.25">
      <c r="O66" s="3"/>
      <c r="Q66" s="4"/>
      <c r="R66" s="5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5:48" ht="12.75" customHeight="1" x14ac:dyDescent="0.25">
      <c r="O67" s="3"/>
      <c r="Q67" s="4"/>
      <c r="R67" s="5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5:48" ht="12.75" customHeight="1" x14ac:dyDescent="0.25">
      <c r="O68" s="3"/>
      <c r="Q68" s="4"/>
      <c r="R68" s="5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5:48" ht="12.75" customHeight="1" x14ac:dyDescent="0.25">
      <c r="O69" s="3"/>
      <c r="Q69" s="4"/>
      <c r="R69" s="5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5:48" ht="12.75" customHeight="1" x14ac:dyDescent="0.25">
      <c r="O70" s="3"/>
      <c r="Q70" s="4"/>
      <c r="R70" s="5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5:48" ht="12.75" customHeight="1" x14ac:dyDescent="0.25">
      <c r="O71" s="3"/>
      <c r="Q71" s="4"/>
      <c r="R71" s="5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5:48" ht="12.75" customHeight="1" x14ac:dyDescent="0.25">
      <c r="O72" s="3"/>
      <c r="Q72" s="4"/>
      <c r="R72" s="5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5:48" ht="12.75" customHeight="1" x14ac:dyDescent="0.25">
      <c r="O73" s="3"/>
      <c r="Q73" s="4"/>
      <c r="R73" s="5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5:48" ht="12.75" customHeight="1" x14ac:dyDescent="0.25">
      <c r="O74" s="3"/>
      <c r="Q74" s="4"/>
      <c r="R74" s="5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5:48" ht="12.75" customHeight="1" x14ac:dyDescent="0.25">
      <c r="O75" s="3"/>
      <c r="Q75" s="4"/>
      <c r="R75" s="5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5:48" ht="12.75" customHeight="1" x14ac:dyDescent="0.25">
      <c r="O76" s="3"/>
      <c r="Q76" s="4"/>
      <c r="R76" s="5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5:48" ht="12.75" customHeight="1" x14ac:dyDescent="0.25">
      <c r="O77" s="3"/>
      <c r="Q77" s="4"/>
      <c r="R77" s="5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5:48" ht="12.75" customHeight="1" x14ac:dyDescent="0.25">
      <c r="O78" s="3"/>
      <c r="Q78" s="4"/>
      <c r="R78" s="5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5:48" ht="12.75" customHeight="1" x14ac:dyDescent="0.25">
      <c r="O79" s="3"/>
      <c r="Q79" s="4"/>
      <c r="R79" s="5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5:48" ht="12.75" customHeight="1" x14ac:dyDescent="0.25">
      <c r="O80" s="3"/>
      <c r="Q80" s="4"/>
      <c r="R80" s="5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5:48" ht="12.75" customHeight="1" x14ac:dyDescent="0.25">
      <c r="O81" s="3"/>
      <c r="Q81" s="4"/>
      <c r="R81" s="5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5:48" ht="12.75" customHeight="1" x14ac:dyDescent="0.25">
      <c r="O82" s="3"/>
      <c r="Q82" s="4"/>
      <c r="R82" s="5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5:48" ht="12.75" customHeight="1" x14ac:dyDescent="0.25">
      <c r="O83" s="3"/>
      <c r="Q83" s="4"/>
      <c r="R83" s="5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5:48" ht="12.75" customHeight="1" x14ac:dyDescent="0.25">
      <c r="O84" s="3"/>
      <c r="Q84" s="4"/>
      <c r="R84" s="5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5:48" ht="12.75" customHeight="1" x14ac:dyDescent="0.25">
      <c r="O85" s="3"/>
      <c r="Q85" s="4"/>
      <c r="R85" s="5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5:48" ht="12.75" customHeight="1" x14ac:dyDescent="0.25">
      <c r="O86" s="3"/>
      <c r="Q86" s="4"/>
      <c r="R86" s="5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5:48" ht="12.75" customHeight="1" x14ac:dyDescent="0.25">
      <c r="O87" s="3"/>
      <c r="Q87" s="4"/>
      <c r="R87" s="5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5:48" ht="12.75" customHeight="1" x14ac:dyDescent="0.25">
      <c r="O88" s="3"/>
      <c r="Q88" s="4"/>
      <c r="R88" s="5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5:48" ht="12.75" customHeight="1" x14ac:dyDescent="0.25">
      <c r="O89" s="3"/>
      <c r="Q89" s="4"/>
      <c r="R89" s="5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5:48" ht="12.75" customHeight="1" x14ac:dyDescent="0.25">
      <c r="O90" s="3"/>
      <c r="Q90" s="4"/>
      <c r="R90" s="5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5:48" ht="12.75" customHeight="1" x14ac:dyDescent="0.25">
      <c r="O91" s="3"/>
      <c r="Q91" s="4"/>
      <c r="R91" s="5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5:48" ht="12.75" customHeight="1" x14ac:dyDescent="0.25">
      <c r="O92" s="3"/>
      <c r="Q92" s="4"/>
      <c r="R92" s="5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5:48" ht="12.75" customHeight="1" x14ac:dyDescent="0.25">
      <c r="O93" s="3"/>
      <c r="Q93" s="4"/>
      <c r="R93" s="5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5:48" ht="12.75" customHeight="1" x14ac:dyDescent="0.25">
      <c r="O94" s="3"/>
      <c r="Q94" s="4"/>
      <c r="R94" s="5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5:48" ht="12.75" customHeight="1" x14ac:dyDescent="0.25">
      <c r="O95" s="3"/>
      <c r="Q95" s="4"/>
      <c r="R95" s="5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5:48" ht="12.75" customHeight="1" x14ac:dyDescent="0.25">
      <c r="O96" s="3"/>
      <c r="Q96" s="4"/>
      <c r="R96" s="5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2.75" customHeight="1" x14ac:dyDescent="0.25">
      <c r="O97" s="3"/>
      <c r="Q97" s="4"/>
      <c r="R97" s="5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2.75" customHeight="1" x14ac:dyDescent="0.25">
      <c r="O98" s="3"/>
      <c r="Q98" s="4"/>
      <c r="R98" s="5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2.75" customHeight="1" x14ac:dyDescent="0.25">
      <c r="O99" s="3"/>
      <c r="Q99" s="4"/>
      <c r="R99" s="5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2.75" customHeight="1" x14ac:dyDescent="0.25">
      <c r="O100" s="3"/>
      <c r="Q100" s="4"/>
      <c r="R100" s="5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2.75" customHeight="1" x14ac:dyDescent="0.25">
      <c r="O101" s="3"/>
      <c r="Q101" s="4"/>
      <c r="R101" s="5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2.75" customHeight="1" x14ac:dyDescent="0.25">
      <c r="O102" s="3"/>
      <c r="Q102" s="4"/>
      <c r="R102" s="5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2.75" customHeight="1" x14ac:dyDescent="0.25">
      <c r="O103" s="3"/>
      <c r="Q103" s="4"/>
      <c r="R103" s="5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2.75" customHeight="1" x14ac:dyDescent="0.25">
      <c r="O104" s="3"/>
      <c r="Q104" s="4"/>
      <c r="R104" s="5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2.75" customHeight="1" x14ac:dyDescent="0.25">
      <c r="O105" s="2"/>
      <c r="Q105" s="4"/>
      <c r="R105" s="5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4.25" customHeight="1" x14ac:dyDescent="0.35">
      <c r="O106" s="3"/>
      <c r="Q106" s="4"/>
      <c r="R106" s="2"/>
      <c r="S106" s="2"/>
      <c r="T106" s="2"/>
      <c r="U106" s="2"/>
      <c r="V106" s="2"/>
      <c r="W106" s="2"/>
      <c r="X106" s="2"/>
      <c r="Y106" s="2"/>
      <c r="Z106" s="12"/>
      <c r="AA106" s="2"/>
      <c r="AB106" s="2"/>
      <c r="AC106" s="2"/>
      <c r="AD106" s="2"/>
      <c r="AE106" s="1"/>
      <c r="AF106" s="1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3"/>
      <c r="AR106" s="3"/>
      <c r="AS106" s="3"/>
      <c r="AT106" s="3"/>
      <c r="AU106" s="3"/>
      <c r="AV106" s="2"/>
    </row>
    <row r="107" spans="1:48" ht="14.25" customHeight="1" x14ac:dyDescent="0.35">
      <c r="O107" s="3"/>
      <c r="Q107" s="4"/>
      <c r="R107" s="2"/>
      <c r="S107" s="2"/>
      <c r="T107" s="2"/>
      <c r="U107" s="2"/>
      <c r="V107" s="2"/>
      <c r="W107" s="2"/>
      <c r="X107" s="2"/>
      <c r="Y107" s="2"/>
      <c r="Z107" s="12"/>
      <c r="AA107" s="2"/>
      <c r="AB107" s="2"/>
      <c r="AC107" s="2"/>
      <c r="AD107" s="2"/>
      <c r="AE107" s="1"/>
      <c r="AF107" s="1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3"/>
      <c r="AR107" s="3"/>
      <c r="AS107" s="3"/>
      <c r="AT107" s="3"/>
      <c r="AU107" s="3"/>
      <c r="AV107" s="2"/>
    </row>
    <row r="108" spans="1:48" ht="14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Q108" s="2"/>
      <c r="R108" s="2"/>
      <c r="S108" s="2"/>
      <c r="T108" s="2"/>
      <c r="U108" s="2"/>
      <c r="V108" s="2"/>
      <c r="W108" s="2"/>
      <c r="X108" s="2"/>
      <c r="Y108" s="2"/>
      <c r="Z108" s="12"/>
      <c r="AA108" s="2"/>
      <c r="AB108" s="2"/>
      <c r="AC108" s="2"/>
      <c r="AD108" s="2"/>
      <c r="AE108" s="1"/>
      <c r="AF108" s="1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3"/>
      <c r="AR108" s="3"/>
      <c r="AS108" s="3"/>
      <c r="AT108" s="3"/>
      <c r="AU108" s="3"/>
      <c r="AV108" s="2"/>
    </row>
    <row r="109" spans="1:48" ht="14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Q109" s="2"/>
      <c r="R109" s="2"/>
      <c r="S109" s="2"/>
      <c r="T109" s="2"/>
      <c r="U109" s="2"/>
      <c r="V109" s="2"/>
      <c r="W109" s="2"/>
      <c r="X109" s="2"/>
      <c r="Y109" s="2"/>
      <c r="Z109" s="12"/>
      <c r="AA109" s="2"/>
      <c r="AB109" s="2"/>
      <c r="AC109" s="2"/>
      <c r="AD109" s="2"/>
      <c r="AE109" s="1"/>
      <c r="AF109" s="1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3"/>
      <c r="AR109" s="3"/>
      <c r="AS109" s="3"/>
      <c r="AT109" s="3"/>
      <c r="AU109" s="3"/>
      <c r="AV109" s="2"/>
    </row>
    <row r="110" spans="1:48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Q110" s="2"/>
      <c r="R110" s="2"/>
      <c r="S110" s="2"/>
      <c r="T110" s="2"/>
      <c r="U110" s="2"/>
      <c r="V110" s="2"/>
      <c r="W110" s="2"/>
      <c r="X110" s="2"/>
      <c r="Y110" s="2"/>
      <c r="Z110" s="12"/>
      <c r="AA110" s="2"/>
      <c r="AB110" s="2"/>
      <c r="AC110" s="2"/>
      <c r="AD110" s="2"/>
      <c r="AE110" s="28"/>
      <c r="AF110" s="28"/>
      <c r="AG110" s="32"/>
      <c r="AH110" s="2"/>
      <c r="AI110" s="28"/>
      <c r="AJ110" s="2"/>
      <c r="AK110" s="2"/>
      <c r="AL110" s="2"/>
      <c r="AM110" s="31"/>
      <c r="AN110" s="2"/>
      <c r="AO110" s="46"/>
      <c r="AP110" s="2"/>
      <c r="AQ110" s="2"/>
      <c r="AR110" s="2"/>
      <c r="AS110" s="2"/>
      <c r="AT110" s="2"/>
      <c r="AU110" s="2"/>
      <c r="AV110" s="2"/>
    </row>
    <row r="111" spans="1:48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Q111" s="47"/>
      <c r="R111" s="47"/>
      <c r="S111" s="47"/>
      <c r="T111" s="47"/>
      <c r="U111" s="47"/>
      <c r="V111" s="47"/>
      <c r="W111" s="47"/>
      <c r="X111" s="2"/>
      <c r="Y111" s="2"/>
      <c r="Z111" s="12"/>
      <c r="AA111" s="2"/>
      <c r="AB111" s="12"/>
      <c r="AC111" s="2"/>
      <c r="AD111" s="2"/>
      <c r="AE111" s="28"/>
      <c r="AF111" s="28"/>
      <c r="AG111" s="32"/>
      <c r="AH111" s="2"/>
      <c r="AI111" s="28"/>
      <c r="AJ111" s="2"/>
      <c r="AK111" s="2"/>
      <c r="AL111" s="2"/>
      <c r="AM111" s="31"/>
      <c r="AN111" s="2"/>
      <c r="AO111" s="46"/>
      <c r="AP111" s="2"/>
      <c r="AQ111" s="2"/>
      <c r="AR111" s="2"/>
      <c r="AS111" s="2"/>
      <c r="AT111" s="2"/>
      <c r="AU111" s="2"/>
      <c r="AV111" s="2"/>
    </row>
    <row r="112" spans="1:48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Q112" s="2"/>
      <c r="R112" s="4"/>
      <c r="S112" s="2"/>
      <c r="T112" s="2"/>
      <c r="U112" s="2"/>
      <c r="V112" s="2"/>
      <c r="W112" s="2"/>
      <c r="X112" s="48"/>
      <c r="Y112" s="48"/>
      <c r="Z112" s="2"/>
      <c r="AA112" s="2"/>
      <c r="AB112" s="2"/>
      <c r="AC112" s="2"/>
      <c r="AD112" s="2"/>
      <c r="AE112" s="2"/>
      <c r="AF112" s="2"/>
      <c r="AG112" s="32"/>
      <c r="AH112" s="2"/>
      <c r="AI112" s="28"/>
      <c r="AJ112" s="2"/>
      <c r="AK112" s="31"/>
      <c r="AL112" s="2"/>
      <c r="AM112" s="2"/>
      <c r="AN112" s="28"/>
      <c r="AO112" s="46"/>
      <c r="AP112" s="2"/>
      <c r="AQ112" s="49"/>
      <c r="AR112" s="49"/>
      <c r="AS112" s="49"/>
      <c r="AT112" s="49"/>
      <c r="AU112" s="49"/>
      <c r="AV112" s="2"/>
    </row>
    <row r="113" spans="1:48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"/>
      <c r="AB113" s="28"/>
      <c r="AC113" s="2"/>
      <c r="AD113" s="2"/>
      <c r="AE113" s="2"/>
      <c r="AF113" s="2"/>
      <c r="AG113" s="2"/>
      <c r="AH113" s="28"/>
      <c r="AI113" s="28"/>
      <c r="AJ113" s="31"/>
      <c r="AK113" s="31"/>
      <c r="AL113" s="28"/>
      <c r="AM113" s="28"/>
      <c r="AN113" s="28"/>
      <c r="AO113" s="50"/>
      <c r="AP113" s="28"/>
      <c r="AQ113" s="28"/>
      <c r="AR113" s="28"/>
      <c r="AS113" s="28"/>
      <c r="AT113" s="28"/>
      <c r="AU113" s="28"/>
      <c r="AV113" s="2"/>
    </row>
    <row r="114" spans="1:48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Q114" s="12"/>
      <c r="R114" s="12"/>
      <c r="S114" s="2"/>
      <c r="T114" s="12"/>
      <c r="U114" s="12"/>
      <c r="V114" s="12"/>
      <c r="W114" s="7"/>
      <c r="X114" s="51"/>
      <c r="Y114" s="2"/>
      <c r="Z114" s="2"/>
      <c r="AA114" s="2"/>
      <c r="AB114" s="12"/>
      <c r="AC114" s="52"/>
      <c r="AD114" s="7"/>
      <c r="AE114" s="4"/>
      <c r="AF114" s="4"/>
      <c r="AG114" s="49"/>
      <c r="AH114" s="7"/>
      <c r="AI114" s="7"/>
      <c r="AJ114" s="2"/>
      <c r="AK114" s="4"/>
      <c r="AL114" s="22"/>
      <c r="AM114" s="2"/>
      <c r="AN114" s="49"/>
      <c r="AO114" s="22"/>
      <c r="AP114" s="51"/>
      <c r="AQ114" s="12"/>
      <c r="AR114" s="12"/>
      <c r="AS114" s="12"/>
      <c r="AT114" s="12"/>
      <c r="AU114" s="12"/>
      <c r="AV114" s="2"/>
    </row>
    <row r="115" spans="1:48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12"/>
      <c r="J115" s="2"/>
      <c r="K115" s="2"/>
      <c r="L115" s="2"/>
      <c r="M115" s="2"/>
      <c r="N115" s="2"/>
      <c r="O115" s="3"/>
      <c r="Q115" s="12"/>
      <c r="R115" s="12"/>
      <c r="S115" s="2"/>
      <c r="T115" s="12"/>
      <c r="U115" s="12"/>
      <c r="V115" s="12"/>
      <c r="W115" s="7"/>
      <c r="X115" s="51"/>
      <c r="Y115" s="2"/>
      <c r="Z115" s="2"/>
      <c r="AA115" s="2"/>
      <c r="AB115" s="53"/>
      <c r="AC115" s="52"/>
      <c r="AD115" s="7"/>
      <c r="AE115" s="4"/>
      <c r="AF115" s="4"/>
      <c r="AG115" s="49"/>
      <c r="AH115" s="7"/>
      <c r="AI115" s="7"/>
      <c r="AJ115" s="2"/>
      <c r="AK115" s="4"/>
      <c r="AL115" s="22"/>
      <c r="AM115" s="2"/>
      <c r="AN115" s="49"/>
      <c r="AO115" s="22"/>
      <c r="AP115" s="51"/>
      <c r="AQ115" s="12"/>
      <c r="AR115" s="12"/>
      <c r="AS115" s="12"/>
      <c r="AT115" s="12"/>
      <c r="AU115" s="12"/>
      <c r="AV115" s="2"/>
    </row>
    <row r="116" spans="1:48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12"/>
      <c r="J116" s="2"/>
      <c r="K116" s="2"/>
      <c r="L116" s="2"/>
      <c r="M116" s="2"/>
      <c r="N116" s="2"/>
      <c r="O116" s="3"/>
      <c r="Q116" s="12"/>
      <c r="R116" s="12"/>
      <c r="S116" s="12"/>
      <c r="T116" s="2"/>
      <c r="U116" s="2"/>
      <c r="V116" s="12"/>
      <c r="W116" s="7"/>
      <c r="X116" s="51"/>
      <c r="Y116" s="2"/>
      <c r="Z116" s="2"/>
      <c r="AA116" s="2"/>
      <c r="AB116" s="54"/>
      <c r="AC116" s="52"/>
      <c r="AD116" s="7"/>
      <c r="AE116" s="4"/>
      <c r="AF116" s="4"/>
      <c r="AG116" s="49"/>
      <c r="AH116" s="7"/>
      <c r="AI116" s="7"/>
      <c r="AJ116" s="2"/>
      <c r="AK116" s="4"/>
      <c r="AL116" s="22"/>
      <c r="AM116" s="2"/>
      <c r="AN116" s="49"/>
      <c r="AO116" s="22"/>
      <c r="AP116" s="51"/>
      <c r="AQ116" s="12"/>
      <c r="AR116" s="12"/>
      <c r="AS116" s="12"/>
      <c r="AT116" s="12"/>
      <c r="AU116" s="12"/>
      <c r="AV116" s="2"/>
    </row>
    <row r="117" spans="1:48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12"/>
      <c r="J117" s="2"/>
      <c r="K117" s="2"/>
      <c r="L117" s="2"/>
      <c r="M117" s="2"/>
      <c r="N117" s="2"/>
      <c r="O117" s="3"/>
      <c r="Q117" s="12"/>
      <c r="R117" s="12"/>
      <c r="S117" s="12"/>
      <c r="T117" s="2"/>
      <c r="U117" s="12"/>
      <c r="V117" s="12"/>
      <c r="W117" s="7"/>
      <c r="X117" s="51"/>
      <c r="Y117" s="2"/>
      <c r="Z117" s="2"/>
      <c r="AA117" s="2"/>
      <c r="AB117" s="53"/>
      <c r="AC117" s="52"/>
      <c r="AD117" s="7"/>
      <c r="AE117" s="4"/>
      <c r="AF117" s="4"/>
      <c r="AG117" s="49"/>
      <c r="AH117" s="7"/>
      <c r="AI117" s="7"/>
      <c r="AJ117" s="2"/>
      <c r="AK117" s="4"/>
      <c r="AL117" s="22"/>
      <c r="AM117" s="2"/>
      <c r="AN117" s="49"/>
      <c r="AO117" s="22"/>
      <c r="AP117" s="51"/>
      <c r="AQ117" s="12"/>
      <c r="AR117" s="12"/>
      <c r="AS117" s="12"/>
      <c r="AT117" s="12"/>
      <c r="AU117" s="12"/>
      <c r="AV117" s="2"/>
    </row>
    <row r="118" spans="1:48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12"/>
      <c r="J118" s="2"/>
      <c r="K118" s="2"/>
      <c r="L118" s="2"/>
      <c r="M118" s="2"/>
      <c r="N118" s="2"/>
      <c r="O118" s="3"/>
      <c r="Q118" s="12"/>
      <c r="R118" s="12"/>
      <c r="S118" s="12"/>
      <c r="T118" s="2"/>
      <c r="U118" s="12"/>
      <c r="V118" s="12"/>
      <c r="W118" s="7"/>
      <c r="X118" s="51"/>
      <c r="Y118" s="2"/>
      <c r="Z118" s="2"/>
      <c r="AA118" s="2"/>
      <c r="AB118" s="2"/>
      <c r="AC118" s="2"/>
      <c r="AD118" s="7"/>
      <c r="AE118" s="4"/>
      <c r="AF118" s="4"/>
      <c r="AG118" s="49"/>
      <c r="AH118" s="7"/>
      <c r="AI118" s="7"/>
      <c r="AJ118" s="2"/>
      <c r="AK118" s="4"/>
      <c r="AL118" s="22"/>
      <c r="AM118" s="2"/>
      <c r="AN118" s="49"/>
      <c r="AO118" s="22"/>
      <c r="AP118" s="51"/>
      <c r="AQ118" s="12"/>
      <c r="AR118" s="12"/>
      <c r="AS118" s="12"/>
      <c r="AT118" s="12"/>
      <c r="AU118" s="12"/>
      <c r="AV118" s="2"/>
    </row>
    <row r="119" spans="1:48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12"/>
      <c r="J119" s="2"/>
      <c r="K119" s="2"/>
      <c r="L119" s="2"/>
      <c r="M119" s="2"/>
      <c r="N119" s="2"/>
      <c r="O119" s="3"/>
      <c r="Q119" s="12"/>
      <c r="R119" s="12"/>
      <c r="S119" s="12"/>
      <c r="T119" s="2"/>
      <c r="U119" s="12"/>
      <c r="V119" s="12"/>
      <c r="W119" s="7"/>
      <c r="X119" s="51"/>
      <c r="Y119" s="2"/>
      <c r="Z119" s="2"/>
      <c r="AA119" s="2"/>
      <c r="AB119" s="53"/>
      <c r="AC119" s="52"/>
      <c r="AD119" s="7"/>
      <c r="AE119" s="4"/>
      <c r="AF119" s="4"/>
      <c r="AG119" s="49"/>
      <c r="AH119" s="7"/>
      <c r="AI119" s="7"/>
      <c r="AJ119" s="2"/>
      <c r="AK119" s="4"/>
      <c r="AL119" s="22"/>
      <c r="AM119" s="2"/>
      <c r="AN119" s="49"/>
      <c r="AO119" s="22"/>
      <c r="AP119" s="51"/>
      <c r="AQ119" s="12"/>
      <c r="AR119" s="12"/>
      <c r="AS119" s="12"/>
      <c r="AT119" s="12"/>
      <c r="AU119" s="12"/>
      <c r="AV119" s="2"/>
    </row>
    <row r="120" spans="1:48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12"/>
      <c r="J120" s="2"/>
      <c r="K120" s="2"/>
      <c r="L120" s="2"/>
      <c r="M120" s="2"/>
      <c r="N120" s="2"/>
      <c r="O120" s="3"/>
      <c r="Q120" s="12"/>
      <c r="R120" s="12"/>
      <c r="S120" s="12"/>
      <c r="T120" s="2"/>
      <c r="U120" s="12"/>
      <c r="V120" s="12"/>
      <c r="W120" s="7"/>
      <c r="X120" s="51"/>
      <c r="Y120" s="2"/>
      <c r="Z120" s="2"/>
      <c r="AA120" s="2"/>
      <c r="AB120" s="53"/>
      <c r="AC120" s="52"/>
      <c r="AD120" s="7"/>
      <c r="AE120" s="4"/>
      <c r="AF120" s="4"/>
      <c r="AG120" s="49"/>
      <c r="AH120" s="7"/>
      <c r="AI120" s="7"/>
      <c r="AJ120" s="2"/>
      <c r="AK120" s="4"/>
      <c r="AL120" s="22"/>
      <c r="AM120" s="2"/>
      <c r="AN120" s="49"/>
      <c r="AO120" s="22"/>
      <c r="AP120" s="51"/>
      <c r="AQ120" s="12"/>
      <c r="AR120" s="12"/>
      <c r="AS120" s="12"/>
      <c r="AT120" s="12"/>
      <c r="AU120" s="12"/>
      <c r="AV120" s="2"/>
    </row>
    <row r="121" spans="1:48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12"/>
      <c r="J121" s="2"/>
      <c r="K121" s="2"/>
      <c r="L121" s="2"/>
      <c r="M121" s="2"/>
      <c r="N121" s="2"/>
      <c r="O121" s="3"/>
      <c r="Q121" s="12"/>
      <c r="R121" s="12"/>
      <c r="S121" s="12"/>
      <c r="T121" s="2"/>
      <c r="U121" s="12"/>
      <c r="V121" s="12"/>
      <c r="W121" s="7"/>
      <c r="X121" s="51"/>
      <c r="Y121" s="2"/>
      <c r="Z121" s="2"/>
      <c r="AA121" s="2"/>
      <c r="AB121" s="53"/>
      <c r="AC121" s="52"/>
      <c r="AD121" s="7"/>
      <c r="AE121" s="4"/>
      <c r="AF121" s="4"/>
      <c r="AG121" s="49"/>
      <c r="AH121" s="7"/>
      <c r="AI121" s="7"/>
      <c r="AJ121" s="2"/>
      <c r="AK121" s="4"/>
      <c r="AL121" s="22"/>
      <c r="AM121" s="2"/>
      <c r="AN121" s="49"/>
      <c r="AO121" s="22"/>
      <c r="AP121" s="51"/>
      <c r="AQ121" s="12"/>
      <c r="AR121" s="12"/>
      <c r="AS121" s="12"/>
      <c r="AT121" s="12"/>
      <c r="AU121" s="12"/>
      <c r="AV121" s="2"/>
    </row>
    <row r="122" spans="1:48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12"/>
      <c r="J122" s="2"/>
      <c r="K122" s="2"/>
      <c r="L122" s="2"/>
      <c r="M122" s="2"/>
      <c r="N122" s="2"/>
      <c r="O122" s="3"/>
      <c r="Q122" s="12"/>
      <c r="R122" s="12"/>
      <c r="S122" s="2"/>
      <c r="T122" s="12"/>
      <c r="U122" s="12"/>
      <c r="V122" s="12"/>
      <c r="W122" s="7"/>
      <c r="X122" s="51"/>
      <c r="Y122" s="2"/>
      <c r="Z122" s="2"/>
      <c r="AA122" s="2"/>
      <c r="AB122" s="53"/>
      <c r="AC122" s="52"/>
      <c r="AD122" s="7"/>
      <c r="AE122" s="4"/>
      <c r="AF122" s="4"/>
      <c r="AG122" s="49"/>
      <c r="AH122" s="7"/>
      <c r="AI122" s="7"/>
      <c r="AJ122" s="2"/>
      <c r="AK122" s="4"/>
      <c r="AL122" s="22"/>
      <c r="AM122" s="2"/>
      <c r="AN122" s="49"/>
      <c r="AO122" s="22"/>
      <c r="AP122" s="51"/>
      <c r="AQ122" s="12"/>
      <c r="AR122" s="12"/>
      <c r="AS122" s="12"/>
      <c r="AT122" s="12"/>
      <c r="AU122" s="12"/>
      <c r="AV122" s="2"/>
    </row>
    <row r="123" spans="1:48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12"/>
      <c r="J123" s="2"/>
      <c r="K123" s="2"/>
      <c r="L123" s="2"/>
      <c r="M123" s="2"/>
      <c r="N123" s="2"/>
      <c r="O123" s="3"/>
      <c r="Q123" s="12"/>
      <c r="R123" s="12"/>
      <c r="S123" s="2"/>
      <c r="T123" s="12"/>
      <c r="U123" s="12"/>
      <c r="V123" s="12"/>
      <c r="W123" s="7"/>
      <c r="X123" s="51"/>
      <c r="Y123" s="2"/>
      <c r="Z123" s="2"/>
      <c r="AA123" s="2"/>
      <c r="AB123" s="53"/>
      <c r="AC123" s="52"/>
      <c r="AD123" s="7"/>
      <c r="AE123" s="4"/>
      <c r="AF123" s="4"/>
      <c r="AG123" s="49"/>
      <c r="AH123" s="7"/>
      <c r="AI123" s="7"/>
      <c r="AJ123" s="2"/>
      <c r="AK123" s="4"/>
      <c r="AL123" s="22"/>
      <c r="AM123" s="2"/>
      <c r="AN123" s="49"/>
      <c r="AO123" s="22"/>
      <c r="AP123" s="51"/>
      <c r="AQ123" s="12"/>
      <c r="AR123" s="12"/>
      <c r="AS123" s="12"/>
      <c r="AT123" s="12"/>
      <c r="AU123" s="12"/>
      <c r="AV123" s="2"/>
    </row>
    <row r="124" spans="1:48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12"/>
      <c r="J124" s="2"/>
      <c r="K124" s="2"/>
      <c r="L124" s="2"/>
      <c r="M124" s="2"/>
      <c r="N124" s="2"/>
      <c r="O124" s="3"/>
      <c r="Q124" s="12"/>
      <c r="R124" s="12"/>
      <c r="S124" s="2"/>
      <c r="T124" s="12"/>
      <c r="U124" s="12"/>
      <c r="V124" s="12"/>
      <c r="W124" s="7"/>
      <c r="X124" s="51"/>
      <c r="Y124" s="2"/>
      <c r="Z124" s="2"/>
      <c r="AA124" s="2"/>
      <c r="AB124" s="53"/>
      <c r="AC124" s="52"/>
      <c r="AD124" s="7"/>
      <c r="AE124" s="4"/>
      <c r="AF124" s="4"/>
      <c r="AG124" s="49"/>
      <c r="AH124" s="7"/>
      <c r="AI124" s="7"/>
      <c r="AJ124" s="2"/>
      <c r="AK124" s="4"/>
      <c r="AL124" s="22"/>
      <c r="AM124" s="2"/>
      <c r="AN124" s="49"/>
      <c r="AO124" s="22"/>
      <c r="AP124" s="51"/>
      <c r="AQ124" s="12"/>
      <c r="AR124" s="12"/>
      <c r="AS124" s="12"/>
      <c r="AT124" s="12"/>
      <c r="AU124" s="12"/>
      <c r="AV124" s="2"/>
    </row>
    <row r="125" spans="1:48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12"/>
      <c r="J125" s="2"/>
      <c r="K125" s="2"/>
      <c r="L125" s="2"/>
      <c r="M125" s="2"/>
      <c r="N125" s="2"/>
      <c r="O125" s="3"/>
      <c r="Q125" s="12"/>
      <c r="R125" s="12"/>
      <c r="S125" s="2"/>
      <c r="T125" s="12"/>
      <c r="U125" s="12"/>
      <c r="V125" s="12"/>
      <c r="W125" s="7"/>
      <c r="X125" s="51"/>
      <c r="Y125" s="2"/>
      <c r="Z125" s="2"/>
      <c r="AA125" s="2"/>
      <c r="AB125" s="53"/>
      <c r="AC125" s="52"/>
      <c r="AD125" s="7"/>
      <c r="AE125" s="4"/>
      <c r="AF125" s="4"/>
      <c r="AG125" s="49"/>
      <c r="AH125" s="7"/>
      <c r="AI125" s="7"/>
      <c r="AJ125" s="2"/>
      <c r="AK125" s="4"/>
      <c r="AL125" s="22"/>
      <c r="AM125" s="2"/>
      <c r="AN125" s="49"/>
      <c r="AO125" s="22"/>
      <c r="AP125" s="51"/>
      <c r="AQ125" s="12"/>
      <c r="AR125" s="12"/>
      <c r="AS125" s="12"/>
      <c r="AT125" s="12"/>
      <c r="AU125" s="12"/>
      <c r="AV125" s="2"/>
    </row>
    <row r="126" spans="1:48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12"/>
      <c r="J126" s="2"/>
      <c r="K126" s="2"/>
      <c r="L126" s="2"/>
      <c r="M126" s="2"/>
      <c r="N126" s="2"/>
      <c r="O126" s="3"/>
      <c r="Q126" s="12"/>
      <c r="R126" s="12"/>
      <c r="S126" s="12"/>
      <c r="T126" s="2"/>
      <c r="U126" s="12"/>
      <c r="V126" s="12"/>
      <c r="W126" s="7"/>
      <c r="X126" s="51"/>
      <c r="Y126" s="2"/>
      <c r="Z126" s="2"/>
      <c r="AA126" s="2"/>
      <c r="AB126" s="53"/>
      <c r="AC126" s="52"/>
      <c r="AD126" s="7"/>
      <c r="AE126" s="4"/>
      <c r="AF126" s="4"/>
      <c r="AG126" s="49"/>
      <c r="AH126" s="7"/>
      <c r="AI126" s="7"/>
      <c r="AJ126" s="2"/>
      <c r="AK126" s="4"/>
      <c r="AL126" s="22"/>
      <c r="AM126" s="2"/>
      <c r="AN126" s="49"/>
      <c r="AO126" s="22"/>
      <c r="AP126" s="51"/>
      <c r="AQ126" s="12"/>
      <c r="AR126" s="12"/>
      <c r="AS126" s="12"/>
      <c r="AT126" s="12"/>
      <c r="AU126" s="12"/>
      <c r="AV126" s="2"/>
    </row>
    <row r="127" spans="1:48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12"/>
      <c r="J127" s="2"/>
      <c r="K127" s="2"/>
      <c r="L127" s="2"/>
      <c r="M127" s="2"/>
      <c r="N127" s="2"/>
      <c r="O127" s="3"/>
      <c r="Q127" s="12"/>
      <c r="R127" s="12"/>
      <c r="S127" s="12"/>
      <c r="T127" s="12"/>
      <c r="U127" s="12"/>
      <c r="V127" s="12"/>
      <c r="W127" s="7"/>
      <c r="X127" s="51"/>
      <c r="Y127" s="2"/>
      <c r="Z127" s="2"/>
      <c r="AA127" s="2"/>
      <c r="AB127" s="53"/>
      <c r="AC127" s="52"/>
      <c r="AD127" s="7"/>
      <c r="AE127" s="4"/>
      <c r="AF127" s="4"/>
      <c r="AG127" s="49"/>
      <c r="AH127" s="7"/>
      <c r="AI127" s="7"/>
      <c r="AJ127" s="2"/>
      <c r="AK127" s="4"/>
      <c r="AL127" s="22"/>
      <c r="AM127" s="2"/>
      <c r="AN127" s="49"/>
      <c r="AO127" s="22"/>
      <c r="AP127" s="51"/>
      <c r="AQ127" s="12"/>
      <c r="AR127" s="12"/>
      <c r="AS127" s="12"/>
      <c r="AT127" s="12"/>
      <c r="AU127" s="12"/>
      <c r="AV127" s="2"/>
    </row>
    <row r="128" spans="1:48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12"/>
      <c r="J128" s="2"/>
      <c r="K128" s="2"/>
      <c r="L128" s="2"/>
      <c r="M128" s="2"/>
      <c r="N128" s="2"/>
      <c r="O128" s="3"/>
      <c r="Q128" s="12"/>
      <c r="R128" s="12"/>
      <c r="S128" s="12"/>
      <c r="T128" s="12"/>
      <c r="U128" s="12"/>
      <c r="V128" s="12"/>
      <c r="W128" s="7"/>
      <c r="X128" s="51"/>
      <c r="Y128" s="2"/>
      <c r="Z128" s="2"/>
      <c r="AA128" s="2"/>
      <c r="AB128" s="53"/>
      <c r="AC128" s="52"/>
      <c r="AD128" s="7"/>
      <c r="AE128" s="4"/>
      <c r="AF128" s="4"/>
      <c r="AG128" s="49"/>
      <c r="AH128" s="7"/>
      <c r="AI128" s="7"/>
      <c r="AJ128" s="2"/>
      <c r="AK128" s="4"/>
      <c r="AL128" s="22"/>
      <c r="AM128" s="2"/>
      <c r="AN128" s="49"/>
      <c r="AO128" s="22"/>
      <c r="AP128" s="51"/>
      <c r="AQ128" s="12"/>
      <c r="AR128" s="12"/>
      <c r="AS128" s="12"/>
      <c r="AT128" s="12"/>
      <c r="AU128" s="12"/>
      <c r="AV128" s="2"/>
    </row>
    <row r="129" spans="1:48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12"/>
      <c r="J129" s="2"/>
      <c r="K129" s="2"/>
      <c r="L129" s="2"/>
      <c r="M129" s="2"/>
      <c r="N129" s="2"/>
      <c r="O129" s="3"/>
      <c r="Q129" s="12"/>
      <c r="R129" s="12"/>
      <c r="S129" s="12"/>
      <c r="T129" s="12"/>
      <c r="U129" s="12"/>
      <c r="V129" s="12"/>
      <c r="W129" s="7"/>
      <c r="X129" s="51"/>
      <c r="Y129" s="2"/>
      <c r="Z129" s="2"/>
      <c r="AA129" s="2"/>
      <c r="AB129" s="53"/>
      <c r="AC129" s="52"/>
      <c r="AD129" s="7"/>
      <c r="AE129" s="4"/>
      <c r="AF129" s="4"/>
      <c r="AG129" s="49"/>
      <c r="AH129" s="7"/>
      <c r="AI129" s="7"/>
      <c r="AJ129" s="2"/>
      <c r="AK129" s="4"/>
      <c r="AL129" s="22"/>
      <c r="AM129" s="2"/>
      <c r="AN129" s="49"/>
      <c r="AO129" s="22"/>
      <c r="AP129" s="51"/>
      <c r="AQ129" s="12"/>
      <c r="AR129" s="12"/>
      <c r="AS129" s="12"/>
      <c r="AT129" s="12"/>
      <c r="AU129" s="12"/>
      <c r="AV129" s="2"/>
    </row>
    <row r="130" spans="1:48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12"/>
      <c r="J130" s="2"/>
      <c r="K130" s="2"/>
      <c r="L130" s="2"/>
      <c r="M130" s="2"/>
      <c r="N130" s="2"/>
      <c r="O130" s="3"/>
      <c r="Q130" s="12"/>
      <c r="R130" s="12"/>
      <c r="S130" s="12"/>
      <c r="T130" s="12"/>
      <c r="U130" s="12"/>
      <c r="V130" s="12"/>
      <c r="W130" s="7"/>
      <c r="X130" s="51"/>
      <c r="Y130" s="2"/>
      <c r="Z130" s="2"/>
      <c r="AA130" s="2"/>
      <c r="AB130" s="53"/>
      <c r="AC130" s="52"/>
      <c r="AD130" s="7"/>
      <c r="AE130" s="4"/>
      <c r="AF130" s="4"/>
      <c r="AG130" s="49"/>
      <c r="AH130" s="7"/>
      <c r="AI130" s="7"/>
      <c r="AJ130" s="2"/>
      <c r="AK130" s="4"/>
      <c r="AL130" s="22"/>
      <c r="AM130" s="2"/>
      <c r="AN130" s="49"/>
      <c r="AO130" s="22"/>
      <c r="AP130" s="51"/>
      <c r="AQ130" s="12"/>
      <c r="AR130" s="12"/>
      <c r="AS130" s="12"/>
      <c r="AT130" s="12"/>
      <c r="AU130" s="12"/>
      <c r="AV130" s="2"/>
    </row>
    <row r="131" spans="1:48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12"/>
      <c r="J131" s="2"/>
      <c r="K131" s="2"/>
      <c r="L131" s="2"/>
      <c r="M131" s="2"/>
      <c r="N131" s="2"/>
      <c r="O131" s="3"/>
      <c r="Q131" s="12"/>
      <c r="R131" s="12"/>
      <c r="S131" s="12"/>
      <c r="T131" s="12"/>
      <c r="U131" s="12"/>
      <c r="V131" s="12"/>
      <c r="W131" s="7"/>
      <c r="X131" s="51"/>
      <c r="Y131" s="2"/>
      <c r="Z131" s="2"/>
      <c r="AA131" s="2"/>
      <c r="AB131" s="53"/>
      <c r="AC131" s="52"/>
      <c r="AD131" s="7"/>
      <c r="AE131" s="4"/>
      <c r="AF131" s="4"/>
      <c r="AG131" s="49"/>
      <c r="AH131" s="7"/>
      <c r="AI131" s="7"/>
      <c r="AJ131" s="2"/>
      <c r="AK131" s="4"/>
      <c r="AL131" s="22"/>
      <c r="AM131" s="2"/>
      <c r="AN131" s="49"/>
      <c r="AO131" s="22"/>
      <c r="AP131" s="51"/>
      <c r="AQ131" s="12"/>
      <c r="AR131" s="12"/>
      <c r="AS131" s="12"/>
      <c r="AT131" s="12"/>
      <c r="AU131" s="12"/>
      <c r="AV131" s="2"/>
    </row>
    <row r="132" spans="1:48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12"/>
      <c r="J132" s="2"/>
      <c r="K132" s="2"/>
      <c r="L132" s="2"/>
      <c r="M132" s="2"/>
      <c r="N132" s="2"/>
      <c r="O132" s="3"/>
      <c r="Q132" s="12"/>
      <c r="R132" s="12"/>
      <c r="S132" s="12"/>
      <c r="T132" s="12"/>
      <c r="U132" s="12"/>
      <c r="V132" s="12"/>
      <c r="W132" s="7"/>
      <c r="X132" s="51"/>
      <c r="Y132" s="2"/>
      <c r="Z132" s="2"/>
      <c r="AA132" s="2"/>
      <c r="AB132" s="53"/>
      <c r="AC132" s="52"/>
      <c r="AD132" s="7"/>
      <c r="AE132" s="4"/>
      <c r="AF132" s="4"/>
      <c r="AG132" s="49"/>
      <c r="AH132" s="7"/>
      <c r="AI132" s="7"/>
      <c r="AJ132" s="2"/>
      <c r="AK132" s="4"/>
      <c r="AL132" s="22"/>
      <c r="AM132" s="2"/>
      <c r="AN132" s="49"/>
      <c r="AO132" s="22"/>
      <c r="AP132" s="51"/>
      <c r="AQ132" s="12"/>
      <c r="AR132" s="12"/>
      <c r="AS132" s="12"/>
      <c r="AT132" s="12"/>
      <c r="AU132" s="12"/>
      <c r="AV132" s="2"/>
    </row>
    <row r="133" spans="1:48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12"/>
      <c r="J133" s="2"/>
      <c r="K133" s="2"/>
      <c r="L133" s="2"/>
      <c r="M133" s="2"/>
      <c r="N133" s="2"/>
      <c r="O133" s="3"/>
      <c r="Q133" s="12"/>
      <c r="R133" s="12"/>
      <c r="S133" s="12"/>
      <c r="T133" s="2"/>
      <c r="U133" s="12"/>
      <c r="V133" s="12"/>
      <c r="W133" s="7"/>
      <c r="X133" s="51"/>
      <c r="Y133" s="2"/>
      <c r="Z133" s="2"/>
      <c r="AA133" s="2"/>
      <c r="AB133" s="53"/>
      <c r="AC133" s="52"/>
      <c r="AD133" s="7"/>
      <c r="AE133" s="4"/>
      <c r="AF133" s="4"/>
      <c r="AG133" s="49"/>
      <c r="AH133" s="7"/>
      <c r="AI133" s="7"/>
      <c r="AJ133" s="2"/>
      <c r="AK133" s="4"/>
      <c r="AL133" s="22"/>
      <c r="AM133" s="2"/>
      <c r="AN133" s="49"/>
      <c r="AO133" s="22"/>
      <c r="AP133" s="51"/>
      <c r="AQ133" s="12"/>
      <c r="AR133" s="12"/>
      <c r="AS133" s="12"/>
      <c r="AT133" s="12"/>
      <c r="AU133" s="12"/>
      <c r="AV133" s="2"/>
    </row>
    <row r="134" spans="1:48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12"/>
      <c r="J134" s="2"/>
      <c r="K134" s="2"/>
      <c r="L134" s="2"/>
      <c r="M134" s="2"/>
      <c r="N134" s="2"/>
      <c r="O134" s="3"/>
      <c r="Q134" s="12"/>
      <c r="R134" s="12"/>
      <c r="S134" s="12"/>
      <c r="T134" s="2"/>
      <c r="U134" s="12"/>
      <c r="V134" s="12"/>
      <c r="W134" s="7"/>
      <c r="X134" s="51"/>
      <c r="Y134" s="2"/>
      <c r="Z134" s="2"/>
      <c r="AA134" s="2"/>
      <c r="AB134" s="53"/>
      <c r="AC134" s="52"/>
      <c r="AD134" s="7"/>
      <c r="AE134" s="4"/>
      <c r="AF134" s="4"/>
      <c r="AG134" s="49"/>
      <c r="AH134" s="7"/>
      <c r="AI134" s="7"/>
      <c r="AJ134" s="2"/>
      <c r="AK134" s="4"/>
      <c r="AL134" s="22"/>
      <c r="AM134" s="2"/>
      <c r="AN134" s="49"/>
      <c r="AO134" s="22"/>
      <c r="AP134" s="51"/>
      <c r="AQ134" s="12"/>
      <c r="AR134" s="12"/>
      <c r="AS134" s="12"/>
      <c r="AT134" s="12"/>
      <c r="AU134" s="12"/>
      <c r="AV134" s="2"/>
    </row>
    <row r="135" spans="1:48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12"/>
      <c r="J135" s="2"/>
      <c r="K135" s="2"/>
      <c r="L135" s="2"/>
      <c r="M135" s="2"/>
      <c r="N135" s="2"/>
      <c r="O135" s="3"/>
      <c r="Q135" s="12"/>
      <c r="R135" s="12"/>
      <c r="S135" s="12"/>
      <c r="T135" s="2"/>
      <c r="U135" s="12"/>
      <c r="V135" s="12"/>
      <c r="W135" s="7"/>
      <c r="X135" s="51"/>
      <c r="Y135" s="2"/>
      <c r="Z135" s="2"/>
      <c r="AA135" s="2"/>
      <c r="AB135" s="53"/>
      <c r="AC135" s="52"/>
      <c r="AD135" s="7"/>
      <c r="AE135" s="4"/>
      <c r="AF135" s="4"/>
      <c r="AG135" s="49"/>
      <c r="AH135" s="7"/>
      <c r="AI135" s="7"/>
      <c r="AJ135" s="2"/>
      <c r="AK135" s="4"/>
      <c r="AL135" s="22"/>
      <c r="AM135" s="2"/>
      <c r="AN135" s="49"/>
      <c r="AO135" s="22"/>
      <c r="AP135" s="51"/>
      <c r="AQ135" s="12"/>
      <c r="AR135" s="12"/>
      <c r="AS135" s="12"/>
      <c r="AT135" s="12"/>
      <c r="AU135" s="12"/>
      <c r="AV135" s="2"/>
    </row>
    <row r="136" spans="1:48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12"/>
      <c r="J136" s="2"/>
      <c r="K136" s="2"/>
      <c r="L136" s="2"/>
      <c r="M136" s="2"/>
      <c r="N136" s="2"/>
      <c r="O136" s="3"/>
      <c r="Q136" s="12"/>
      <c r="R136" s="12"/>
      <c r="S136" s="12"/>
      <c r="T136" s="2"/>
      <c r="U136" s="12"/>
      <c r="V136" s="12"/>
      <c r="W136" s="7"/>
      <c r="X136" s="51"/>
      <c r="Y136" s="2"/>
      <c r="Z136" s="2"/>
      <c r="AA136" s="2"/>
      <c r="AB136" s="53"/>
      <c r="AC136" s="52"/>
      <c r="AD136" s="7"/>
      <c r="AE136" s="4"/>
      <c r="AF136" s="4"/>
      <c r="AG136" s="49"/>
      <c r="AH136" s="7"/>
      <c r="AI136" s="7"/>
      <c r="AJ136" s="2"/>
      <c r="AK136" s="4"/>
      <c r="AL136" s="22"/>
      <c r="AM136" s="2"/>
      <c r="AN136" s="49"/>
      <c r="AO136" s="22"/>
      <c r="AP136" s="51"/>
      <c r="AQ136" s="12"/>
      <c r="AR136" s="12"/>
      <c r="AS136" s="12"/>
      <c r="AT136" s="12"/>
      <c r="AU136" s="12"/>
      <c r="AV136" s="2"/>
    </row>
    <row r="137" spans="1:48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12"/>
      <c r="J137" s="2"/>
      <c r="K137" s="2"/>
      <c r="L137" s="2"/>
      <c r="M137" s="2"/>
      <c r="N137" s="2"/>
      <c r="O137" s="3"/>
      <c r="Q137" s="12"/>
      <c r="R137" s="12"/>
      <c r="S137" s="12"/>
      <c r="T137" s="2"/>
      <c r="U137" s="12"/>
      <c r="V137" s="12"/>
      <c r="W137" s="7"/>
      <c r="X137" s="51"/>
      <c r="Y137" s="2"/>
      <c r="Z137" s="2"/>
      <c r="AA137" s="2"/>
      <c r="AB137" s="53"/>
      <c r="AC137" s="52"/>
      <c r="AD137" s="7"/>
      <c r="AE137" s="4"/>
      <c r="AF137" s="4"/>
      <c r="AG137" s="49"/>
      <c r="AH137" s="7"/>
      <c r="AI137" s="7"/>
      <c r="AJ137" s="2"/>
      <c r="AK137" s="4"/>
      <c r="AL137" s="22"/>
      <c r="AM137" s="2"/>
      <c r="AN137" s="49"/>
      <c r="AO137" s="22"/>
      <c r="AP137" s="51"/>
      <c r="AQ137" s="12"/>
      <c r="AR137" s="12"/>
      <c r="AS137" s="12"/>
      <c r="AT137" s="12"/>
      <c r="AU137" s="12"/>
      <c r="AV137" s="2"/>
    </row>
    <row r="138" spans="1:48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12"/>
      <c r="J138" s="2"/>
      <c r="K138" s="2"/>
      <c r="L138" s="2"/>
      <c r="M138" s="2"/>
      <c r="N138" s="2"/>
      <c r="O138" s="3"/>
      <c r="Q138" s="12"/>
      <c r="R138" s="12"/>
      <c r="S138" s="12"/>
      <c r="T138" s="2"/>
      <c r="U138" s="12"/>
      <c r="V138" s="12"/>
      <c r="W138" s="7"/>
      <c r="X138" s="51"/>
      <c r="Y138" s="2"/>
      <c r="Z138" s="2"/>
      <c r="AA138" s="2"/>
      <c r="AB138" s="53"/>
      <c r="AC138" s="52"/>
      <c r="AD138" s="7"/>
      <c r="AE138" s="4"/>
      <c r="AF138" s="4"/>
      <c r="AG138" s="49"/>
      <c r="AH138" s="7"/>
      <c r="AI138" s="7"/>
      <c r="AJ138" s="2"/>
      <c r="AK138" s="4"/>
      <c r="AL138" s="22"/>
      <c r="AM138" s="2"/>
      <c r="AN138" s="49"/>
      <c r="AO138" s="22"/>
      <c r="AP138" s="51"/>
      <c r="AQ138" s="12"/>
      <c r="AR138" s="12"/>
      <c r="AS138" s="12"/>
      <c r="AT138" s="12"/>
      <c r="AU138" s="12"/>
      <c r="AV138" s="2"/>
    </row>
    <row r="139" spans="1:48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12"/>
      <c r="J139" s="2"/>
      <c r="K139" s="2"/>
      <c r="L139" s="2"/>
      <c r="M139" s="2"/>
      <c r="N139" s="2"/>
      <c r="O139" s="3"/>
      <c r="Q139" s="12"/>
      <c r="R139" s="12"/>
      <c r="S139" s="12"/>
      <c r="T139" s="2"/>
      <c r="U139" s="12"/>
      <c r="V139" s="12"/>
      <c r="W139" s="7"/>
      <c r="X139" s="51"/>
      <c r="Y139" s="2"/>
      <c r="Z139" s="2"/>
      <c r="AA139" s="2"/>
      <c r="AB139" s="53"/>
      <c r="AC139" s="52"/>
      <c r="AD139" s="7"/>
      <c r="AE139" s="4"/>
      <c r="AF139" s="4"/>
      <c r="AG139" s="49"/>
      <c r="AH139" s="7"/>
      <c r="AI139" s="7"/>
      <c r="AJ139" s="2"/>
      <c r="AK139" s="4"/>
      <c r="AL139" s="22"/>
      <c r="AM139" s="2"/>
      <c r="AN139" s="49"/>
      <c r="AO139" s="22"/>
      <c r="AP139" s="51"/>
      <c r="AQ139" s="12"/>
      <c r="AR139" s="12"/>
      <c r="AS139" s="12"/>
      <c r="AT139" s="12"/>
      <c r="AU139" s="12"/>
      <c r="AV139" s="2"/>
    </row>
    <row r="140" spans="1:48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12"/>
      <c r="J140" s="2"/>
      <c r="K140" s="2"/>
      <c r="L140" s="2"/>
      <c r="M140" s="2"/>
      <c r="N140" s="2"/>
      <c r="O140" s="3"/>
      <c r="Q140" s="12"/>
      <c r="R140" s="12"/>
      <c r="S140" s="12"/>
      <c r="T140" s="2"/>
      <c r="U140" s="12"/>
      <c r="V140" s="12"/>
      <c r="W140" s="7"/>
      <c r="X140" s="51"/>
      <c r="Y140" s="2"/>
      <c r="Z140" s="2"/>
      <c r="AA140" s="2"/>
      <c r="AB140" s="2"/>
      <c r="AC140" s="2"/>
      <c r="AD140" s="7"/>
      <c r="AE140" s="4"/>
      <c r="AF140" s="4"/>
      <c r="AG140" s="49"/>
      <c r="AH140" s="7"/>
      <c r="AI140" s="7"/>
      <c r="AJ140" s="2"/>
      <c r="AK140" s="4"/>
      <c r="AL140" s="22"/>
      <c r="AM140" s="2"/>
      <c r="AN140" s="49"/>
      <c r="AO140" s="22"/>
      <c r="AP140" s="51"/>
      <c r="AQ140" s="12"/>
      <c r="AR140" s="12"/>
      <c r="AS140" s="12"/>
      <c r="AT140" s="12"/>
      <c r="AU140" s="12"/>
      <c r="AV140" s="2"/>
    </row>
    <row r="141" spans="1:48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12"/>
      <c r="J141" s="2"/>
      <c r="K141" s="2"/>
      <c r="L141" s="2"/>
      <c r="M141" s="2"/>
      <c r="N141" s="2"/>
      <c r="O141" s="3"/>
      <c r="Q141" s="12"/>
      <c r="R141" s="12"/>
      <c r="S141" s="12"/>
      <c r="T141" s="2"/>
      <c r="U141" s="12"/>
      <c r="V141" s="12"/>
      <c r="W141" s="7"/>
      <c r="X141" s="51"/>
      <c r="Y141" s="2"/>
      <c r="Z141" s="2"/>
      <c r="AA141" s="2"/>
      <c r="AB141" s="2"/>
      <c r="AC141" s="2"/>
      <c r="AD141" s="7"/>
      <c r="AE141" s="4"/>
      <c r="AF141" s="4"/>
      <c r="AG141" s="49"/>
      <c r="AH141" s="7"/>
      <c r="AI141" s="7"/>
      <c r="AJ141" s="2"/>
      <c r="AK141" s="4"/>
      <c r="AL141" s="22"/>
      <c r="AM141" s="2"/>
      <c r="AN141" s="49"/>
      <c r="AO141" s="22"/>
      <c r="AP141" s="51"/>
      <c r="AQ141" s="12"/>
      <c r="AR141" s="12"/>
      <c r="AS141" s="12"/>
      <c r="AT141" s="12"/>
      <c r="AU141" s="12"/>
      <c r="AV141" s="2"/>
    </row>
    <row r="142" spans="1:48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12"/>
      <c r="J142" s="2"/>
      <c r="K142" s="2"/>
      <c r="L142" s="2"/>
      <c r="M142" s="2"/>
      <c r="N142" s="2"/>
      <c r="O142" s="3"/>
      <c r="Q142" s="12"/>
      <c r="R142" s="12"/>
      <c r="S142" s="12"/>
      <c r="T142" s="2"/>
      <c r="U142" s="12"/>
      <c r="V142" s="12"/>
      <c r="W142" s="7"/>
      <c r="X142" s="51"/>
      <c r="Y142" s="2"/>
      <c r="Z142" s="2"/>
      <c r="AA142" s="2"/>
      <c r="AB142" s="53"/>
      <c r="AC142" s="52"/>
      <c r="AD142" s="7"/>
      <c r="AE142" s="4"/>
      <c r="AF142" s="4"/>
      <c r="AG142" s="49"/>
      <c r="AH142" s="7"/>
      <c r="AI142" s="7"/>
      <c r="AJ142" s="2"/>
      <c r="AK142" s="4"/>
      <c r="AL142" s="22"/>
      <c r="AM142" s="2"/>
      <c r="AN142" s="49"/>
      <c r="AO142" s="22"/>
      <c r="AP142" s="51"/>
      <c r="AQ142" s="12"/>
      <c r="AR142" s="12"/>
      <c r="AS142" s="12"/>
      <c r="AT142" s="12"/>
      <c r="AU142" s="12"/>
      <c r="AV142" s="2"/>
    </row>
    <row r="143" spans="1:48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12"/>
      <c r="J143" s="2"/>
      <c r="K143" s="2"/>
      <c r="L143" s="2"/>
      <c r="M143" s="2"/>
      <c r="N143" s="2"/>
      <c r="O143" s="3"/>
      <c r="Q143" s="12"/>
      <c r="R143" s="12"/>
      <c r="S143" s="12"/>
      <c r="T143" s="2"/>
      <c r="U143" s="12"/>
      <c r="V143" s="12"/>
      <c r="W143" s="7"/>
      <c r="X143" s="51"/>
      <c r="Y143" s="2"/>
      <c r="Z143" s="2"/>
      <c r="AA143" s="2"/>
      <c r="AB143" s="53"/>
      <c r="AC143" s="52"/>
      <c r="AD143" s="7"/>
      <c r="AE143" s="4"/>
      <c r="AF143" s="4"/>
      <c r="AG143" s="49"/>
      <c r="AH143" s="7"/>
      <c r="AI143" s="7"/>
      <c r="AJ143" s="2"/>
      <c r="AK143" s="4"/>
      <c r="AL143" s="22"/>
      <c r="AM143" s="2"/>
      <c r="AN143" s="49"/>
      <c r="AO143" s="22"/>
      <c r="AP143" s="51"/>
      <c r="AQ143" s="12"/>
      <c r="AR143" s="12"/>
      <c r="AS143" s="12"/>
      <c r="AT143" s="12"/>
      <c r="AU143" s="12"/>
      <c r="AV143" s="2"/>
    </row>
    <row r="144" spans="1:48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12"/>
      <c r="J144" s="2"/>
      <c r="K144" s="2"/>
      <c r="L144" s="2"/>
      <c r="M144" s="2"/>
      <c r="N144" s="2"/>
      <c r="O144" s="3"/>
      <c r="Q144" s="12"/>
      <c r="R144" s="12"/>
      <c r="S144" s="12"/>
      <c r="T144" s="12"/>
      <c r="U144" s="12"/>
      <c r="V144" s="12"/>
      <c r="W144" s="7"/>
      <c r="X144" s="51"/>
      <c r="Y144" s="2"/>
      <c r="Z144" s="2"/>
      <c r="AA144" s="2"/>
      <c r="AB144" s="53"/>
      <c r="AC144" s="52"/>
      <c r="AD144" s="7"/>
      <c r="AE144" s="4"/>
      <c r="AF144" s="4"/>
      <c r="AG144" s="49"/>
      <c r="AH144" s="7"/>
      <c r="AI144" s="7"/>
      <c r="AJ144" s="2"/>
      <c r="AK144" s="4"/>
      <c r="AL144" s="22"/>
      <c r="AM144" s="2"/>
      <c r="AN144" s="49"/>
      <c r="AO144" s="22"/>
      <c r="AP144" s="51"/>
      <c r="AQ144" s="12"/>
      <c r="AR144" s="12"/>
      <c r="AS144" s="12"/>
      <c r="AT144" s="12"/>
      <c r="AU144" s="12"/>
      <c r="AV144" s="2"/>
    </row>
    <row r="145" spans="1:48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12"/>
      <c r="J145" s="2"/>
      <c r="K145" s="2"/>
      <c r="L145" s="2"/>
      <c r="M145" s="2"/>
      <c r="N145" s="2"/>
      <c r="O145" s="3"/>
      <c r="Q145" s="12"/>
      <c r="R145" s="12"/>
      <c r="S145" s="12"/>
      <c r="T145" s="12"/>
      <c r="U145" s="12"/>
      <c r="V145" s="12"/>
      <c r="W145" s="7"/>
      <c r="X145" s="51"/>
      <c r="Y145" s="2"/>
      <c r="Z145" s="2"/>
      <c r="AA145" s="2"/>
      <c r="AB145" s="53"/>
      <c r="AC145" s="52"/>
      <c r="AD145" s="7"/>
      <c r="AE145" s="4"/>
      <c r="AF145" s="4"/>
      <c r="AG145" s="49"/>
      <c r="AH145" s="7"/>
      <c r="AI145" s="7"/>
      <c r="AJ145" s="3"/>
      <c r="AK145" s="4"/>
      <c r="AL145" s="4"/>
      <c r="AM145" s="4"/>
      <c r="AN145" s="49"/>
      <c r="AO145" s="22"/>
      <c r="AP145" s="51"/>
      <c r="AQ145" s="12"/>
      <c r="AR145" s="12"/>
      <c r="AS145" s="12"/>
      <c r="AT145" s="12"/>
      <c r="AU145" s="12"/>
      <c r="AV145" s="2"/>
    </row>
    <row r="146" spans="1:48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12"/>
      <c r="J146" s="2"/>
      <c r="K146" s="2"/>
      <c r="L146" s="2"/>
      <c r="M146" s="2"/>
      <c r="N146" s="2"/>
      <c r="O146" s="3"/>
      <c r="Q146" s="12"/>
      <c r="R146" s="12"/>
      <c r="S146" s="12"/>
      <c r="T146" s="12"/>
      <c r="U146" s="12"/>
      <c r="V146" s="12"/>
      <c r="W146" s="7"/>
      <c r="X146" s="51"/>
      <c r="Y146" s="2"/>
      <c r="Z146" s="2"/>
      <c r="AA146" s="2"/>
      <c r="AB146" s="53"/>
      <c r="AC146" s="52"/>
      <c r="AD146" s="7"/>
      <c r="AE146" s="4"/>
      <c r="AF146" s="4"/>
      <c r="AG146" s="49"/>
      <c r="AH146" s="7"/>
      <c r="AI146" s="7"/>
      <c r="AJ146" s="2"/>
      <c r="AK146" s="4"/>
      <c r="AL146" s="22"/>
      <c r="AM146" s="2"/>
      <c r="AN146" s="49"/>
      <c r="AO146" s="22"/>
      <c r="AP146" s="51"/>
      <c r="AQ146" s="12"/>
      <c r="AR146" s="12"/>
      <c r="AS146" s="12"/>
      <c r="AT146" s="12"/>
      <c r="AU146" s="12"/>
      <c r="AV146" s="2"/>
    </row>
    <row r="147" spans="1:48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Q147" s="12"/>
      <c r="R147" s="12"/>
      <c r="S147" s="12"/>
      <c r="T147" s="12"/>
      <c r="U147" s="12"/>
      <c r="V147" s="12"/>
      <c r="W147" s="7"/>
      <c r="X147" s="51"/>
      <c r="Y147" s="2"/>
      <c r="Z147" s="2"/>
      <c r="AA147" s="2"/>
      <c r="AB147" s="2"/>
      <c r="AC147" s="2"/>
      <c r="AD147" s="7"/>
      <c r="AE147" s="4"/>
      <c r="AF147" s="4"/>
      <c r="AG147" s="49"/>
      <c r="AH147" s="7"/>
      <c r="AI147" s="7"/>
      <c r="AJ147" s="2"/>
      <c r="AK147" s="4"/>
      <c r="AL147" s="22"/>
      <c r="AM147" s="2"/>
      <c r="AN147" s="49"/>
      <c r="AO147" s="22"/>
      <c r="AP147" s="51"/>
      <c r="AQ147" s="12"/>
      <c r="AR147" s="12"/>
      <c r="AS147" s="12"/>
      <c r="AT147" s="12"/>
      <c r="AU147" s="12"/>
      <c r="AV147" s="2"/>
    </row>
    <row r="148" spans="1:48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12"/>
      <c r="J148" s="2"/>
      <c r="K148" s="2"/>
      <c r="L148" s="2"/>
      <c r="M148" s="2"/>
      <c r="N148" s="2"/>
      <c r="O148" s="3"/>
      <c r="Q148" s="12"/>
      <c r="R148" s="12"/>
      <c r="S148" s="12"/>
      <c r="T148" s="12"/>
      <c r="U148" s="2"/>
      <c r="V148" s="12"/>
      <c r="W148" s="7"/>
      <c r="X148" s="51"/>
      <c r="Y148" s="2"/>
      <c r="Z148" s="2"/>
      <c r="AA148" s="2"/>
      <c r="AB148" s="53"/>
      <c r="AC148" s="52"/>
      <c r="AD148" s="7"/>
      <c r="AE148" s="4"/>
      <c r="AF148" s="4"/>
      <c r="AG148" s="49"/>
      <c r="AH148" s="7"/>
      <c r="AI148" s="7"/>
      <c r="AJ148" s="2"/>
      <c r="AK148" s="4"/>
      <c r="AL148" s="22"/>
      <c r="AM148" s="2"/>
      <c r="AN148" s="49"/>
      <c r="AO148" s="22"/>
      <c r="AP148" s="51"/>
      <c r="AQ148" s="12"/>
      <c r="AR148" s="12"/>
      <c r="AS148" s="12"/>
      <c r="AT148" s="12"/>
      <c r="AU148" s="12"/>
      <c r="AV148" s="2"/>
    </row>
    <row r="149" spans="1:48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12"/>
      <c r="J149" s="2"/>
      <c r="K149" s="2"/>
      <c r="L149" s="2"/>
      <c r="M149" s="2"/>
      <c r="N149" s="2"/>
      <c r="O149" s="3"/>
      <c r="Q149" s="12"/>
      <c r="R149" s="12"/>
      <c r="S149" s="12"/>
      <c r="T149" s="12"/>
      <c r="U149" s="12"/>
      <c r="V149" s="2"/>
      <c r="W149" s="7"/>
      <c r="X149" s="51"/>
      <c r="Y149" s="2"/>
      <c r="Z149" s="2"/>
      <c r="AA149" s="2"/>
      <c r="AB149" s="53"/>
      <c r="AC149" s="52"/>
      <c r="AD149" s="7"/>
      <c r="AE149" s="4"/>
      <c r="AF149" s="4"/>
      <c r="AG149" s="49"/>
      <c r="AH149" s="7"/>
      <c r="AI149" s="7"/>
      <c r="AJ149" s="2"/>
      <c r="AK149" s="4"/>
      <c r="AL149" s="22"/>
      <c r="AM149" s="2"/>
      <c r="AN149" s="49"/>
      <c r="AO149" s="22"/>
      <c r="AP149" s="51"/>
      <c r="AQ149" s="12"/>
      <c r="AR149" s="12"/>
      <c r="AS149" s="12"/>
      <c r="AT149" s="12"/>
      <c r="AU149" s="12"/>
      <c r="AV149" s="2"/>
    </row>
    <row r="150" spans="1:48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12"/>
      <c r="J150" s="2"/>
      <c r="K150" s="2"/>
      <c r="L150" s="2"/>
      <c r="M150" s="2"/>
      <c r="N150" s="2"/>
      <c r="O150" s="3"/>
      <c r="Q150" s="12"/>
      <c r="R150" s="12"/>
      <c r="S150" s="12"/>
      <c r="T150" s="12"/>
      <c r="U150" s="12"/>
      <c r="V150" s="2"/>
      <c r="W150" s="7"/>
      <c r="X150" s="51"/>
      <c r="Y150" s="2"/>
      <c r="Z150" s="2"/>
      <c r="AA150" s="2"/>
      <c r="AB150" s="53"/>
      <c r="AC150" s="52"/>
      <c r="AD150" s="7"/>
      <c r="AE150" s="4"/>
      <c r="AF150" s="4"/>
      <c r="AG150" s="49"/>
      <c r="AH150" s="7"/>
      <c r="AI150" s="7"/>
      <c r="AJ150" s="2"/>
      <c r="AK150" s="4"/>
      <c r="AL150" s="22"/>
      <c r="AM150" s="2"/>
      <c r="AN150" s="49"/>
      <c r="AO150" s="22"/>
      <c r="AP150" s="51"/>
      <c r="AQ150" s="12"/>
      <c r="AR150" s="12"/>
      <c r="AS150" s="12"/>
      <c r="AT150" s="12"/>
      <c r="AU150" s="12"/>
      <c r="AV150" s="2"/>
    </row>
    <row r="151" spans="1:48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12"/>
      <c r="J151" s="2"/>
      <c r="K151" s="2"/>
      <c r="L151" s="2"/>
      <c r="M151" s="2"/>
      <c r="N151" s="2"/>
      <c r="O151" s="3"/>
      <c r="Q151" s="12"/>
      <c r="R151" s="12"/>
      <c r="S151" s="12"/>
      <c r="T151" s="12"/>
      <c r="U151" s="12"/>
      <c r="V151" s="2"/>
      <c r="W151" s="7"/>
      <c r="X151" s="51"/>
      <c r="Y151" s="2"/>
      <c r="Z151" s="2"/>
      <c r="AA151" s="2"/>
      <c r="AB151" s="53"/>
      <c r="AC151" s="52"/>
      <c r="AD151" s="7"/>
      <c r="AE151" s="4"/>
      <c r="AF151" s="4"/>
      <c r="AG151" s="49"/>
      <c r="AH151" s="7"/>
      <c r="AI151" s="7"/>
      <c r="AJ151" s="3"/>
      <c r="AK151" s="4"/>
      <c r="AL151" s="4"/>
      <c r="AM151" s="4"/>
      <c r="AN151" s="49"/>
      <c r="AO151" s="22"/>
      <c r="AP151" s="51"/>
      <c r="AQ151" s="12"/>
      <c r="AR151" s="12"/>
      <c r="AS151" s="12"/>
      <c r="AT151" s="12"/>
      <c r="AU151" s="12"/>
      <c r="AV151" s="2"/>
    </row>
    <row r="152" spans="1:48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12"/>
      <c r="J152" s="2"/>
      <c r="K152" s="2"/>
      <c r="L152" s="2"/>
      <c r="M152" s="2"/>
      <c r="N152" s="2"/>
      <c r="O152" s="3"/>
      <c r="Q152" s="12"/>
      <c r="R152" s="12"/>
      <c r="S152" s="2"/>
      <c r="T152" s="12"/>
      <c r="U152" s="12"/>
      <c r="V152" s="2"/>
      <c r="W152" s="7"/>
      <c r="X152" s="51"/>
      <c r="Y152" s="2"/>
      <c r="Z152" s="2"/>
      <c r="AA152" s="2"/>
      <c r="AB152" s="53"/>
      <c r="AC152" s="52"/>
      <c r="AD152" s="7"/>
      <c r="AE152" s="4"/>
      <c r="AF152" s="4"/>
      <c r="AG152" s="49"/>
      <c r="AH152" s="7"/>
      <c r="AI152" s="7"/>
      <c r="AJ152" s="2"/>
      <c r="AK152" s="4"/>
      <c r="AL152" s="22"/>
      <c r="AM152" s="2"/>
      <c r="AN152" s="49"/>
      <c r="AO152" s="22"/>
      <c r="AP152" s="51"/>
      <c r="AQ152" s="12"/>
      <c r="AR152" s="12"/>
      <c r="AS152" s="12"/>
      <c r="AT152" s="12"/>
      <c r="AU152" s="12"/>
      <c r="AV152" s="2"/>
    </row>
    <row r="153" spans="1:48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12"/>
      <c r="J153" s="2"/>
      <c r="K153" s="2"/>
      <c r="L153" s="2"/>
      <c r="M153" s="2"/>
      <c r="N153" s="2"/>
      <c r="O153" s="3"/>
      <c r="Q153" s="12"/>
      <c r="R153" s="12"/>
      <c r="S153" s="2"/>
      <c r="T153" s="12"/>
      <c r="U153" s="12"/>
      <c r="V153" s="2"/>
      <c r="W153" s="7"/>
      <c r="X153" s="51"/>
      <c r="Y153" s="2"/>
      <c r="Z153" s="2"/>
      <c r="AA153" s="2"/>
      <c r="AB153" s="53"/>
      <c r="AC153" s="52"/>
      <c r="AD153" s="7"/>
      <c r="AE153" s="4"/>
      <c r="AF153" s="4"/>
      <c r="AG153" s="49"/>
      <c r="AH153" s="7"/>
      <c r="AI153" s="7"/>
      <c r="AJ153" s="2"/>
      <c r="AK153" s="4"/>
      <c r="AL153" s="22"/>
      <c r="AM153" s="2"/>
      <c r="AN153" s="49"/>
      <c r="AO153" s="22"/>
      <c r="AP153" s="51"/>
      <c r="AQ153" s="12"/>
      <c r="AR153" s="12"/>
      <c r="AS153" s="12"/>
      <c r="AT153" s="12"/>
      <c r="AU153" s="12"/>
      <c r="AV153" s="2"/>
    </row>
    <row r="154" spans="1:48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12"/>
      <c r="J154" s="2"/>
      <c r="K154" s="2"/>
      <c r="L154" s="2"/>
      <c r="M154" s="2"/>
      <c r="N154" s="2"/>
      <c r="O154" s="3"/>
      <c r="Q154" s="12"/>
      <c r="R154" s="12"/>
      <c r="S154" s="2"/>
      <c r="T154" s="12"/>
      <c r="U154" s="2"/>
      <c r="V154" s="12"/>
      <c r="W154" s="7"/>
      <c r="X154" s="51"/>
      <c r="Y154" s="2"/>
      <c r="Z154" s="2"/>
      <c r="AA154" s="2"/>
      <c r="AB154" s="53"/>
      <c r="AC154" s="52"/>
      <c r="AD154" s="7"/>
      <c r="AE154" s="4"/>
      <c r="AF154" s="4"/>
      <c r="AG154" s="49"/>
      <c r="AH154" s="7"/>
      <c r="AI154" s="7"/>
      <c r="AJ154" s="2"/>
      <c r="AK154" s="4"/>
      <c r="AL154" s="22"/>
      <c r="AM154" s="2"/>
      <c r="AN154" s="49"/>
      <c r="AO154" s="22"/>
      <c r="AP154" s="51"/>
      <c r="AQ154" s="12"/>
      <c r="AR154" s="12"/>
      <c r="AS154" s="12"/>
      <c r="AT154" s="12"/>
      <c r="AU154" s="12"/>
      <c r="AV154" s="2"/>
    </row>
    <row r="155" spans="1:48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12"/>
      <c r="J155" s="2"/>
      <c r="K155" s="2"/>
      <c r="L155" s="2"/>
      <c r="M155" s="2"/>
      <c r="N155" s="2"/>
      <c r="O155" s="3"/>
      <c r="Q155" s="12"/>
      <c r="R155" s="12"/>
      <c r="S155" s="2"/>
      <c r="T155" s="12"/>
      <c r="U155" s="2"/>
      <c r="V155" s="12"/>
      <c r="W155" s="7"/>
      <c r="X155" s="51"/>
      <c r="Y155" s="2"/>
      <c r="Z155" s="2"/>
      <c r="AA155" s="2"/>
      <c r="AB155" s="53"/>
      <c r="AC155" s="52"/>
      <c r="AD155" s="7"/>
      <c r="AE155" s="4"/>
      <c r="AF155" s="4"/>
      <c r="AG155" s="49"/>
      <c r="AH155" s="7"/>
      <c r="AI155" s="7"/>
      <c r="AJ155" s="2"/>
      <c r="AK155" s="4"/>
      <c r="AL155" s="22"/>
      <c r="AM155" s="2"/>
      <c r="AN155" s="49"/>
      <c r="AO155" s="22"/>
      <c r="AP155" s="51"/>
      <c r="AQ155" s="12"/>
      <c r="AR155" s="12"/>
      <c r="AS155" s="12"/>
      <c r="AT155" s="12"/>
      <c r="AU155" s="12"/>
      <c r="AV155" s="2"/>
    </row>
    <row r="156" spans="1:48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12"/>
      <c r="J156" s="2"/>
      <c r="K156" s="2"/>
      <c r="L156" s="2"/>
      <c r="M156" s="2"/>
      <c r="N156" s="2"/>
      <c r="O156" s="3"/>
      <c r="Q156" s="12"/>
      <c r="R156" s="12"/>
      <c r="S156" s="2"/>
      <c r="T156" s="12"/>
      <c r="U156" s="2"/>
      <c r="V156" s="12"/>
      <c r="W156" s="7"/>
      <c r="X156" s="51"/>
      <c r="Y156" s="2"/>
      <c r="Z156" s="2"/>
      <c r="AA156" s="2"/>
      <c r="AB156" s="53"/>
      <c r="AC156" s="52"/>
      <c r="AD156" s="7"/>
      <c r="AE156" s="4"/>
      <c r="AF156" s="4"/>
      <c r="AG156" s="49"/>
      <c r="AH156" s="7"/>
      <c r="AI156" s="7"/>
      <c r="AJ156" s="2"/>
      <c r="AK156" s="4"/>
      <c r="AL156" s="22"/>
      <c r="AM156" s="2"/>
      <c r="AN156" s="49"/>
      <c r="AO156" s="22"/>
      <c r="AP156" s="51"/>
      <c r="AQ156" s="12"/>
      <c r="AR156" s="12"/>
      <c r="AS156" s="12"/>
      <c r="AT156" s="12"/>
      <c r="AU156" s="12"/>
      <c r="AV156" s="2"/>
    </row>
    <row r="157" spans="1:48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12"/>
      <c r="J157" s="2"/>
      <c r="K157" s="2"/>
      <c r="L157" s="2"/>
      <c r="M157" s="2"/>
      <c r="N157" s="2"/>
      <c r="O157" s="3"/>
      <c r="Q157" s="12"/>
      <c r="R157" s="12"/>
      <c r="S157" s="12"/>
      <c r="T157" s="2"/>
      <c r="U157" s="2"/>
      <c r="V157" s="12"/>
      <c r="W157" s="7"/>
      <c r="X157" s="51"/>
      <c r="Y157" s="2"/>
      <c r="Z157" s="2"/>
      <c r="AA157" s="2"/>
      <c r="AB157" s="53"/>
      <c r="AC157" s="52"/>
      <c r="AD157" s="7"/>
      <c r="AE157" s="4"/>
      <c r="AF157" s="4"/>
      <c r="AG157" s="49"/>
      <c r="AH157" s="7"/>
      <c r="AI157" s="7"/>
      <c r="AJ157" s="2"/>
      <c r="AK157" s="4"/>
      <c r="AL157" s="22"/>
      <c r="AM157" s="2"/>
      <c r="AN157" s="49"/>
      <c r="AO157" s="22"/>
      <c r="AP157" s="51"/>
      <c r="AQ157" s="12"/>
      <c r="AR157" s="12"/>
      <c r="AS157" s="12"/>
      <c r="AT157" s="12"/>
      <c r="AU157" s="12"/>
      <c r="AV157" s="2"/>
    </row>
    <row r="158" spans="1:48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12"/>
      <c r="J158" s="2"/>
      <c r="K158" s="2"/>
      <c r="L158" s="2"/>
      <c r="M158" s="2"/>
      <c r="N158" s="2"/>
      <c r="O158" s="3"/>
      <c r="Q158" s="12"/>
      <c r="R158" s="12"/>
      <c r="S158" s="12"/>
      <c r="T158" s="2"/>
      <c r="U158" s="2"/>
      <c r="V158" s="12"/>
      <c r="W158" s="7"/>
      <c r="X158" s="51"/>
      <c r="Y158" s="2"/>
      <c r="Z158" s="2"/>
      <c r="AA158" s="2"/>
      <c r="AB158" s="53"/>
      <c r="AC158" s="52"/>
      <c r="AD158" s="7"/>
      <c r="AE158" s="4"/>
      <c r="AF158" s="4"/>
      <c r="AG158" s="49"/>
      <c r="AH158" s="7"/>
      <c r="AI158" s="7"/>
      <c r="AJ158" s="2"/>
      <c r="AK158" s="4"/>
      <c r="AL158" s="22"/>
      <c r="AM158" s="2"/>
      <c r="AN158" s="49"/>
      <c r="AO158" s="22"/>
      <c r="AP158" s="51"/>
      <c r="AQ158" s="12"/>
      <c r="AR158" s="12"/>
      <c r="AS158" s="12"/>
      <c r="AT158" s="12"/>
      <c r="AU158" s="12"/>
      <c r="AV158" s="2"/>
    </row>
    <row r="159" spans="1:48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12"/>
      <c r="J159" s="2"/>
      <c r="K159" s="2"/>
      <c r="L159" s="2"/>
      <c r="M159" s="2"/>
      <c r="N159" s="2"/>
      <c r="O159" s="3"/>
      <c r="Q159" s="12"/>
      <c r="R159" s="12"/>
      <c r="S159" s="12"/>
      <c r="T159" s="2"/>
      <c r="U159" s="2"/>
      <c r="V159" s="12"/>
      <c r="W159" s="7"/>
      <c r="X159" s="51"/>
      <c r="Y159" s="2"/>
      <c r="Z159" s="2"/>
      <c r="AA159" s="2"/>
      <c r="AB159" s="53"/>
      <c r="AC159" s="52"/>
      <c r="AD159" s="7"/>
      <c r="AE159" s="4"/>
      <c r="AF159" s="4"/>
      <c r="AG159" s="49"/>
      <c r="AH159" s="7"/>
      <c r="AI159" s="7"/>
      <c r="AJ159" s="2"/>
      <c r="AK159" s="4"/>
      <c r="AL159" s="22"/>
      <c r="AM159" s="2"/>
      <c r="AN159" s="49"/>
      <c r="AO159" s="22"/>
      <c r="AP159" s="51"/>
      <c r="AQ159" s="12"/>
      <c r="AR159" s="12"/>
      <c r="AS159" s="12"/>
      <c r="AT159" s="12"/>
      <c r="AU159" s="12"/>
      <c r="AV159" s="2"/>
    </row>
    <row r="160" spans="1:48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12"/>
      <c r="J160" s="2"/>
      <c r="K160" s="2"/>
      <c r="L160" s="2"/>
      <c r="M160" s="2"/>
      <c r="N160" s="2"/>
      <c r="O160" s="3"/>
      <c r="Q160" s="12"/>
      <c r="R160" s="12"/>
      <c r="S160" s="12"/>
      <c r="T160" s="2"/>
      <c r="U160" s="2"/>
      <c r="V160" s="12"/>
      <c r="W160" s="7"/>
      <c r="X160" s="51"/>
      <c r="Y160" s="2"/>
      <c r="Z160" s="2"/>
      <c r="AA160" s="2"/>
      <c r="AB160" s="53"/>
      <c r="AC160" s="52"/>
      <c r="AD160" s="7"/>
      <c r="AE160" s="4"/>
      <c r="AF160" s="4"/>
      <c r="AG160" s="49"/>
      <c r="AH160" s="7"/>
      <c r="AI160" s="7"/>
      <c r="AJ160" s="2"/>
      <c r="AK160" s="4"/>
      <c r="AL160" s="22"/>
      <c r="AM160" s="2"/>
      <c r="AN160" s="49"/>
      <c r="AO160" s="22"/>
      <c r="AP160" s="51"/>
      <c r="AQ160" s="12"/>
      <c r="AR160" s="12"/>
      <c r="AS160" s="12"/>
      <c r="AT160" s="12"/>
      <c r="AU160" s="12"/>
      <c r="AV160" s="2"/>
    </row>
    <row r="161" spans="1:48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12"/>
      <c r="J161" s="2"/>
      <c r="K161" s="2"/>
      <c r="L161" s="2"/>
      <c r="M161" s="2"/>
      <c r="N161" s="2"/>
      <c r="O161" s="3"/>
      <c r="Q161" s="12"/>
      <c r="R161" s="12"/>
      <c r="S161" s="12"/>
      <c r="T161" s="12"/>
      <c r="U161" s="12"/>
      <c r="V161" s="12"/>
      <c r="W161" s="7"/>
      <c r="X161" s="51"/>
      <c r="Y161" s="2"/>
      <c r="Z161" s="2"/>
      <c r="AA161" s="2"/>
      <c r="AB161" s="53"/>
      <c r="AC161" s="52"/>
      <c r="AD161" s="7"/>
      <c r="AE161" s="4"/>
      <c r="AF161" s="4"/>
      <c r="AG161" s="49"/>
      <c r="AH161" s="7"/>
      <c r="AI161" s="7"/>
      <c r="AJ161" s="2"/>
      <c r="AK161" s="4"/>
      <c r="AL161" s="22"/>
      <c r="AM161" s="2"/>
      <c r="AN161" s="49"/>
      <c r="AO161" s="22"/>
      <c r="AP161" s="51"/>
      <c r="AQ161" s="12"/>
      <c r="AR161" s="12"/>
      <c r="AS161" s="12"/>
      <c r="AT161" s="12"/>
      <c r="AU161" s="12"/>
      <c r="AV161" s="2"/>
    </row>
    <row r="162" spans="1:48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12">
        <v>14259</v>
      </c>
      <c r="J162" s="2"/>
      <c r="K162" s="2"/>
      <c r="L162" s="2"/>
      <c r="M162" s="2"/>
      <c r="N162" s="2"/>
      <c r="O162" s="3"/>
      <c r="Q162" s="12">
        <f>+I162-8379</f>
        <v>5880</v>
      </c>
      <c r="R162" s="12"/>
      <c r="S162" s="12"/>
      <c r="T162" s="12"/>
      <c r="U162" s="12"/>
      <c r="V162" s="12"/>
      <c r="W162" s="12"/>
      <c r="X162" s="51"/>
      <c r="Y162" s="2"/>
      <c r="Z162" s="2"/>
      <c r="AA162" s="2"/>
      <c r="AB162" s="53"/>
      <c r="AC162" s="52"/>
      <c r="AD162" s="55"/>
      <c r="AE162" s="4"/>
      <c r="AF162" s="4"/>
      <c r="AG162" s="49"/>
      <c r="AH162" s="7"/>
      <c r="AI162" s="7"/>
      <c r="AJ162" s="2"/>
      <c r="AK162" s="4"/>
      <c r="AL162" s="22"/>
      <c r="AM162" s="2"/>
      <c r="AN162" s="49"/>
      <c r="AO162" s="22"/>
      <c r="AP162" s="51"/>
      <c r="AQ162" s="12"/>
      <c r="AR162" s="12"/>
      <c r="AS162" s="12"/>
      <c r="AT162" s="12"/>
      <c r="AU162" s="12"/>
      <c r="AV162" s="2"/>
    </row>
    <row r="163" spans="1:48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12">
        <f>+SUM('Transaction Entry'!H16:H28)</f>
        <v>0</v>
      </c>
      <c r="J163" s="2"/>
      <c r="K163" s="2"/>
      <c r="L163" s="2"/>
      <c r="M163" s="2"/>
      <c r="N163" s="2"/>
      <c r="O163" s="3"/>
      <c r="Q163" s="12">
        <f>+SUM('Transaction Entry'!H29:H33)</f>
        <v>0</v>
      </c>
      <c r="R163" s="12"/>
      <c r="S163" s="12"/>
      <c r="T163" s="12"/>
      <c r="U163" s="12"/>
      <c r="V163" s="12"/>
      <c r="W163" s="12"/>
      <c r="X163" s="51"/>
      <c r="Y163" s="2"/>
      <c r="Z163" s="2"/>
      <c r="AA163" s="2"/>
      <c r="AB163" s="2"/>
      <c r="AC163" s="2"/>
      <c r="AD163" s="2"/>
      <c r="AE163" s="4"/>
      <c r="AF163" s="2"/>
      <c r="AG163" s="32"/>
      <c r="AH163" s="7"/>
      <c r="AI163" s="7"/>
      <c r="AJ163" s="2"/>
      <c r="AK163" s="4"/>
      <c r="AL163" s="22"/>
      <c r="AM163" s="2"/>
      <c r="AN163" s="49"/>
      <c r="AO163" s="22"/>
      <c r="AP163" s="51"/>
      <c r="AQ163" s="12"/>
      <c r="AR163" s="12"/>
      <c r="AS163" s="12"/>
      <c r="AT163" s="12"/>
      <c r="AU163" s="12"/>
      <c r="AV163" s="2"/>
    </row>
    <row r="164" spans="1:48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12"/>
      <c r="J164" s="2"/>
      <c r="K164" s="2"/>
      <c r="L164" s="2"/>
      <c r="M164" s="2"/>
      <c r="N164" s="2"/>
      <c r="O164" s="3"/>
      <c r="Q164" s="12"/>
      <c r="R164" s="12"/>
      <c r="S164" s="12"/>
      <c r="T164" s="12"/>
      <c r="U164" s="12"/>
      <c r="V164" s="12"/>
      <c r="W164" s="12"/>
      <c r="X164" s="51"/>
      <c r="Y164" s="2"/>
      <c r="Z164" s="2"/>
      <c r="AA164" s="2"/>
      <c r="AB164" s="2"/>
      <c r="AC164" s="2"/>
      <c r="AD164" s="2"/>
      <c r="AE164" s="2"/>
      <c r="AF164" s="2"/>
      <c r="AG164" s="32"/>
      <c r="AH164" s="7"/>
      <c r="AI164" s="7"/>
      <c r="AJ164" s="2"/>
      <c r="AK164" s="4"/>
      <c r="AL164" s="22"/>
      <c r="AM164" s="2"/>
      <c r="AN164" s="49"/>
      <c r="AO164" s="22"/>
      <c r="AP164" s="2"/>
      <c r="AQ164" s="2"/>
      <c r="AR164" s="2"/>
      <c r="AS164" s="2"/>
      <c r="AT164" s="2"/>
      <c r="AU164" s="2"/>
      <c r="AV164" s="2"/>
    </row>
    <row r="165" spans="1:48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12"/>
      <c r="J165" s="2"/>
      <c r="K165" s="2"/>
      <c r="L165" s="2"/>
      <c r="M165" s="2"/>
      <c r="N165" s="2"/>
      <c r="O165" s="3"/>
      <c r="Q165" s="12"/>
      <c r="R165" s="12"/>
      <c r="S165" s="12"/>
      <c r="T165" s="12"/>
      <c r="U165" s="12"/>
      <c r="V165" s="12"/>
      <c r="W165" s="12"/>
      <c r="X165" s="51"/>
      <c r="Y165" s="2"/>
      <c r="Z165" s="2"/>
      <c r="AA165" s="2"/>
      <c r="AB165" s="2"/>
      <c r="AC165" s="2"/>
      <c r="AD165" s="2"/>
      <c r="AE165" s="2"/>
      <c r="AF165" s="2"/>
      <c r="AG165" s="32"/>
      <c r="AH165" s="7"/>
      <c r="AI165" s="7"/>
      <c r="AJ165" s="2"/>
      <c r="AK165" s="22"/>
      <c r="AL165" s="2"/>
      <c r="AM165" s="2"/>
      <c r="AN165" s="49"/>
      <c r="AO165" s="22"/>
      <c r="AP165" s="51"/>
      <c r="AQ165" s="12"/>
      <c r="AR165" s="12"/>
      <c r="AS165" s="12"/>
      <c r="AT165" s="12"/>
      <c r="AU165" s="12"/>
      <c r="AV165" s="2"/>
    </row>
    <row r="166" spans="1:48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12"/>
      <c r="J166" s="2"/>
      <c r="K166" s="2"/>
      <c r="L166" s="2"/>
      <c r="M166" s="2"/>
      <c r="N166" s="2"/>
      <c r="O166" s="3"/>
      <c r="Q166" s="12"/>
      <c r="R166" s="12"/>
      <c r="S166" s="12"/>
      <c r="T166" s="12"/>
      <c r="U166" s="12"/>
      <c r="V166" s="12"/>
      <c r="W166" s="12"/>
      <c r="X166" s="12"/>
      <c r="Y166" s="2"/>
      <c r="Z166" s="2"/>
      <c r="AA166" s="2"/>
      <c r="AB166" s="2"/>
      <c r="AC166" s="2"/>
      <c r="AD166" s="2"/>
      <c r="AE166" s="2"/>
      <c r="AF166" s="2"/>
      <c r="AG166" s="32"/>
      <c r="AH166" s="7"/>
      <c r="AI166" s="7"/>
      <c r="AJ166" s="2"/>
      <c r="AK166" s="4"/>
      <c r="AL166" s="22"/>
      <c r="AM166" s="2"/>
      <c r="AN166" s="49"/>
      <c r="AO166" s="22"/>
      <c r="AP166" s="51"/>
      <c r="AQ166" s="12"/>
      <c r="AR166" s="12"/>
      <c r="AS166" s="12"/>
      <c r="AT166" s="12"/>
      <c r="AU166" s="12"/>
      <c r="AV166" s="2"/>
    </row>
    <row r="167" spans="1:48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12"/>
      <c r="J167" s="2"/>
      <c r="K167" s="2"/>
      <c r="L167" s="2"/>
      <c r="M167" s="2"/>
      <c r="N167" s="2"/>
      <c r="O167" s="3"/>
      <c r="Q167" s="12"/>
      <c r="R167" s="12"/>
      <c r="S167" s="12"/>
      <c r="T167" s="12"/>
      <c r="U167" s="12"/>
      <c r="V167" s="12"/>
      <c r="W167" s="12"/>
      <c r="X167" s="12"/>
      <c r="Y167" s="2"/>
      <c r="Z167" s="2"/>
      <c r="AA167" s="2"/>
      <c r="AB167" s="2"/>
      <c r="AC167" s="2"/>
      <c r="AD167" s="2"/>
      <c r="AE167" s="2"/>
      <c r="AF167" s="2"/>
      <c r="AG167" s="32"/>
      <c r="AH167" s="7"/>
      <c r="AI167" s="7"/>
      <c r="AJ167" s="2"/>
      <c r="AK167" s="4"/>
      <c r="AL167" s="22"/>
      <c r="AM167" s="2"/>
      <c r="AN167" s="49"/>
      <c r="AO167" s="22"/>
      <c r="AP167" s="51"/>
      <c r="AQ167" s="12"/>
      <c r="AR167" s="12"/>
      <c r="AS167" s="12"/>
      <c r="AT167" s="12"/>
      <c r="AU167" s="12"/>
      <c r="AV167" s="2"/>
    </row>
    <row r="168" spans="1:48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12"/>
      <c r="J168" s="2"/>
      <c r="K168" s="2"/>
      <c r="L168" s="2"/>
      <c r="M168" s="2"/>
      <c r="N168" s="2"/>
      <c r="O168" s="3"/>
      <c r="Q168" s="12"/>
      <c r="R168" s="12"/>
      <c r="S168" s="12"/>
      <c r="T168" s="12"/>
      <c r="U168" s="12"/>
      <c r="V168" s="12"/>
      <c r="W168" s="12"/>
      <c r="X168" s="12"/>
      <c r="Y168" s="2"/>
      <c r="Z168" s="2"/>
      <c r="AA168" s="2"/>
      <c r="AB168" s="2"/>
      <c r="AC168" s="2"/>
      <c r="AD168" s="2"/>
      <c r="AE168" s="2"/>
      <c r="AF168" s="2"/>
      <c r="AG168" s="32"/>
      <c r="AH168" s="7"/>
      <c r="AI168" s="7"/>
      <c r="AJ168" s="2"/>
      <c r="AK168" s="4"/>
      <c r="AL168" s="22"/>
      <c r="AM168" s="2"/>
      <c r="AN168" s="49"/>
      <c r="AO168" s="22"/>
      <c r="AP168" s="51"/>
      <c r="AQ168" s="12"/>
      <c r="AR168" s="12"/>
      <c r="AS168" s="12"/>
      <c r="AT168" s="12"/>
      <c r="AU168" s="12"/>
      <c r="AV168" s="2"/>
    </row>
    <row r="169" spans="1:48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12"/>
      <c r="J169" s="2"/>
      <c r="K169" s="2"/>
      <c r="L169" s="2"/>
      <c r="M169" s="2"/>
      <c r="N169" s="2"/>
      <c r="O169" s="3"/>
      <c r="Q169" s="12"/>
      <c r="R169" s="12"/>
      <c r="S169" s="12"/>
      <c r="T169" s="12"/>
      <c r="U169" s="12"/>
      <c r="V169" s="12"/>
      <c r="W169" s="12"/>
      <c r="X169" s="12"/>
      <c r="Y169" s="2"/>
      <c r="Z169" s="2"/>
      <c r="AA169" s="2"/>
      <c r="AB169" s="2"/>
      <c r="AC169" s="2"/>
      <c r="AD169" s="49"/>
      <c r="AE169" s="2"/>
      <c r="AF169" s="2"/>
      <c r="AG169" s="32"/>
      <c r="AH169" s="7"/>
      <c r="AI169" s="7"/>
      <c r="AJ169" s="2"/>
      <c r="AK169" s="4"/>
      <c r="AL169" s="22"/>
      <c r="AM169" s="2"/>
      <c r="AN169" s="49"/>
      <c r="AO169" s="22"/>
      <c r="AP169" s="51"/>
      <c r="AQ169" s="12"/>
      <c r="AR169" s="12"/>
      <c r="AS169" s="12"/>
      <c r="AT169" s="12"/>
      <c r="AU169" s="12"/>
      <c r="AV169" s="2"/>
    </row>
    <row r="170" spans="1:48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12"/>
      <c r="J170" s="2"/>
      <c r="K170" s="2"/>
      <c r="L170" s="2"/>
      <c r="M170" s="2"/>
      <c r="N170" s="2"/>
      <c r="O170" s="3"/>
      <c r="Q170" s="12"/>
      <c r="R170" s="12"/>
      <c r="S170" s="12"/>
      <c r="T170" s="12"/>
      <c r="U170" s="12"/>
      <c r="V170" s="12"/>
      <c r="W170" s="12"/>
      <c r="X170" s="12"/>
      <c r="Y170" s="2"/>
      <c r="Z170" s="2"/>
      <c r="AA170" s="2"/>
      <c r="AB170" s="2"/>
      <c r="AC170" s="2"/>
      <c r="AD170" s="49"/>
      <c r="AE170" s="2"/>
      <c r="AF170" s="2"/>
      <c r="AG170" s="32"/>
      <c r="AH170" s="7"/>
      <c r="AI170" s="7"/>
      <c r="AJ170" s="2"/>
      <c r="AK170" s="4"/>
      <c r="AL170" s="22"/>
      <c r="AM170" s="2"/>
      <c r="AN170" s="49"/>
      <c r="AO170" s="22"/>
      <c r="AP170" s="51"/>
      <c r="AQ170" s="12"/>
      <c r="AR170" s="12"/>
      <c r="AS170" s="12"/>
      <c r="AT170" s="12"/>
      <c r="AU170" s="12"/>
      <c r="AV170" s="2"/>
    </row>
    <row r="171" spans="1:48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12"/>
      <c r="J171" s="2"/>
      <c r="K171" s="2"/>
      <c r="L171" s="2"/>
      <c r="M171" s="2"/>
      <c r="N171" s="2"/>
      <c r="O171" s="3"/>
      <c r="Q171" s="12"/>
      <c r="R171" s="12"/>
      <c r="S171" s="12"/>
      <c r="T171" s="12"/>
      <c r="U171" s="12"/>
      <c r="V171" s="12"/>
      <c r="W171" s="12"/>
      <c r="X171" s="12"/>
      <c r="Y171" s="2"/>
      <c r="Z171" s="2"/>
      <c r="AA171" s="2"/>
      <c r="AB171" s="2"/>
      <c r="AC171" s="2"/>
      <c r="AD171" s="2"/>
      <c r="AE171" s="2"/>
      <c r="AF171" s="2"/>
      <c r="AG171" s="32"/>
      <c r="AH171" s="7"/>
      <c r="AI171" s="7"/>
      <c r="AJ171" s="2"/>
      <c r="AK171" s="4"/>
      <c r="AL171" s="22"/>
      <c r="AM171" s="2"/>
      <c r="AN171" s="49"/>
      <c r="AO171" s="22"/>
      <c r="AP171" s="51"/>
      <c r="AQ171" s="12"/>
      <c r="AR171" s="12"/>
      <c r="AS171" s="12"/>
      <c r="AT171" s="12"/>
      <c r="AU171" s="12"/>
      <c r="AV171" s="2"/>
    </row>
    <row r="172" spans="1:48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12"/>
      <c r="J172" s="2"/>
      <c r="K172" s="2"/>
      <c r="L172" s="2"/>
      <c r="M172" s="2"/>
      <c r="N172" s="2"/>
      <c r="O172" s="3"/>
      <c r="Q172" s="12"/>
      <c r="R172" s="12"/>
      <c r="S172" s="12"/>
      <c r="T172" s="12"/>
      <c r="U172" s="12"/>
      <c r="V172" s="12"/>
      <c r="W172" s="12"/>
      <c r="X172" s="12"/>
      <c r="Y172" s="2"/>
      <c r="Z172" s="2"/>
      <c r="AA172" s="2"/>
      <c r="AB172" s="2"/>
      <c r="AC172" s="2"/>
      <c r="AD172" s="2"/>
      <c r="AE172" s="2"/>
      <c r="AF172" s="2"/>
      <c r="AG172" s="32"/>
      <c r="AH172" s="7"/>
      <c r="AI172" s="7"/>
      <c r="AJ172" s="2"/>
      <c r="AK172" s="4"/>
      <c r="AL172" s="22"/>
      <c r="AM172" s="2"/>
      <c r="AN172" s="49"/>
      <c r="AO172" s="22"/>
      <c r="AP172" s="51"/>
      <c r="AQ172" s="12"/>
      <c r="AR172" s="12"/>
      <c r="AS172" s="12"/>
      <c r="AT172" s="12"/>
      <c r="AU172" s="12"/>
      <c r="AV172" s="2"/>
    </row>
    <row r="173" spans="1:48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12"/>
      <c r="J173" s="2"/>
      <c r="K173" s="2"/>
      <c r="L173" s="2"/>
      <c r="M173" s="2"/>
      <c r="N173" s="2"/>
      <c r="O173" s="3"/>
      <c r="Q173" s="12"/>
      <c r="R173" s="12"/>
      <c r="S173" s="12"/>
      <c r="T173" s="12"/>
      <c r="U173" s="12"/>
      <c r="V173" s="12"/>
      <c r="W173" s="12"/>
      <c r="X173" s="12"/>
      <c r="Y173" s="2"/>
      <c r="Z173" s="2"/>
      <c r="AA173" s="2"/>
      <c r="AB173" s="2"/>
      <c r="AC173" s="2"/>
      <c r="AD173" s="2"/>
      <c r="AE173" s="2"/>
      <c r="AF173" s="2"/>
      <c r="AG173" s="32"/>
      <c r="AH173" s="7"/>
      <c r="AI173" s="7"/>
      <c r="AJ173" s="2"/>
      <c r="AK173" s="4"/>
      <c r="AL173" s="22"/>
      <c r="AM173" s="2"/>
      <c r="AN173" s="49"/>
      <c r="AO173" s="22"/>
      <c r="AP173" s="51"/>
      <c r="AQ173" s="12"/>
      <c r="AR173" s="12"/>
      <c r="AS173" s="12"/>
      <c r="AT173" s="12"/>
      <c r="AU173" s="12"/>
      <c r="AV173" s="2"/>
    </row>
    <row r="174" spans="1:48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12"/>
      <c r="J174" s="2"/>
      <c r="K174" s="2"/>
      <c r="L174" s="2"/>
      <c r="M174" s="2"/>
      <c r="N174" s="2"/>
      <c r="O174" s="3"/>
      <c r="Q174" s="12"/>
      <c r="R174" s="12"/>
      <c r="S174" s="12"/>
      <c r="T174" s="12"/>
      <c r="U174" s="12"/>
      <c r="V174" s="12"/>
      <c r="W174" s="12"/>
      <c r="X174" s="12"/>
      <c r="Y174" s="2"/>
      <c r="Z174" s="2"/>
      <c r="AA174" s="2"/>
      <c r="AB174" s="2"/>
      <c r="AC174" s="2"/>
      <c r="AD174" s="2"/>
      <c r="AE174" s="2"/>
      <c r="AF174" s="2"/>
      <c r="AG174" s="32"/>
      <c r="AH174" s="7"/>
      <c r="AI174" s="7"/>
      <c r="AJ174" s="2"/>
      <c r="AK174" s="4"/>
      <c r="AL174" s="22"/>
      <c r="AM174" s="2"/>
      <c r="AN174" s="49"/>
      <c r="AO174" s="22"/>
      <c r="AP174" s="51"/>
      <c r="AQ174" s="12"/>
      <c r="AR174" s="12"/>
      <c r="AS174" s="12"/>
      <c r="AT174" s="12"/>
      <c r="AU174" s="12"/>
      <c r="AV174" s="2"/>
    </row>
    <row r="175" spans="1:48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12"/>
      <c r="J175" s="2"/>
      <c r="K175" s="2"/>
      <c r="L175" s="2"/>
      <c r="M175" s="2"/>
      <c r="N175" s="2"/>
      <c r="O175" s="3"/>
      <c r="Q175" s="12"/>
      <c r="R175" s="12"/>
      <c r="S175" s="12"/>
      <c r="T175" s="12"/>
      <c r="U175" s="12"/>
      <c r="V175" s="12"/>
      <c r="W175" s="12"/>
      <c r="X175" s="12"/>
      <c r="Y175" s="2"/>
      <c r="Z175" s="2"/>
      <c r="AA175" s="2"/>
      <c r="AB175" s="2"/>
      <c r="AC175" s="2"/>
      <c r="AD175" s="2"/>
      <c r="AE175" s="2"/>
      <c r="AF175" s="2"/>
      <c r="AG175" s="32"/>
      <c r="AH175" s="7"/>
      <c r="AI175" s="7"/>
      <c r="AJ175" s="2"/>
      <c r="AK175" s="4"/>
      <c r="AL175" s="22"/>
      <c r="AM175" s="2"/>
      <c r="AN175" s="49"/>
      <c r="AO175" s="22"/>
      <c r="AP175" s="51"/>
      <c r="AQ175" s="12"/>
      <c r="AR175" s="12"/>
      <c r="AS175" s="12"/>
      <c r="AT175" s="12"/>
      <c r="AU175" s="12"/>
      <c r="AV175" s="2"/>
    </row>
    <row r="176" spans="1:48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12"/>
      <c r="J176" s="2"/>
      <c r="K176" s="2"/>
      <c r="L176" s="2"/>
      <c r="M176" s="2"/>
      <c r="N176" s="2"/>
      <c r="O176" s="3"/>
      <c r="Q176" s="12"/>
      <c r="R176" s="12"/>
      <c r="S176" s="12"/>
      <c r="T176" s="12"/>
      <c r="U176" s="12"/>
      <c r="V176" s="12"/>
      <c r="W176" s="12"/>
      <c r="X176" s="12"/>
      <c r="Y176" s="2"/>
      <c r="Z176" s="2"/>
      <c r="AA176" s="2"/>
      <c r="AB176" s="2"/>
      <c r="AC176" s="2"/>
      <c r="AD176" s="2"/>
      <c r="AE176" s="2"/>
      <c r="AF176" s="2"/>
      <c r="AG176" s="32"/>
      <c r="AH176" s="7"/>
      <c r="AI176" s="7"/>
      <c r="AJ176" s="2"/>
      <c r="AK176" s="4"/>
      <c r="AL176" s="22"/>
      <c r="AM176" s="2"/>
      <c r="AN176" s="49"/>
      <c r="AO176" s="22"/>
      <c r="AP176" s="51"/>
      <c r="AQ176" s="12"/>
      <c r="AR176" s="12"/>
      <c r="AS176" s="12"/>
      <c r="AT176" s="12"/>
      <c r="AU176" s="12"/>
      <c r="AV176" s="2"/>
    </row>
    <row r="177" spans="1:48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12"/>
      <c r="J177" s="2"/>
      <c r="K177" s="2"/>
      <c r="L177" s="2"/>
      <c r="M177" s="2"/>
      <c r="N177" s="2"/>
      <c r="O177" s="3"/>
      <c r="Q177" s="12"/>
      <c r="R177" s="12"/>
      <c r="S177" s="12"/>
      <c r="T177" s="12"/>
      <c r="U177" s="12"/>
      <c r="V177" s="12"/>
      <c r="W177" s="12"/>
      <c r="X177" s="12"/>
      <c r="Y177" s="2"/>
      <c r="Z177" s="2"/>
      <c r="AA177" s="2"/>
      <c r="AB177" s="2"/>
      <c r="AC177" s="2"/>
      <c r="AD177" s="2"/>
      <c r="AE177" s="2"/>
      <c r="AF177" s="2"/>
      <c r="AG177" s="32"/>
      <c r="AH177" s="7"/>
      <c r="AI177" s="7"/>
      <c r="AJ177" s="2"/>
      <c r="AK177" s="4"/>
      <c r="AL177" s="22"/>
      <c r="AM177" s="2"/>
      <c r="AN177" s="49"/>
      <c r="AO177" s="22"/>
      <c r="AP177" s="51"/>
      <c r="AQ177" s="12"/>
      <c r="AR177" s="12"/>
      <c r="AS177" s="12"/>
      <c r="AT177" s="12"/>
      <c r="AU177" s="12"/>
      <c r="AV177" s="2"/>
    </row>
    <row r="178" spans="1:48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12"/>
      <c r="J178" s="2"/>
      <c r="K178" s="2"/>
      <c r="L178" s="2"/>
      <c r="M178" s="2"/>
      <c r="N178" s="2"/>
      <c r="O178" s="3"/>
      <c r="Q178" s="12"/>
      <c r="R178" s="12"/>
      <c r="S178" s="12"/>
      <c r="T178" s="12"/>
      <c r="U178" s="12"/>
      <c r="V178" s="12"/>
      <c r="W178" s="12"/>
      <c r="X178" s="12"/>
      <c r="Y178" s="2"/>
      <c r="Z178" s="2"/>
      <c r="AA178" s="2"/>
      <c r="AB178" s="2"/>
      <c r="AC178" s="2"/>
      <c r="AD178" s="2"/>
      <c r="AE178" s="2"/>
      <c r="AF178" s="2"/>
      <c r="AG178" s="32"/>
      <c r="AH178" s="7"/>
      <c r="AI178" s="7"/>
      <c r="AJ178" s="2"/>
      <c r="AK178" s="4"/>
      <c r="AL178" s="22"/>
      <c r="AM178" s="2"/>
      <c r="AN178" s="49"/>
      <c r="AO178" s="22"/>
      <c r="AP178" s="51"/>
      <c r="AQ178" s="12"/>
      <c r="AR178" s="12"/>
      <c r="AS178" s="12"/>
      <c r="AT178" s="12"/>
      <c r="AU178" s="12"/>
      <c r="AV178" s="2"/>
    </row>
    <row r="179" spans="1:48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12"/>
      <c r="J179" s="2"/>
      <c r="K179" s="2"/>
      <c r="L179" s="2"/>
      <c r="M179" s="2"/>
      <c r="N179" s="2"/>
      <c r="O179" s="3"/>
      <c r="Q179" s="12"/>
      <c r="R179" s="12"/>
      <c r="S179" s="12"/>
      <c r="T179" s="12"/>
      <c r="U179" s="12"/>
      <c r="V179" s="12"/>
      <c r="W179" s="12"/>
      <c r="X179" s="12"/>
      <c r="Y179" s="2"/>
      <c r="Z179" s="2"/>
      <c r="AA179" s="2"/>
      <c r="AB179" s="2"/>
      <c r="AC179" s="2"/>
      <c r="AD179" s="2"/>
      <c r="AE179" s="2"/>
      <c r="AF179" s="2"/>
      <c r="AG179" s="32"/>
      <c r="AH179" s="7"/>
      <c r="AI179" s="7"/>
      <c r="AJ179" s="2"/>
      <c r="AK179" s="4"/>
      <c r="AL179" s="22"/>
      <c r="AM179" s="2"/>
      <c r="AN179" s="49"/>
      <c r="AO179" s="22"/>
      <c r="AP179" s="51"/>
      <c r="AQ179" s="12"/>
      <c r="AR179" s="12"/>
      <c r="AS179" s="12"/>
      <c r="AT179" s="12"/>
      <c r="AU179" s="12"/>
      <c r="AV179" s="2"/>
    </row>
    <row r="180" spans="1:48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12"/>
      <c r="J180" s="2"/>
      <c r="K180" s="2"/>
      <c r="L180" s="2"/>
      <c r="M180" s="2"/>
      <c r="N180" s="2"/>
      <c r="O180" s="3"/>
      <c r="Q180" s="12"/>
      <c r="R180" s="12"/>
      <c r="S180" s="12"/>
      <c r="T180" s="12"/>
      <c r="U180" s="12"/>
      <c r="V180" s="12"/>
      <c r="W180" s="12"/>
      <c r="X180" s="12"/>
      <c r="Y180" s="2"/>
      <c r="Z180" s="2"/>
      <c r="AA180" s="2"/>
      <c r="AB180" s="2"/>
      <c r="AC180" s="2"/>
      <c r="AD180" s="2"/>
      <c r="AE180" s="2"/>
      <c r="AF180" s="2"/>
      <c r="AG180" s="32"/>
      <c r="AH180" s="7"/>
      <c r="AI180" s="7"/>
      <c r="AJ180" s="2"/>
      <c r="AK180" s="4"/>
      <c r="AL180" s="22"/>
      <c r="AM180" s="2"/>
      <c r="AN180" s="49"/>
      <c r="AO180" s="22"/>
      <c r="AP180" s="51"/>
      <c r="AQ180" s="12"/>
      <c r="AR180" s="12"/>
      <c r="AS180" s="12"/>
      <c r="AT180" s="12"/>
      <c r="AU180" s="12"/>
      <c r="AV180" s="2"/>
    </row>
    <row r="181" spans="1:48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12"/>
      <c r="J181" s="2"/>
      <c r="K181" s="2"/>
      <c r="L181" s="2"/>
      <c r="M181" s="2"/>
      <c r="N181" s="2"/>
      <c r="O181" s="3"/>
      <c r="Q181" s="12"/>
      <c r="R181" s="12"/>
      <c r="S181" s="12"/>
      <c r="T181" s="12"/>
      <c r="U181" s="12"/>
      <c r="V181" s="12"/>
      <c r="W181" s="12"/>
      <c r="X181" s="12"/>
      <c r="Y181" s="2"/>
      <c r="Z181" s="2"/>
      <c r="AA181" s="2"/>
      <c r="AB181" s="2"/>
      <c r="AC181" s="2"/>
      <c r="AD181" s="2"/>
      <c r="AE181" s="2"/>
      <c r="AF181" s="2"/>
      <c r="AG181" s="32"/>
      <c r="AH181" s="7"/>
      <c r="AI181" s="7"/>
      <c r="AJ181" s="2"/>
      <c r="AK181" s="4"/>
      <c r="AL181" s="22"/>
      <c r="AM181" s="2"/>
      <c r="AN181" s="49"/>
      <c r="AO181" s="22"/>
      <c r="AP181" s="51"/>
      <c r="AQ181" s="12"/>
      <c r="AR181" s="12"/>
      <c r="AS181" s="12"/>
      <c r="AT181" s="12"/>
      <c r="AU181" s="12"/>
      <c r="AV181" s="2"/>
    </row>
    <row r="182" spans="1:48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12"/>
      <c r="J182" s="2"/>
      <c r="K182" s="2"/>
      <c r="L182" s="2"/>
      <c r="M182" s="2"/>
      <c r="N182" s="2"/>
      <c r="O182" s="3"/>
      <c r="Q182" s="12"/>
      <c r="R182" s="12"/>
      <c r="S182" s="12"/>
      <c r="T182" s="12"/>
      <c r="U182" s="12"/>
      <c r="V182" s="12"/>
      <c r="W182" s="12"/>
      <c r="X182" s="12"/>
      <c r="Y182" s="2"/>
      <c r="Z182" s="2"/>
      <c r="AA182" s="2"/>
      <c r="AB182" s="2"/>
      <c r="AC182" s="2"/>
      <c r="AD182" s="2"/>
      <c r="AE182" s="2"/>
      <c r="AF182" s="2"/>
      <c r="AG182" s="32"/>
      <c r="AH182" s="7"/>
      <c r="AI182" s="7"/>
      <c r="AJ182" s="2"/>
      <c r="AK182" s="4"/>
      <c r="AL182" s="22"/>
      <c r="AM182" s="2"/>
      <c r="AN182" s="49"/>
      <c r="AO182" s="22"/>
      <c r="AP182" s="51"/>
      <c r="AQ182" s="12"/>
      <c r="AR182" s="12"/>
      <c r="AS182" s="12"/>
      <c r="AT182" s="12"/>
      <c r="AU182" s="12"/>
      <c r="AV182" s="2"/>
    </row>
    <row r="183" spans="1:48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12"/>
      <c r="J183" s="2"/>
      <c r="K183" s="2"/>
      <c r="L183" s="2"/>
      <c r="M183" s="2"/>
      <c r="N183" s="2"/>
      <c r="O183" s="3"/>
      <c r="Q183" s="12"/>
      <c r="R183" s="12"/>
      <c r="S183" s="12"/>
      <c r="T183" s="12"/>
      <c r="U183" s="12"/>
      <c r="V183" s="12"/>
      <c r="W183" s="12"/>
      <c r="X183" s="12"/>
      <c r="Y183" s="2"/>
      <c r="Z183" s="2"/>
      <c r="AA183" s="2"/>
      <c r="AB183" s="2"/>
      <c r="AC183" s="2"/>
      <c r="AD183" s="2"/>
      <c r="AE183" s="2"/>
      <c r="AF183" s="2"/>
      <c r="AG183" s="32"/>
      <c r="AH183" s="7"/>
      <c r="AI183" s="7"/>
      <c r="AJ183" s="2"/>
      <c r="AK183" s="4"/>
      <c r="AL183" s="22"/>
      <c r="AM183" s="2"/>
      <c r="AN183" s="49"/>
      <c r="AO183" s="22"/>
      <c r="AP183" s="51"/>
      <c r="AQ183" s="12"/>
      <c r="AR183" s="12"/>
      <c r="AS183" s="12"/>
      <c r="AT183" s="12"/>
      <c r="AU183" s="12"/>
      <c r="AV183" s="2"/>
    </row>
    <row r="184" spans="1:48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12"/>
      <c r="J184" s="2"/>
      <c r="K184" s="2"/>
      <c r="L184" s="2"/>
      <c r="M184" s="2"/>
      <c r="N184" s="2"/>
      <c r="O184" s="3"/>
      <c r="Q184" s="12"/>
      <c r="R184" s="12"/>
      <c r="S184" s="12"/>
      <c r="T184" s="12"/>
      <c r="U184" s="12"/>
      <c r="V184" s="12"/>
      <c r="W184" s="12"/>
      <c r="X184" s="12"/>
      <c r="Y184" s="2"/>
      <c r="Z184" s="2"/>
      <c r="AA184" s="2"/>
      <c r="AB184" s="2"/>
      <c r="AC184" s="2"/>
      <c r="AD184" s="2"/>
      <c r="AE184" s="2"/>
      <c r="AF184" s="2"/>
      <c r="AG184" s="32"/>
      <c r="AH184" s="7"/>
      <c r="AI184" s="7"/>
      <c r="AJ184" s="2"/>
      <c r="AK184" s="4"/>
      <c r="AL184" s="22"/>
      <c r="AM184" s="2"/>
      <c r="AN184" s="49"/>
      <c r="AO184" s="22"/>
      <c r="AP184" s="51"/>
      <c r="AQ184" s="12"/>
      <c r="AR184" s="12"/>
      <c r="AS184" s="12"/>
      <c r="AT184" s="12"/>
      <c r="AU184" s="12"/>
      <c r="AV184" s="2"/>
    </row>
    <row r="185" spans="1:48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12"/>
      <c r="J185" s="2"/>
      <c r="K185" s="2"/>
      <c r="L185" s="2"/>
      <c r="M185" s="2"/>
      <c r="N185" s="2"/>
      <c r="O185" s="3"/>
      <c r="Q185" s="12"/>
      <c r="R185" s="12"/>
      <c r="S185" s="12"/>
      <c r="T185" s="12"/>
      <c r="U185" s="12"/>
      <c r="V185" s="12"/>
      <c r="W185" s="12"/>
      <c r="X185" s="12"/>
      <c r="Y185" s="2"/>
      <c r="Z185" s="2"/>
      <c r="AA185" s="2"/>
      <c r="AB185" s="2"/>
      <c r="AC185" s="2"/>
      <c r="AD185" s="2"/>
      <c r="AE185" s="2"/>
      <c r="AF185" s="2"/>
      <c r="AG185" s="32"/>
      <c r="AH185" s="7"/>
      <c r="AI185" s="7"/>
      <c r="AJ185" s="2"/>
      <c r="AK185" s="4"/>
      <c r="AL185" s="22"/>
      <c r="AM185" s="2"/>
      <c r="AN185" s="49"/>
      <c r="AO185" s="22"/>
      <c r="AP185" s="51"/>
      <c r="AQ185" s="12"/>
      <c r="AR185" s="12"/>
      <c r="AS185" s="12"/>
      <c r="AT185" s="12"/>
      <c r="AU185" s="12"/>
      <c r="AV185" s="2"/>
    </row>
    <row r="186" spans="1:48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12"/>
      <c r="J186" s="2"/>
      <c r="K186" s="2"/>
      <c r="L186" s="2"/>
      <c r="M186" s="2"/>
      <c r="N186" s="2"/>
      <c r="O186" s="3"/>
      <c r="Q186" s="12"/>
      <c r="R186" s="12"/>
      <c r="S186" s="12"/>
      <c r="T186" s="12"/>
      <c r="U186" s="12"/>
      <c r="V186" s="12"/>
      <c r="W186" s="12"/>
      <c r="X186" s="12"/>
      <c r="Y186" s="2"/>
      <c r="Z186" s="2"/>
      <c r="AA186" s="2"/>
      <c r="AB186" s="2"/>
      <c r="AC186" s="2"/>
      <c r="AD186" s="2"/>
      <c r="AE186" s="2"/>
      <c r="AF186" s="2"/>
      <c r="AG186" s="32"/>
      <c r="AH186" s="7"/>
      <c r="AI186" s="7"/>
      <c r="AJ186" s="2"/>
      <c r="AK186" s="4"/>
      <c r="AL186" s="22"/>
      <c r="AM186" s="2"/>
      <c r="AN186" s="49"/>
      <c r="AO186" s="22"/>
      <c r="AP186" s="51"/>
      <c r="AQ186" s="12"/>
      <c r="AR186" s="12"/>
      <c r="AS186" s="12"/>
      <c r="AT186" s="12"/>
      <c r="AU186" s="12"/>
      <c r="AV186" s="2"/>
    </row>
    <row r="187" spans="1:48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12"/>
      <c r="J187" s="2"/>
      <c r="K187" s="2"/>
      <c r="L187" s="2"/>
      <c r="M187" s="2"/>
      <c r="N187" s="2"/>
      <c r="O187" s="3"/>
      <c r="Q187" s="12"/>
      <c r="R187" s="12"/>
      <c r="S187" s="12"/>
      <c r="T187" s="12"/>
      <c r="U187" s="12"/>
      <c r="V187" s="12"/>
      <c r="W187" s="12"/>
      <c r="X187" s="12"/>
      <c r="Y187" s="2"/>
      <c r="Z187" s="2"/>
      <c r="AA187" s="2"/>
      <c r="AB187" s="2"/>
      <c r="AC187" s="2"/>
      <c r="AD187" s="2"/>
      <c r="AE187" s="2"/>
      <c r="AF187" s="2"/>
      <c r="AG187" s="32"/>
      <c r="AH187" s="7"/>
      <c r="AI187" s="7"/>
      <c r="AJ187" s="2"/>
      <c r="AK187" s="4"/>
      <c r="AL187" s="22"/>
      <c r="AM187" s="2"/>
      <c r="AN187" s="49"/>
      <c r="AO187" s="22"/>
      <c r="AP187" s="51"/>
      <c r="AQ187" s="12"/>
      <c r="AR187" s="12"/>
      <c r="AS187" s="12"/>
      <c r="AT187" s="12"/>
      <c r="AU187" s="12"/>
      <c r="AV187" s="2"/>
    </row>
    <row r="188" spans="1:48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12"/>
      <c r="J188" s="2"/>
      <c r="K188" s="2"/>
      <c r="L188" s="2"/>
      <c r="M188" s="2"/>
      <c r="N188" s="2"/>
      <c r="O188" s="3"/>
      <c r="Q188" s="12"/>
      <c r="R188" s="12"/>
      <c r="S188" s="12"/>
      <c r="T188" s="12"/>
      <c r="U188" s="12"/>
      <c r="V188" s="12"/>
      <c r="W188" s="12"/>
      <c r="X188" s="12"/>
      <c r="Y188" s="2"/>
      <c r="Z188" s="2"/>
      <c r="AA188" s="2"/>
      <c r="AB188" s="2"/>
      <c r="AC188" s="2"/>
      <c r="AD188" s="2"/>
      <c r="AE188" s="2"/>
      <c r="AF188" s="2"/>
      <c r="AG188" s="32"/>
      <c r="AH188" s="7"/>
      <c r="AI188" s="7"/>
      <c r="AJ188" s="2"/>
      <c r="AK188" s="4"/>
      <c r="AL188" s="22"/>
      <c r="AM188" s="2"/>
      <c r="AN188" s="49"/>
      <c r="AO188" s="22"/>
      <c r="AP188" s="51"/>
      <c r="AQ188" s="12"/>
      <c r="AR188" s="12"/>
      <c r="AS188" s="12"/>
      <c r="AT188" s="12"/>
      <c r="AU188" s="12"/>
      <c r="AV188" s="2"/>
    </row>
    <row r="189" spans="1:48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12"/>
      <c r="J189" s="2"/>
      <c r="K189" s="2"/>
      <c r="L189" s="2"/>
      <c r="M189" s="2"/>
      <c r="N189" s="2"/>
      <c r="O189" s="3"/>
      <c r="Q189" s="12"/>
      <c r="R189" s="12"/>
      <c r="S189" s="12"/>
      <c r="T189" s="12"/>
      <c r="U189" s="12"/>
      <c r="V189" s="12"/>
      <c r="W189" s="12"/>
      <c r="X189" s="12"/>
      <c r="Y189" s="2"/>
      <c r="Z189" s="2"/>
      <c r="AA189" s="2"/>
      <c r="AB189" s="2"/>
      <c r="AC189" s="2"/>
      <c r="AD189" s="2"/>
      <c r="AE189" s="2"/>
      <c r="AF189" s="2"/>
      <c r="AG189" s="32"/>
      <c r="AH189" s="7"/>
      <c r="AI189" s="7"/>
      <c r="AJ189" s="2"/>
      <c r="AK189" s="4"/>
      <c r="AL189" s="22"/>
      <c r="AM189" s="2"/>
      <c r="AN189" s="49"/>
      <c r="AO189" s="22"/>
      <c r="AP189" s="51"/>
      <c r="AQ189" s="12"/>
      <c r="AR189" s="12"/>
      <c r="AS189" s="12"/>
      <c r="AT189" s="12"/>
      <c r="AU189" s="12"/>
      <c r="AV189" s="2"/>
    </row>
    <row r="190" spans="1:48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12"/>
      <c r="J190" s="2"/>
      <c r="K190" s="2"/>
      <c r="L190" s="2"/>
      <c r="M190" s="2"/>
      <c r="N190" s="2"/>
      <c r="O190" s="3"/>
      <c r="Q190" s="12"/>
      <c r="R190" s="12"/>
      <c r="S190" s="12"/>
      <c r="T190" s="12"/>
      <c r="U190" s="12"/>
      <c r="V190" s="12"/>
      <c r="W190" s="12"/>
      <c r="X190" s="12"/>
      <c r="Y190" s="2"/>
      <c r="Z190" s="2"/>
      <c r="AA190" s="2"/>
      <c r="AB190" s="2"/>
      <c r="AC190" s="2"/>
      <c r="AD190" s="2"/>
      <c r="AE190" s="2"/>
      <c r="AF190" s="2"/>
      <c r="AG190" s="32"/>
      <c r="AH190" s="7"/>
      <c r="AI190" s="7"/>
      <c r="AJ190" s="2"/>
      <c r="AK190" s="4"/>
      <c r="AL190" s="22"/>
      <c r="AM190" s="2"/>
      <c r="AN190" s="49"/>
      <c r="AO190" s="22"/>
      <c r="AP190" s="51"/>
      <c r="AQ190" s="12"/>
      <c r="AR190" s="12"/>
      <c r="AS190" s="12"/>
      <c r="AT190" s="12"/>
      <c r="AU190" s="12"/>
      <c r="AV190" s="2"/>
    </row>
    <row r="191" spans="1:48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12"/>
      <c r="J191" s="2"/>
      <c r="K191" s="2"/>
      <c r="L191" s="2"/>
      <c r="M191" s="2"/>
      <c r="N191" s="2"/>
      <c r="O191" s="3"/>
      <c r="Q191" s="12"/>
      <c r="R191" s="12"/>
      <c r="S191" s="12"/>
      <c r="T191" s="12"/>
      <c r="U191" s="12"/>
      <c r="V191" s="12"/>
      <c r="W191" s="12"/>
      <c r="X191" s="12"/>
      <c r="Y191" s="2"/>
      <c r="Z191" s="2"/>
      <c r="AA191" s="2"/>
      <c r="AB191" s="2"/>
      <c r="AC191" s="2"/>
      <c r="AD191" s="2"/>
      <c r="AE191" s="2"/>
      <c r="AF191" s="2"/>
      <c r="AG191" s="32"/>
      <c r="AH191" s="7"/>
      <c r="AI191" s="7"/>
      <c r="AJ191" s="2"/>
      <c r="AK191" s="4"/>
      <c r="AL191" s="22"/>
      <c r="AM191" s="2"/>
      <c r="AN191" s="49"/>
      <c r="AO191" s="22"/>
      <c r="AP191" s="51"/>
      <c r="AQ191" s="12"/>
      <c r="AR191" s="12"/>
      <c r="AS191" s="12"/>
      <c r="AT191" s="12"/>
      <c r="AU191" s="12"/>
      <c r="AV191" s="2"/>
    </row>
    <row r="192" spans="1:48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12"/>
      <c r="J192" s="2"/>
      <c r="K192" s="2"/>
      <c r="L192" s="2"/>
      <c r="M192" s="2"/>
      <c r="N192" s="2"/>
      <c r="O192" s="3"/>
      <c r="Q192" s="12"/>
      <c r="R192" s="12"/>
      <c r="S192" s="12"/>
      <c r="T192" s="12"/>
      <c r="U192" s="12"/>
      <c r="V192" s="12"/>
      <c r="W192" s="12"/>
      <c r="X192" s="12"/>
      <c r="Y192" s="2"/>
      <c r="Z192" s="2"/>
      <c r="AA192" s="2"/>
      <c r="AB192" s="2"/>
      <c r="AC192" s="2"/>
      <c r="AD192" s="2"/>
      <c r="AE192" s="2"/>
      <c r="AF192" s="2"/>
      <c r="AG192" s="32"/>
      <c r="AH192" s="7"/>
      <c r="AI192" s="7"/>
      <c r="AJ192" s="2"/>
      <c r="AK192" s="4"/>
      <c r="AL192" s="22"/>
      <c r="AM192" s="2"/>
      <c r="AN192" s="49"/>
      <c r="AO192" s="22"/>
      <c r="AP192" s="51"/>
      <c r="AQ192" s="12"/>
      <c r="AR192" s="12"/>
      <c r="AS192" s="12"/>
      <c r="AT192" s="12"/>
      <c r="AU192" s="12"/>
      <c r="AV192" s="2"/>
    </row>
    <row r="193" spans="1:48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12"/>
      <c r="J193" s="2"/>
      <c r="K193" s="2"/>
      <c r="L193" s="2"/>
      <c r="M193" s="2"/>
      <c r="N193" s="2"/>
      <c r="O193" s="3"/>
      <c r="Q193" s="12"/>
      <c r="R193" s="12"/>
      <c r="S193" s="12"/>
      <c r="T193" s="12"/>
      <c r="U193" s="12"/>
      <c r="V193" s="12"/>
      <c r="W193" s="12"/>
      <c r="X193" s="12"/>
      <c r="Y193" s="2"/>
      <c r="Z193" s="2"/>
      <c r="AA193" s="2"/>
      <c r="AB193" s="2"/>
      <c r="AC193" s="2"/>
      <c r="AD193" s="2"/>
      <c r="AE193" s="2"/>
      <c r="AF193" s="2"/>
      <c r="AG193" s="32"/>
      <c r="AH193" s="7"/>
      <c r="AI193" s="7"/>
      <c r="AJ193" s="2"/>
      <c r="AK193" s="4"/>
      <c r="AL193" s="22"/>
      <c r="AM193" s="2"/>
      <c r="AN193" s="49"/>
      <c r="AO193" s="22"/>
      <c r="AP193" s="51"/>
      <c r="AQ193" s="12"/>
      <c r="AR193" s="12"/>
      <c r="AS193" s="12"/>
      <c r="AT193" s="12"/>
      <c r="AU193" s="12"/>
      <c r="AV193" s="2"/>
    </row>
    <row r="194" spans="1:48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12"/>
      <c r="J194" s="2"/>
      <c r="K194" s="2"/>
      <c r="L194" s="2"/>
      <c r="M194" s="2"/>
      <c r="N194" s="2"/>
      <c r="O194" s="3"/>
      <c r="Q194" s="12"/>
      <c r="R194" s="12"/>
      <c r="S194" s="12"/>
      <c r="T194" s="12"/>
      <c r="U194" s="12"/>
      <c r="V194" s="12"/>
      <c r="W194" s="12"/>
      <c r="X194" s="12"/>
      <c r="Y194" s="2"/>
      <c r="Z194" s="2"/>
      <c r="AA194" s="2"/>
      <c r="AB194" s="2"/>
      <c r="AC194" s="2"/>
      <c r="AD194" s="2"/>
      <c r="AE194" s="2"/>
      <c r="AF194" s="2"/>
      <c r="AG194" s="32"/>
      <c r="AH194" s="7"/>
      <c r="AI194" s="7"/>
      <c r="AJ194" s="2"/>
      <c r="AK194" s="4"/>
      <c r="AL194" s="22"/>
      <c r="AM194" s="2"/>
      <c r="AN194" s="49"/>
      <c r="AO194" s="22"/>
      <c r="AP194" s="51"/>
      <c r="AQ194" s="12"/>
      <c r="AR194" s="12"/>
      <c r="AS194" s="12"/>
      <c r="AT194" s="12"/>
      <c r="AU194" s="12"/>
      <c r="AV194" s="2"/>
    </row>
    <row r="195" spans="1:48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12"/>
      <c r="J195" s="2"/>
      <c r="K195" s="2"/>
      <c r="L195" s="2"/>
      <c r="M195" s="2"/>
      <c r="N195" s="2"/>
      <c r="O195" s="3"/>
      <c r="Q195" s="12"/>
      <c r="R195" s="12"/>
      <c r="S195" s="12"/>
      <c r="T195" s="12"/>
      <c r="U195" s="12"/>
      <c r="V195" s="12"/>
      <c r="W195" s="12"/>
      <c r="X195" s="12"/>
      <c r="Y195" s="2"/>
      <c r="Z195" s="2"/>
      <c r="AA195" s="2"/>
      <c r="AB195" s="2"/>
      <c r="AC195" s="2"/>
      <c r="AD195" s="2"/>
      <c r="AE195" s="2"/>
      <c r="AF195" s="2"/>
      <c r="AG195" s="32"/>
      <c r="AH195" s="7"/>
      <c r="AI195" s="7"/>
      <c r="AJ195" s="2"/>
      <c r="AK195" s="4"/>
      <c r="AL195" s="22"/>
      <c r="AM195" s="2"/>
      <c r="AN195" s="49"/>
      <c r="AO195" s="22"/>
      <c r="AP195" s="51"/>
      <c r="AQ195" s="12"/>
      <c r="AR195" s="12"/>
      <c r="AS195" s="12"/>
      <c r="AT195" s="12"/>
      <c r="AU195" s="12"/>
      <c r="AV195" s="2"/>
    </row>
    <row r="196" spans="1:48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12"/>
      <c r="J196" s="2"/>
      <c r="K196" s="2"/>
      <c r="L196" s="2"/>
      <c r="M196" s="2"/>
      <c r="N196" s="2"/>
      <c r="O196" s="3"/>
      <c r="Q196" s="12"/>
      <c r="R196" s="12"/>
      <c r="S196" s="12"/>
      <c r="T196" s="12"/>
      <c r="U196" s="12"/>
      <c r="V196" s="12"/>
      <c r="W196" s="12"/>
      <c r="X196" s="12"/>
      <c r="Y196" s="2"/>
      <c r="Z196" s="2"/>
      <c r="AA196" s="2"/>
      <c r="AB196" s="2"/>
      <c r="AC196" s="2"/>
      <c r="AD196" s="2"/>
      <c r="AE196" s="2"/>
      <c r="AF196" s="2"/>
      <c r="AG196" s="32"/>
      <c r="AH196" s="7"/>
      <c r="AI196" s="7"/>
      <c r="AJ196" s="2"/>
      <c r="AK196" s="4"/>
      <c r="AL196" s="22"/>
      <c r="AM196" s="2"/>
      <c r="AN196" s="49"/>
      <c r="AO196" s="22"/>
      <c r="AP196" s="51"/>
      <c r="AQ196" s="12"/>
      <c r="AR196" s="12"/>
      <c r="AS196" s="12"/>
      <c r="AT196" s="12"/>
      <c r="AU196" s="12"/>
      <c r="AV196" s="2"/>
    </row>
    <row r="197" spans="1:48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12"/>
      <c r="J197" s="2"/>
      <c r="K197" s="2"/>
      <c r="L197" s="2"/>
      <c r="M197" s="2"/>
      <c r="N197" s="2"/>
      <c r="O197" s="3"/>
      <c r="Q197" s="12"/>
      <c r="R197" s="12"/>
      <c r="S197" s="12"/>
      <c r="T197" s="12"/>
      <c r="U197" s="12"/>
      <c r="V197" s="12"/>
      <c r="W197" s="12"/>
      <c r="X197" s="12"/>
      <c r="Y197" s="2"/>
      <c r="Z197" s="2"/>
      <c r="AA197" s="2"/>
      <c r="AB197" s="2"/>
      <c r="AC197" s="2"/>
      <c r="AD197" s="2"/>
      <c r="AE197" s="2"/>
      <c r="AF197" s="2"/>
      <c r="AG197" s="32"/>
      <c r="AH197" s="7"/>
      <c r="AI197" s="7"/>
      <c r="AJ197" s="2"/>
      <c r="AK197" s="4"/>
      <c r="AL197" s="22"/>
      <c r="AM197" s="2"/>
      <c r="AN197" s="49"/>
      <c r="AO197" s="22"/>
      <c r="AP197" s="51"/>
      <c r="AQ197" s="12"/>
      <c r="AR197" s="12"/>
      <c r="AS197" s="12"/>
      <c r="AT197" s="12"/>
      <c r="AU197" s="12"/>
      <c r="AV197" s="2"/>
    </row>
    <row r="198" spans="1:48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12"/>
      <c r="J198" s="2"/>
      <c r="K198" s="2"/>
      <c r="L198" s="2"/>
      <c r="M198" s="2"/>
      <c r="N198" s="2"/>
      <c r="O198" s="3"/>
      <c r="Q198" s="12"/>
      <c r="R198" s="12"/>
      <c r="S198" s="12"/>
      <c r="T198" s="12"/>
      <c r="U198" s="12"/>
      <c r="V198" s="12"/>
      <c r="W198" s="12"/>
      <c r="X198" s="12"/>
      <c r="Y198" s="2"/>
      <c r="Z198" s="2"/>
      <c r="AA198" s="2"/>
      <c r="AB198" s="2"/>
      <c r="AC198" s="2"/>
      <c r="AD198" s="2"/>
      <c r="AE198" s="2"/>
      <c r="AF198" s="2"/>
      <c r="AG198" s="32"/>
      <c r="AH198" s="7"/>
      <c r="AI198" s="7"/>
      <c r="AJ198" s="2"/>
      <c r="AK198" s="4"/>
      <c r="AL198" s="22"/>
      <c r="AM198" s="2"/>
      <c r="AN198" s="49"/>
      <c r="AO198" s="22"/>
      <c r="AP198" s="51"/>
      <c r="AQ198" s="12"/>
      <c r="AR198" s="12"/>
      <c r="AS198" s="12"/>
      <c r="AT198" s="12"/>
      <c r="AU198" s="12"/>
      <c r="AV198" s="2"/>
    </row>
    <row r="199" spans="1:48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12"/>
      <c r="J199" s="2"/>
      <c r="K199" s="2"/>
      <c r="L199" s="2"/>
      <c r="M199" s="2"/>
      <c r="N199" s="2"/>
      <c r="O199" s="3"/>
      <c r="Q199" s="12"/>
      <c r="R199" s="12"/>
      <c r="S199" s="12"/>
      <c r="T199" s="12"/>
      <c r="U199" s="12"/>
      <c r="V199" s="12"/>
      <c r="W199" s="12"/>
      <c r="X199" s="12"/>
      <c r="Y199" s="2"/>
      <c r="Z199" s="2"/>
      <c r="AA199" s="2"/>
      <c r="AB199" s="2"/>
      <c r="AC199" s="2"/>
      <c r="AD199" s="2"/>
      <c r="AE199" s="2"/>
      <c r="AF199" s="2"/>
      <c r="AG199" s="32"/>
      <c r="AH199" s="7"/>
      <c r="AI199" s="7"/>
      <c r="AJ199" s="2"/>
      <c r="AK199" s="4"/>
      <c r="AL199" s="22"/>
      <c r="AM199" s="2"/>
      <c r="AN199" s="49"/>
      <c r="AO199" s="22"/>
      <c r="AP199" s="51"/>
      <c r="AQ199" s="12"/>
      <c r="AR199" s="12"/>
      <c r="AS199" s="12"/>
      <c r="AT199" s="12"/>
      <c r="AU199" s="12"/>
      <c r="AV199" s="2"/>
    </row>
    <row r="200" spans="1:48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12"/>
      <c r="J200" s="2"/>
      <c r="K200" s="2"/>
      <c r="L200" s="2"/>
      <c r="M200" s="2"/>
      <c r="N200" s="2"/>
      <c r="O200" s="3"/>
      <c r="Q200" s="12"/>
      <c r="R200" s="12"/>
      <c r="S200" s="12"/>
      <c r="T200" s="12"/>
      <c r="U200" s="12"/>
      <c r="V200" s="12"/>
      <c r="W200" s="12"/>
      <c r="X200" s="12"/>
      <c r="Y200" s="2"/>
      <c r="Z200" s="2"/>
      <c r="AA200" s="2"/>
      <c r="AB200" s="2"/>
      <c r="AC200" s="2"/>
      <c r="AD200" s="2"/>
      <c r="AE200" s="2"/>
      <c r="AF200" s="2"/>
      <c r="AG200" s="32"/>
      <c r="AH200" s="7"/>
      <c r="AI200" s="7"/>
      <c r="AJ200" s="2"/>
      <c r="AK200" s="4"/>
      <c r="AL200" s="22"/>
      <c r="AM200" s="2"/>
      <c r="AN200" s="49"/>
      <c r="AO200" s="22"/>
      <c r="AP200" s="51"/>
      <c r="AQ200" s="12"/>
      <c r="AR200" s="12"/>
      <c r="AS200" s="12"/>
      <c r="AT200" s="12"/>
      <c r="AU200" s="12"/>
      <c r="AV200" s="2"/>
    </row>
    <row r="201" spans="1:48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12"/>
      <c r="J201" s="2"/>
      <c r="K201" s="2"/>
      <c r="L201" s="2"/>
      <c r="M201" s="2"/>
      <c r="N201" s="2"/>
      <c r="O201" s="3"/>
      <c r="Q201" s="12"/>
      <c r="R201" s="12"/>
      <c r="S201" s="12"/>
      <c r="T201" s="12"/>
      <c r="U201" s="12"/>
      <c r="V201" s="12"/>
      <c r="W201" s="12"/>
      <c r="X201" s="12"/>
      <c r="Y201" s="2"/>
      <c r="Z201" s="2"/>
      <c r="AA201" s="2"/>
      <c r="AB201" s="2"/>
      <c r="AC201" s="2"/>
      <c r="AD201" s="2"/>
      <c r="AE201" s="2"/>
      <c r="AF201" s="2"/>
      <c r="AG201" s="32"/>
      <c r="AH201" s="7"/>
      <c r="AI201" s="7"/>
      <c r="AJ201" s="2"/>
      <c r="AK201" s="4"/>
      <c r="AL201" s="22"/>
      <c r="AM201" s="2"/>
      <c r="AN201" s="49"/>
      <c r="AO201" s="22"/>
      <c r="AP201" s="51"/>
      <c r="AQ201" s="12"/>
      <c r="AR201" s="12"/>
      <c r="AS201" s="12"/>
      <c r="AT201" s="12"/>
      <c r="AU201" s="12"/>
      <c r="AV201" s="2"/>
    </row>
    <row r="202" spans="1:48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12"/>
      <c r="J202" s="2"/>
      <c r="K202" s="2"/>
      <c r="L202" s="2"/>
      <c r="M202" s="2"/>
      <c r="N202" s="2"/>
      <c r="O202" s="3"/>
      <c r="Q202" s="12"/>
      <c r="R202" s="12"/>
      <c r="S202" s="12"/>
      <c r="T202" s="12"/>
      <c r="U202" s="12"/>
      <c r="V202" s="12"/>
      <c r="W202" s="12"/>
      <c r="X202" s="12"/>
      <c r="Y202" s="2"/>
      <c r="Z202" s="2"/>
      <c r="AA202" s="2"/>
      <c r="AB202" s="2"/>
      <c r="AC202" s="2"/>
      <c r="AD202" s="2"/>
      <c r="AE202" s="2"/>
      <c r="AF202" s="2"/>
      <c r="AG202" s="32"/>
      <c r="AH202" s="7"/>
      <c r="AI202" s="7"/>
      <c r="AJ202" s="2"/>
      <c r="AK202" s="4"/>
      <c r="AL202" s="22"/>
      <c r="AM202" s="2"/>
      <c r="AN202" s="49"/>
      <c r="AO202" s="22"/>
      <c r="AP202" s="51"/>
      <c r="AQ202" s="12"/>
      <c r="AR202" s="12"/>
      <c r="AS202" s="12"/>
      <c r="AT202" s="12"/>
      <c r="AU202" s="12"/>
      <c r="AV202" s="2"/>
    </row>
    <row r="203" spans="1:48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12"/>
      <c r="J203" s="2"/>
      <c r="K203" s="2"/>
      <c r="L203" s="2"/>
      <c r="M203" s="2"/>
      <c r="N203" s="2"/>
      <c r="O203" s="3"/>
      <c r="Q203" s="12"/>
      <c r="R203" s="12"/>
      <c r="S203" s="12"/>
      <c r="T203" s="12"/>
      <c r="U203" s="12"/>
      <c r="V203" s="12"/>
      <c r="W203" s="12"/>
      <c r="X203" s="12"/>
      <c r="Y203" s="2"/>
      <c r="Z203" s="2"/>
      <c r="AA203" s="2"/>
      <c r="AB203" s="2"/>
      <c r="AC203" s="2"/>
      <c r="AD203" s="2"/>
      <c r="AE203" s="2"/>
      <c r="AF203" s="2"/>
      <c r="AG203" s="32"/>
      <c r="AH203" s="7"/>
      <c r="AI203" s="7"/>
      <c r="AJ203" s="2"/>
      <c r="AK203" s="4"/>
      <c r="AL203" s="22"/>
      <c r="AM203" s="2"/>
      <c r="AN203" s="49"/>
      <c r="AO203" s="22"/>
      <c r="AP203" s="51"/>
      <c r="AQ203" s="12"/>
      <c r="AR203" s="12"/>
      <c r="AS203" s="12"/>
      <c r="AT203" s="12"/>
      <c r="AU203" s="12"/>
      <c r="AV203" s="2"/>
    </row>
    <row r="204" spans="1:48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12"/>
      <c r="J204" s="2"/>
      <c r="K204" s="2"/>
      <c r="L204" s="2"/>
      <c r="M204" s="2"/>
      <c r="N204" s="2"/>
      <c r="O204" s="3"/>
      <c r="Q204" s="12"/>
      <c r="R204" s="12"/>
      <c r="S204" s="12"/>
      <c r="T204" s="12"/>
      <c r="U204" s="12"/>
      <c r="V204" s="12"/>
      <c r="W204" s="12"/>
      <c r="X204" s="12"/>
      <c r="Y204" s="2"/>
      <c r="Z204" s="2"/>
      <c r="AA204" s="2"/>
      <c r="AB204" s="2"/>
      <c r="AC204" s="2"/>
      <c r="AD204" s="2"/>
      <c r="AE204" s="2"/>
      <c r="AF204" s="2"/>
      <c r="AG204" s="32"/>
      <c r="AH204" s="7"/>
      <c r="AI204" s="7"/>
      <c r="AJ204" s="2"/>
      <c r="AK204" s="4"/>
      <c r="AL204" s="22"/>
      <c r="AM204" s="2"/>
      <c r="AN204" s="49"/>
      <c r="AO204" s="22"/>
      <c r="AP204" s="51"/>
      <c r="AQ204" s="12"/>
      <c r="AR204" s="12"/>
      <c r="AS204" s="12"/>
      <c r="AT204" s="12"/>
      <c r="AU204" s="12"/>
      <c r="AV204" s="2"/>
    </row>
    <row r="205" spans="1:48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12"/>
      <c r="J205" s="2"/>
      <c r="K205" s="2"/>
      <c r="L205" s="2"/>
      <c r="M205" s="2"/>
      <c r="N205" s="2"/>
      <c r="O205" s="3"/>
      <c r="Q205" s="12"/>
      <c r="R205" s="12"/>
      <c r="S205" s="12"/>
      <c r="T205" s="12"/>
      <c r="U205" s="12"/>
      <c r="V205" s="12"/>
      <c r="W205" s="12"/>
      <c r="X205" s="12"/>
      <c r="Y205" s="2"/>
      <c r="Z205" s="2"/>
      <c r="AA205" s="2"/>
      <c r="AB205" s="2"/>
      <c r="AC205" s="2"/>
      <c r="AD205" s="2"/>
      <c r="AE205" s="2"/>
      <c r="AF205" s="2"/>
      <c r="AG205" s="32"/>
      <c r="AH205" s="7"/>
      <c r="AI205" s="7"/>
      <c r="AJ205" s="2"/>
      <c r="AK205" s="4"/>
      <c r="AL205" s="22"/>
      <c r="AM205" s="2"/>
      <c r="AN205" s="49"/>
      <c r="AO205" s="22"/>
      <c r="AP205" s="51"/>
      <c r="AQ205" s="12"/>
      <c r="AR205" s="12"/>
      <c r="AS205" s="12"/>
      <c r="AT205" s="12"/>
      <c r="AU205" s="12"/>
      <c r="AV205" s="2"/>
    </row>
    <row r="206" spans="1:48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12"/>
      <c r="J206" s="2"/>
      <c r="K206" s="2"/>
      <c r="L206" s="2"/>
      <c r="M206" s="2"/>
      <c r="N206" s="2"/>
      <c r="O206" s="3"/>
      <c r="Q206" s="12"/>
      <c r="R206" s="12"/>
      <c r="S206" s="12"/>
      <c r="T206" s="12"/>
      <c r="U206" s="12"/>
      <c r="V206" s="12"/>
      <c r="W206" s="12"/>
      <c r="X206" s="12"/>
      <c r="Y206" s="2"/>
      <c r="Z206" s="2"/>
      <c r="AA206" s="2"/>
      <c r="AB206" s="2"/>
      <c r="AC206" s="2"/>
      <c r="AD206" s="2"/>
      <c r="AE206" s="2"/>
      <c r="AF206" s="2"/>
      <c r="AG206" s="32"/>
      <c r="AH206" s="7"/>
      <c r="AI206" s="7"/>
      <c r="AJ206" s="2"/>
      <c r="AK206" s="4"/>
      <c r="AL206" s="22"/>
      <c r="AM206" s="2"/>
      <c r="AN206" s="49"/>
      <c r="AO206" s="22"/>
      <c r="AP206" s="51"/>
      <c r="AQ206" s="12"/>
      <c r="AR206" s="12"/>
      <c r="AS206" s="12"/>
      <c r="AT206" s="12"/>
      <c r="AU206" s="12"/>
      <c r="AV206" s="2"/>
    </row>
    <row r="207" spans="1:48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12"/>
      <c r="J207" s="2"/>
      <c r="K207" s="2"/>
      <c r="L207" s="2"/>
      <c r="M207" s="2"/>
      <c r="N207" s="2"/>
      <c r="O207" s="3"/>
      <c r="Q207" s="12"/>
      <c r="R207" s="12"/>
      <c r="S207" s="12"/>
      <c r="T207" s="12"/>
      <c r="U207" s="12"/>
      <c r="V207" s="12"/>
      <c r="W207" s="12"/>
      <c r="X207" s="12"/>
      <c r="Y207" s="2"/>
      <c r="Z207" s="2"/>
      <c r="AA207" s="2"/>
      <c r="AB207" s="2"/>
      <c r="AC207" s="2"/>
      <c r="AD207" s="2"/>
      <c r="AE207" s="2"/>
      <c r="AF207" s="2"/>
      <c r="AG207" s="32"/>
      <c r="AH207" s="7"/>
      <c r="AI207" s="7"/>
      <c r="AJ207" s="2"/>
      <c r="AK207" s="4"/>
      <c r="AL207" s="22"/>
      <c r="AM207" s="2"/>
      <c r="AN207" s="49"/>
      <c r="AO207" s="22"/>
      <c r="AP207" s="51"/>
      <c r="AQ207" s="12"/>
      <c r="AR207" s="12"/>
      <c r="AS207" s="12"/>
      <c r="AT207" s="12"/>
      <c r="AU207" s="12"/>
      <c r="AV207" s="2"/>
    </row>
    <row r="208" spans="1:48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12"/>
      <c r="J208" s="2"/>
      <c r="K208" s="2"/>
      <c r="L208" s="2"/>
      <c r="M208" s="2"/>
      <c r="N208" s="2"/>
      <c r="O208" s="3"/>
      <c r="Q208" s="12"/>
      <c r="R208" s="12"/>
      <c r="S208" s="12"/>
      <c r="T208" s="12"/>
      <c r="U208" s="12"/>
      <c r="V208" s="12"/>
      <c r="W208" s="12"/>
      <c r="X208" s="12"/>
      <c r="Y208" s="2"/>
      <c r="Z208" s="2"/>
      <c r="AA208" s="2"/>
      <c r="AB208" s="2"/>
      <c r="AC208" s="2"/>
      <c r="AD208" s="2"/>
      <c r="AE208" s="2"/>
      <c r="AF208" s="2"/>
      <c r="AG208" s="32"/>
      <c r="AH208" s="7"/>
      <c r="AI208" s="7"/>
      <c r="AJ208" s="2"/>
      <c r="AK208" s="4"/>
      <c r="AL208" s="22"/>
      <c r="AM208" s="2"/>
      <c r="AN208" s="49"/>
      <c r="AO208" s="22"/>
      <c r="AP208" s="51"/>
      <c r="AQ208" s="12"/>
      <c r="AR208" s="12"/>
      <c r="AS208" s="12"/>
      <c r="AT208" s="12"/>
      <c r="AU208" s="12"/>
      <c r="AV208" s="2"/>
    </row>
    <row r="209" spans="1:48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12"/>
      <c r="J209" s="2"/>
      <c r="K209" s="2"/>
      <c r="L209" s="2"/>
      <c r="M209" s="2"/>
      <c r="N209" s="2"/>
      <c r="O209" s="3"/>
      <c r="Q209" s="12"/>
      <c r="R209" s="12"/>
      <c r="S209" s="12"/>
      <c r="T209" s="12"/>
      <c r="U209" s="12"/>
      <c r="V209" s="12"/>
      <c r="W209" s="12"/>
      <c r="X209" s="12"/>
      <c r="Y209" s="2"/>
      <c r="Z209" s="2"/>
      <c r="AA209" s="2"/>
      <c r="AB209" s="2"/>
      <c r="AC209" s="2"/>
      <c r="AD209" s="2"/>
      <c r="AE209" s="2"/>
      <c r="AF209" s="2"/>
      <c r="AG209" s="32"/>
      <c r="AH209" s="7"/>
      <c r="AI209" s="7"/>
      <c r="AJ209" s="2"/>
      <c r="AK209" s="4"/>
      <c r="AL209" s="22"/>
      <c r="AM209" s="2"/>
      <c r="AN209" s="49"/>
      <c r="AO209" s="22"/>
      <c r="AP209" s="51"/>
      <c r="AQ209" s="12"/>
      <c r="AR209" s="12"/>
      <c r="AS209" s="12"/>
      <c r="AT209" s="12"/>
      <c r="AU209" s="12"/>
      <c r="AV209" s="2"/>
    </row>
    <row r="210" spans="1:48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12"/>
      <c r="J210" s="2"/>
      <c r="K210" s="2"/>
      <c r="L210" s="2"/>
      <c r="M210" s="2"/>
      <c r="N210" s="2"/>
      <c r="O210" s="3"/>
      <c r="Q210" s="12"/>
      <c r="R210" s="12"/>
      <c r="S210" s="12"/>
      <c r="T210" s="12"/>
      <c r="U210" s="12"/>
      <c r="V210" s="12"/>
      <c r="W210" s="12"/>
      <c r="X210" s="12"/>
      <c r="Y210" s="2"/>
      <c r="Z210" s="2"/>
      <c r="AA210" s="2"/>
      <c r="AB210" s="2"/>
      <c r="AC210" s="2"/>
      <c r="AD210" s="2"/>
      <c r="AE210" s="2"/>
      <c r="AF210" s="2"/>
      <c r="AG210" s="32"/>
      <c r="AH210" s="7"/>
      <c r="AI210" s="7"/>
      <c r="AJ210" s="2"/>
      <c r="AK210" s="4"/>
      <c r="AL210" s="22"/>
      <c r="AM210" s="2"/>
      <c r="AN210" s="49"/>
      <c r="AO210" s="22"/>
      <c r="AP210" s="51"/>
      <c r="AQ210" s="12"/>
      <c r="AR210" s="12"/>
      <c r="AS210" s="12"/>
      <c r="AT210" s="12"/>
      <c r="AU210" s="12"/>
      <c r="AV210" s="2"/>
    </row>
    <row r="211" spans="1:48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12"/>
      <c r="J211" s="2"/>
      <c r="K211" s="2"/>
      <c r="L211" s="2"/>
      <c r="M211" s="2"/>
      <c r="N211" s="2"/>
      <c r="O211" s="3"/>
      <c r="Q211" s="12"/>
      <c r="R211" s="12"/>
      <c r="S211" s="12"/>
      <c r="T211" s="12"/>
      <c r="U211" s="12"/>
      <c r="V211" s="12"/>
      <c r="W211" s="12"/>
      <c r="X211" s="12"/>
      <c r="Y211" s="2"/>
      <c r="Z211" s="2"/>
      <c r="AA211" s="2"/>
      <c r="AB211" s="2"/>
      <c r="AC211" s="2"/>
      <c r="AD211" s="2"/>
      <c r="AE211" s="2"/>
      <c r="AF211" s="2"/>
      <c r="AG211" s="32"/>
      <c r="AH211" s="7"/>
      <c r="AI211" s="7"/>
      <c r="AJ211" s="2"/>
      <c r="AK211" s="4"/>
      <c r="AL211" s="22"/>
      <c r="AM211" s="2"/>
      <c r="AN211" s="49"/>
      <c r="AO211" s="22"/>
      <c r="AP211" s="51"/>
      <c r="AQ211" s="12"/>
      <c r="AR211" s="12"/>
      <c r="AS211" s="12"/>
      <c r="AT211" s="12"/>
      <c r="AU211" s="12"/>
      <c r="AV211" s="2"/>
    </row>
    <row r="212" spans="1:48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12"/>
      <c r="J212" s="2"/>
      <c r="K212" s="2"/>
      <c r="L212" s="2"/>
      <c r="M212" s="2"/>
      <c r="N212" s="2"/>
      <c r="O212" s="3"/>
      <c r="Q212" s="12"/>
      <c r="R212" s="12"/>
      <c r="S212" s="12"/>
      <c r="T212" s="12"/>
      <c r="U212" s="12"/>
      <c r="V212" s="12"/>
      <c r="W212" s="12"/>
      <c r="X212" s="12"/>
      <c r="Y212" s="2"/>
      <c r="Z212" s="2"/>
      <c r="AA212" s="2"/>
      <c r="AB212" s="2"/>
      <c r="AC212" s="2"/>
      <c r="AD212" s="2"/>
      <c r="AE212" s="2"/>
      <c r="AF212" s="2"/>
      <c r="AG212" s="32"/>
      <c r="AH212" s="7"/>
      <c r="AI212" s="7"/>
      <c r="AJ212" s="2"/>
      <c r="AK212" s="4"/>
      <c r="AL212" s="22"/>
      <c r="AM212" s="2"/>
      <c r="AN212" s="49"/>
      <c r="AO212" s="22"/>
      <c r="AP212" s="51"/>
      <c r="AQ212" s="12"/>
      <c r="AR212" s="12"/>
      <c r="AS212" s="12"/>
      <c r="AT212" s="12"/>
      <c r="AU212" s="12"/>
      <c r="AV212" s="2"/>
    </row>
    <row r="213" spans="1:48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12"/>
      <c r="J213" s="2"/>
      <c r="K213" s="2"/>
      <c r="L213" s="2"/>
      <c r="M213" s="2"/>
      <c r="N213" s="2"/>
      <c r="O213" s="3"/>
      <c r="Q213" s="12"/>
      <c r="R213" s="12"/>
      <c r="S213" s="12"/>
      <c r="T213" s="12"/>
      <c r="U213" s="12"/>
      <c r="V213" s="12"/>
      <c r="W213" s="12"/>
      <c r="X213" s="12"/>
      <c r="Y213" s="2"/>
      <c r="Z213" s="2"/>
      <c r="AA213" s="2"/>
      <c r="AB213" s="2"/>
      <c r="AC213" s="2"/>
      <c r="AD213" s="2"/>
      <c r="AE213" s="2"/>
      <c r="AF213" s="2"/>
      <c r="AG213" s="32"/>
      <c r="AH213" s="7"/>
      <c r="AI213" s="7"/>
      <c r="AJ213" s="2"/>
      <c r="AK213" s="4"/>
      <c r="AL213" s="22"/>
      <c r="AM213" s="2"/>
      <c r="AN213" s="49"/>
      <c r="AO213" s="22"/>
      <c r="AP213" s="51"/>
      <c r="AQ213" s="12"/>
      <c r="AR213" s="12"/>
      <c r="AS213" s="12"/>
      <c r="AT213" s="12"/>
      <c r="AU213" s="12"/>
      <c r="AV213" s="2"/>
    </row>
    <row r="214" spans="1:48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12"/>
      <c r="J214" s="2"/>
      <c r="K214" s="2"/>
      <c r="L214" s="2"/>
      <c r="M214" s="2"/>
      <c r="N214" s="2"/>
      <c r="O214" s="3"/>
      <c r="Q214" s="12"/>
      <c r="R214" s="12"/>
      <c r="S214" s="12"/>
      <c r="T214" s="12"/>
      <c r="U214" s="12"/>
      <c r="V214" s="12"/>
      <c r="W214" s="12"/>
      <c r="X214" s="12"/>
      <c r="Y214" s="2"/>
      <c r="Z214" s="2"/>
      <c r="AA214" s="2"/>
      <c r="AB214" s="2"/>
      <c r="AC214" s="2"/>
      <c r="AD214" s="2"/>
      <c r="AE214" s="2"/>
      <c r="AF214" s="2"/>
      <c r="AG214" s="32"/>
      <c r="AH214" s="7"/>
      <c r="AI214" s="7"/>
      <c r="AJ214" s="2"/>
      <c r="AK214" s="4"/>
      <c r="AL214" s="22"/>
      <c r="AM214" s="2"/>
      <c r="AN214" s="49"/>
      <c r="AO214" s="22"/>
      <c r="AP214" s="51"/>
      <c r="AQ214" s="12"/>
      <c r="AR214" s="12"/>
      <c r="AS214" s="12"/>
      <c r="AT214" s="12"/>
      <c r="AU214" s="12"/>
      <c r="AV214" s="2"/>
    </row>
    <row r="215" spans="1:48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12"/>
      <c r="J215" s="2"/>
      <c r="K215" s="2"/>
      <c r="L215" s="2"/>
      <c r="M215" s="2"/>
      <c r="N215" s="2"/>
      <c r="O215" s="3"/>
      <c r="Q215" s="12"/>
      <c r="R215" s="12"/>
      <c r="S215" s="12"/>
      <c r="T215" s="12"/>
      <c r="U215" s="12"/>
      <c r="V215" s="12"/>
      <c r="W215" s="12"/>
      <c r="X215" s="12"/>
      <c r="Y215" s="2"/>
      <c r="Z215" s="2"/>
      <c r="AA215" s="2"/>
      <c r="AB215" s="2"/>
      <c r="AC215" s="2"/>
      <c r="AD215" s="2"/>
      <c r="AE215" s="2"/>
      <c r="AF215" s="2"/>
      <c r="AG215" s="32"/>
      <c r="AH215" s="7"/>
      <c r="AI215" s="7"/>
      <c r="AJ215" s="2"/>
      <c r="AK215" s="4"/>
      <c r="AL215" s="22"/>
      <c r="AM215" s="2"/>
      <c r="AN215" s="49"/>
      <c r="AO215" s="22"/>
      <c r="AP215" s="51"/>
      <c r="AQ215" s="12"/>
      <c r="AR215" s="12"/>
      <c r="AS215" s="12"/>
      <c r="AT215" s="12"/>
      <c r="AU215" s="12"/>
      <c r="AV215" s="2"/>
    </row>
    <row r="216" spans="1:48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12"/>
      <c r="J216" s="2"/>
      <c r="K216" s="2"/>
      <c r="L216" s="2"/>
      <c r="M216" s="2"/>
      <c r="N216" s="2"/>
      <c r="O216" s="3"/>
      <c r="Q216" s="12"/>
      <c r="R216" s="12"/>
      <c r="S216" s="12"/>
      <c r="T216" s="12"/>
      <c r="U216" s="12"/>
      <c r="V216" s="12"/>
      <c r="W216" s="12"/>
      <c r="X216" s="12"/>
      <c r="Y216" s="2"/>
      <c r="Z216" s="2"/>
      <c r="AA216" s="2"/>
      <c r="AB216" s="2"/>
      <c r="AC216" s="2"/>
      <c r="AD216" s="2"/>
      <c r="AE216" s="2"/>
      <c r="AF216" s="2"/>
      <c r="AG216" s="32"/>
      <c r="AH216" s="7"/>
      <c r="AI216" s="7"/>
      <c r="AJ216" s="2"/>
      <c r="AK216" s="4"/>
      <c r="AL216" s="22"/>
      <c r="AM216" s="2"/>
      <c r="AN216" s="49"/>
      <c r="AO216" s="22"/>
      <c r="AP216" s="51"/>
      <c r="AQ216" s="12"/>
      <c r="AR216" s="12"/>
      <c r="AS216" s="12"/>
      <c r="AT216" s="12"/>
      <c r="AU216" s="12"/>
      <c r="AV216" s="2"/>
    </row>
    <row r="217" spans="1:48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12"/>
      <c r="J217" s="2"/>
      <c r="K217" s="2"/>
      <c r="L217" s="2"/>
      <c r="M217" s="2"/>
      <c r="N217" s="2"/>
      <c r="O217" s="3"/>
      <c r="Q217" s="12"/>
      <c r="R217" s="12"/>
      <c r="S217" s="12"/>
      <c r="T217" s="12"/>
      <c r="U217" s="12"/>
      <c r="V217" s="12"/>
      <c r="W217" s="12"/>
      <c r="X217" s="12"/>
      <c r="Y217" s="2"/>
      <c r="Z217" s="2"/>
      <c r="AA217" s="2"/>
      <c r="AB217" s="2"/>
      <c r="AC217" s="2"/>
      <c r="AD217" s="2"/>
      <c r="AE217" s="2"/>
      <c r="AF217" s="2"/>
      <c r="AG217" s="32"/>
      <c r="AH217" s="7"/>
      <c r="AI217" s="7"/>
      <c r="AJ217" s="2"/>
      <c r="AK217" s="4"/>
      <c r="AL217" s="22"/>
      <c r="AM217" s="2"/>
      <c r="AN217" s="49"/>
      <c r="AO217" s="22"/>
      <c r="AP217" s="51"/>
      <c r="AQ217" s="12"/>
      <c r="AR217" s="12"/>
      <c r="AS217" s="12"/>
      <c r="AT217" s="12"/>
      <c r="AU217" s="12"/>
      <c r="AV217" s="2"/>
    </row>
    <row r="218" spans="1:48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12"/>
      <c r="J218" s="2"/>
      <c r="K218" s="2"/>
      <c r="L218" s="2"/>
      <c r="M218" s="2"/>
      <c r="N218" s="2"/>
      <c r="O218" s="3"/>
      <c r="Q218" s="12"/>
      <c r="R218" s="12"/>
      <c r="S218" s="12"/>
      <c r="T218" s="12"/>
      <c r="U218" s="12"/>
      <c r="V218" s="12"/>
      <c r="W218" s="12"/>
      <c r="X218" s="12"/>
      <c r="Y218" s="2"/>
      <c r="Z218" s="2"/>
      <c r="AA218" s="2"/>
      <c r="AB218" s="2"/>
      <c r="AC218" s="2"/>
      <c r="AD218" s="2"/>
      <c r="AE218" s="2"/>
      <c r="AF218" s="2"/>
      <c r="AG218" s="32"/>
      <c r="AH218" s="7"/>
      <c r="AI218" s="7"/>
      <c r="AJ218" s="2"/>
      <c r="AK218" s="4"/>
      <c r="AL218" s="22"/>
      <c r="AM218" s="2"/>
      <c r="AN218" s="49"/>
      <c r="AO218" s="22"/>
      <c r="AP218" s="51"/>
      <c r="AQ218" s="12"/>
      <c r="AR218" s="12"/>
      <c r="AS218" s="12"/>
      <c r="AT218" s="12"/>
      <c r="AU218" s="12"/>
      <c r="AV218" s="2"/>
    </row>
    <row r="219" spans="1:48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12"/>
      <c r="J219" s="2"/>
      <c r="K219" s="2"/>
      <c r="L219" s="2"/>
      <c r="M219" s="2"/>
      <c r="N219" s="2"/>
      <c r="O219" s="3"/>
      <c r="Q219" s="12"/>
      <c r="R219" s="12"/>
      <c r="S219" s="12"/>
      <c r="T219" s="12"/>
      <c r="U219" s="12"/>
      <c r="V219" s="12"/>
      <c r="W219" s="12"/>
      <c r="X219" s="12"/>
      <c r="Y219" s="2"/>
      <c r="Z219" s="2"/>
      <c r="AA219" s="2"/>
      <c r="AB219" s="2"/>
      <c r="AC219" s="2"/>
      <c r="AD219" s="2"/>
      <c r="AE219" s="2"/>
      <c r="AF219" s="2"/>
      <c r="AG219" s="32"/>
      <c r="AH219" s="7"/>
      <c r="AI219" s="7"/>
      <c r="AJ219" s="2"/>
      <c r="AK219" s="4"/>
      <c r="AL219" s="22"/>
      <c r="AM219" s="2"/>
      <c r="AN219" s="49"/>
      <c r="AO219" s="22"/>
      <c r="AP219" s="51"/>
      <c r="AQ219" s="12"/>
      <c r="AR219" s="12"/>
      <c r="AS219" s="12"/>
      <c r="AT219" s="12"/>
      <c r="AU219" s="12"/>
      <c r="AV219" s="2"/>
    </row>
    <row r="220" spans="1:48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12"/>
      <c r="J220" s="2"/>
      <c r="K220" s="2"/>
      <c r="L220" s="2"/>
      <c r="M220" s="2"/>
      <c r="N220" s="2"/>
      <c r="O220" s="3"/>
      <c r="Q220" s="12"/>
      <c r="R220" s="12"/>
      <c r="S220" s="12"/>
      <c r="T220" s="12"/>
      <c r="U220" s="12"/>
      <c r="V220" s="12"/>
      <c r="W220" s="12"/>
      <c r="X220" s="12"/>
      <c r="Y220" s="2"/>
      <c r="Z220" s="2"/>
      <c r="AA220" s="2"/>
      <c r="AB220" s="2"/>
      <c r="AC220" s="2"/>
      <c r="AD220" s="2"/>
      <c r="AE220" s="2"/>
      <c r="AF220" s="2"/>
      <c r="AG220" s="32"/>
      <c r="AH220" s="7"/>
      <c r="AI220" s="7"/>
      <c r="AJ220" s="2"/>
      <c r="AK220" s="4"/>
      <c r="AL220" s="22"/>
      <c r="AM220" s="2"/>
      <c r="AN220" s="49"/>
      <c r="AO220" s="22"/>
      <c r="AP220" s="51"/>
      <c r="AQ220" s="12"/>
      <c r="AR220" s="12"/>
      <c r="AS220" s="12"/>
      <c r="AT220" s="12"/>
      <c r="AU220" s="12"/>
      <c r="AV220" s="2"/>
    </row>
    <row r="221" spans="1:48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12"/>
      <c r="J221" s="2"/>
      <c r="K221" s="2"/>
      <c r="L221" s="2"/>
      <c r="M221" s="2"/>
      <c r="N221" s="2"/>
      <c r="O221" s="3"/>
      <c r="Q221" s="12"/>
      <c r="R221" s="12"/>
      <c r="S221" s="12"/>
      <c r="T221" s="12"/>
      <c r="U221" s="12"/>
      <c r="V221" s="12"/>
      <c r="W221" s="12"/>
      <c r="X221" s="12"/>
      <c r="Y221" s="2"/>
      <c r="Z221" s="2"/>
      <c r="AA221" s="2"/>
      <c r="AB221" s="2"/>
      <c r="AC221" s="2"/>
      <c r="AD221" s="2"/>
      <c r="AE221" s="2"/>
      <c r="AF221" s="2"/>
      <c r="AG221" s="32"/>
      <c r="AH221" s="7"/>
      <c r="AI221" s="7"/>
      <c r="AJ221" s="2"/>
      <c r="AK221" s="4"/>
      <c r="AL221" s="22"/>
      <c r="AM221" s="2"/>
      <c r="AN221" s="49"/>
      <c r="AO221" s="22"/>
      <c r="AP221" s="51"/>
      <c r="AQ221" s="12"/>
      <c r="AR221" s="12"/>
      <c r="AS221" s="12"/>
      <c r="AT221" s="12"/>
      <c r="AU221" s="12"/>
      <c r="AV221" s="2"/>
    </row>
    <row r="222" spans="1:48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12"/>
      <c r="J222" s="2"/>
      <c r="K222" s="2"/>
      <c r="L222" s="2"/>
      <c r="M222" s="2"/>
      <c r="N222" s="2"/>
      <c r="O222" s="3"/>
      <c r="Q222" s="12"/>
      <c r="R222" s="12"/>
      <c r="S222" s="12"/>
      <c r="T222" s="12"/>
      <c r="U222" s="12"/>
      <c r="V222" s="12"/>
      <c r="W222" s="12"/>
      <c r="X222" s="12"/>
      <c r="Y222" s="2"/>
      <c r="Z222" s="2"/>
      <c r="AA222" s="2"/>
      <c r="AB222" s="2"/>
      <c r="AC222" s="2"/>
      <c r="AD222" s="2"/>
      <c r="AE222" s="2"/>
      <c r="AF222" s="2"/>
      <c r="AG222" s="32"/>
      <c r="AH222" s="7"/>
      <c r="AI222" s="7"/>
      <c r="AJ222" s="2"/>
      <c r="AK222" s="4"/>
      <c r="AL222" s="22"/>
      <c r="AM222" s="2"/>
      <c r="AN222" s="49"/>
      <c r="AO222" s="22"/>
      <c r="AP222" s="51"/>
      <c r="AQ222" s="12"/>
      <c r="AR222" s="12"/>
      <c r="AS222" s="12"/>
      <c r="AT222" s="12"/>
      <c r="AU222" s="12"/>
      <c r="AV222" s="2"/>
    </row>
    <row r="223" spans="1:48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12"/>
      <c r="J223" s="2"/>
      <c r="K223" s="2"/>
      <c r="L223" s="2"/>
      <c r="M223" s="2"/>
      <c r="N223" s="2"/>
      <c r="O223" s="3"/>
      <c r="Q223" s="12"/>
      <c r="R223" s="12"/>
      <c r="S223" s="12"/>
      <c r="T223" s="12"/>
      <c r="U223" s="12"/>
      <c r="V223" s="12"/>
      <c r="W223" s="12"/>
      <c r="X223" s="12"/>
      <c r="Y223" s="2"/>
      <c r="Z223" s="2"/>
      <c r="AA223" s="2"/>
      <c r="AB223" s="2"/>
      <c r="AC223" s="2"/>
      <c r="AD223" s="2"/>
      <c r="AE223" s="2"/>
      <c r="AF223" s="2"/>
      <c r="AG223" s="32"/>
      <c r="AH223" s="7"/>
      <c r="AI223" s="7"/>
      <c r="AJ223" s="2"/>
      <c r="AK223" s="4"/>
      <c r="AL223" s="22"/>
      <c r="AM223" s="2"/>
      <c r="AN223" s="49"/>
      <c r="AO223" s="22"/>
      <c r="AP223" s="51"/>
      <c r="AQ223" s="12"/>
      <c r="AR223" s="12"/>
      <c r="AS223" s="12"/>
      <c r="AT223" s="12"/>
      <c r="AU223" s="12"/>
      <c r="AV223" s="2"/>
    </row>
    <row r="224" spans="1:48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12"/>
      <c r="J224" s="2"/>
      <c r="K224" s="2"/>
      <c r="L224" s="2"/>
      <c r="M224" s="2"/>
      <c r="N224" s="2"/>
      <c r="O224" s="3"/>
      <c r="Q224" s="12"/>
      <c r="R224" s="12"/>
      <c r="S224" s="12"/>
      <c r="T224" s="12"/>
      <c r="U224" s="12"/>
      <c r="V224" s="12"/>
      <c r="W224" s="12"/>
      <c r="X224" s="12"/>
      <c r="Y224" s="2"/>
      <c r="Z224" s="2"/>
      <c r="AA224" s="2"/>
      <c r="AB224" s="2"/>
      <c r="AC224" s="2"/>
      <c r="AD224" s="2"/>
      <c r="AE224" s="2"/>
      <c r="AF224" s="2"/>
      <c r="AG224" s="32"/>
      <c r="AH224" s="7"/>
      <c r="AI224" s="7"/>
      <c r="AJ224" s="2"/>
      <c r="AK224" s="4"/>
      <c r="AL224" s="22"/>
      <c r="AM224" s="2"/>
      <c r="AN224" s="49"/>
      <c r="AO224" s="22"/>
      <c r="AP224" s="51"/>
      <c r="AQ224" s="12"/>
      <c r="AR224" s="12"/>
      <c r="AS224" s="12"/>
      <c r="AT224" s="12"/>
      <c r="AU224" s="12"/>
      <c r="AV224" s="2"/>
    </row>
    <row r="225" spans="1:48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12"/>
      <c r="J225" s="2"/>
      <c r="K225" s="2"/>
      <c r="L225" s="2"/>
      <c r="M225" s="2"/>
      <c r="N225" s="2"/>
      <c r="O225" s="3"/>
      <c r="Q225" s="12"/>
      <c r="R225" s="12"/>
      <c r="S225" s="12"/>
      <c r="T225" s="12"/>
      <c r="U225" s="12"/>
      <c r="V225" s="12"/>
      <c r="W225" s="12"/>
      <c r="X225" s="12"/>
      <c r="Y225" s="2"/>
      <c r="Z225" s="2"/>
      <c r="AA225" s="2"/>
      <c r="AB225" s="2"/>
      <c r="AC225" s="2"/>
      <c r="AD225" s="2"/>
      <c r="AE225" s="2"/>
      <c r="AF225" s="2"/>
      <c r="AG225" s="32"/>
      <c r="AH225" s="7"/>
      <c r="AI225" s="7"/>
      <c r="AJ225" s="2"/>
      <c r="AK225" s="4"/>
      <c r="AL225" s="22"/>
      <c r="AM225" s="2"/>
      <c r="AN225" s="49"/>
      <c r="AO225" s="22"/>
      <c r="AP225" s="51"/>
      <c r="AQ225" s="12"/>
      <c r="AR225" s="12"/>
      <c r="AS225" s="12"/>
      <c r="AT225" s="12"/>
      <c r="AU225" s="12"/>
      <c r="AV225" s="2"/>
    </row>
    <row r="226" spans="1:48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12"/>
      <c r="J226" s="2"/>
      <c r="K226" s="2"/>
      <c r="L226" s="2"/>
      <c r="M226" s="2"/>
      <c r="N226" s="2"/>
      <c r="O226" s="3"/>
      <c r="Q226" s="12"/>
      <c r="R226" s="12"/>
      <c r="S226" s="12"/>
      <c r="T226" s="12"/>
      <c r="U226" s="12"/>
      <c r="V226" s="12"/>
      <c r="W226" s="12"/>
      <c r="X226" s="12"/>
      <c r="Y226" s="2"/>
      <c r="Z226" s="2"/>
      <c r="AA226" s="2"/>
      <c r="AB226" s="2"/>
      <c r="AC226" s="2"/>
      <c r="AD226" s="2"/>
      <c r="AE226" s="2"/>
      <c r="AF226" s="2"/>
      <c r="AG226" s="32"/>
      <c r="AH226" s="7"/>
      <c r="AI226" s="7"/>
      <c r="AJ226" s="2"/>
      <c r="AK226" s="4"/>
      <c r="AL226" s="22"/>
      <c r="AM226" s="2"/>
      <c r="AN226" s="49"/>
      <c r="AO226" s="22"/>
      <c r="AP226" s="51"/>
      <c r="AQ226" s="12"/>
      <c r="AR226" s="12"/>
      <c r="AS226" s="12"/>
      <c r="AT226" s="12"/>
      <c r="AU226" s="12"/>
      <c r="AV226" s="2"/>
    </row>
    <row r="227" spans="1:48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12"/>
      <c r="J227" s="2"/>
      <c r="K227" s="2"/>
      <c r="L227" s="2"/>
      <c r="M227" s="2"/>
      <c r="N227" s="2"/>
      <c r="O227" s="3"/>
      <c r="Q227" s="12"/>
      <c r="R227" s="12"/>
      <c r="S227" s="12"/>
      <c r="T227" s="12"/>
      <c r="U227" s="12"/>
      <c r="V227" s="12"/>
      <c r="W227" s="12"/>
      <c r="X227" s="12"/>
      <c r="Y227" s="2"/>
      <c r="Z227" s="2"/>
      <c r="AA227" s="2"/>
      <c r="AB227" s="2"/>
      <c r="AC227" s="2"/>
      <c r="AD227" s="2"/>
      <c r="AE227" s="2"/>
      <c r="AF227" s="2"/>
      <c r="AG227" s="32"/>
      <c r="AH227" s="7"/>
      <c r="AI227" s="7"/>
      <c r="AJ227" s="2"/>
      <c r="AK227" s="4"/>
      <c r="AL227" s="22"/>
      <c r="AM227" s="2"/>
      <c r="AN227" s="49"/>
      <c r="AO227" s="22"/>
      <c r="AP227" s="51"/>
      <c r="AQ227" s="12"/>
      <c r="AR227" s="12"/>
      <c r="AS227" s="12"/>
      <c r="AT227" s="12"/>
      <c r="AU227" s="12"/>
      <c r="AV227" s="2"/>
    </row>
    <row r="228" spans="1:48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12"/>
      <c r="J228" s="2"/>
      <c r="K228" s="2"/>
      <c r="L228" s="2"/>
      <c r="M228" s="2"/>
      <c r="N228" s="2"/>
      <c r="O228" s="3"/>
      <c r="Q228" s="12"/>
      <c r="R228" s="12"/>
      <c r="S228" s="12"/>
      <c r="T228" s="12"/>
      <c r="U228" s="12"/>
      <c r="V228" s="12"/>
      <c r="W228" s="12"/>
      <c r="X228" s="12"/>
      <c r="Y228" s="2"/>
      <c r="Z228" s="2"/>
      <c r="AA228" s="2"/>
      <c r="AB228" s="2"/>
      <c r="AC228" s="2"/>
      <c r="AD228" s="2"/>
      <c r="AE228" s="2"/>
      <c r="AF228" s="2"/>
      <c r="AG228" s="32"/>
      <c r="AH228" s="7"/>
      <c r="AI228" s="7"/>
      <c r="AJ228" s="2"/>
      <c r="AK228" s="4"/>
      <c r="AL228" s="22"/>
      <c r="AM228" s="2"/>
      <c r="AN228" s="49"/>
      <c r="AO228" s="22"/>
      <c r="AP228" s="51"/>
      <c r="AQ228" s="12"/>
      <c r="AR228" s="12"/>
      <c r="AS228" s="12"/>
      <c r="AT228" s="12"/>
      <c r="AU228" s="12"/>
      <c r="AV228" s="2"/>
    </row>
    <row r="229" spans="1:48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12"/>
      <c r="J229" s="2"/>
      <c r="K229" s="2"/>
      <c r="L229" s="2"/>
      <c r="M229" s="2"/>
      <c r="N229" s="2"/>
      <c r="O229" s="3"/>
      <c r="Q229" s="12"/>
      <c r="R229" s="12"/>
      <c r="S229" s="12"/>
      <c r="T229" s="12"/>
      <c r="U229" s="12"/>
      <c r="V229" s="12"/>
      <c r="W229" s="12"/>
      <c r="X229" s="12"/>
      <c r="Y229" s="2"/>
      <c r="Z229" s="2"/>
      <c r="AA229" s="2"/>
      <c r="AB229" s="2"/>
      <c r="AC229" s="2"/>
      <c r="AD229" s="2"/>
      <c r="AE229" s="2"/>
      <c r="AF229" s="2"/>
      <c r="AG229" s="32"/>
      <c r="AH229" s="7"/>
      <c r="AI229" s="7"/>
      <c r="AJ229" s="2"/>
      <c r="AK229" s="4"/>
      <c r="AL229" s="22"/>
      <c r="AM229" s="2"/>
      <c r="AN229" s="49"/>
      <c r="AO229" s="22"/>
      <c r="AP229" s="51"/>
      <c r="AQ229" s="12"/>
      <c r="AR229" s="12"/>
      <c r="AS229" s="12"/>
      <c r="AT229" s="12"/>
      <c r="AU229" s="12"/>
      <c r="AV229" s="2"/>
    </row>
    <row r="230" spans="1:48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12"/>
      <c r="J230" s="2"/>
      <c r="K230" s="2"/>
      <c r="L230" s="2"/>
      <c r="M230" s="2"/>
      <c r="N230" s="2"/>
      <c r="O230" s="3"/>
      <c r="Q230" s="12"/>
      <c r="R230" s="12"/>
      <c r="S230" s="12"/>
      <c r="T230" s="12"/>
      <c r="U230" s="12"/>
      <c r="V230" s="12"/>
      <c r="W230" s="12"/>
      <c r="X230" s="12"/>
      <c r="Y230" s="2"/>
      <c r="Z230" s="2"/>
      <c r="AA230" s="2"/>
      <c r="AB230" s="2"/>
      <c r="AC230" s="2"/>
      <c r="AD230" s="2"/>
      <c r="AE230" s="2"/>
      <c r="AF230" s="2"/>
      <c r="AG230" s="32"/>
      <c r="AH230" s="7"/>
      <c r="AI230" s="7"/>
      <c r="AJ230" s="2"/>
      <c r="AK230" s="4"/>
      <c r="AL230" s="22"/>
      <c r="AM230" s="2"/>
      <c r="AN230" s="49"/>
      <c r="AO230" s="22"/>
      <c r="AP230" s="51"/>
      <c r="AQ230" s="12"/>
      <c r="AR230" s="12"/>
      <c r="AS230" s="12"/>
      <c r="AT230" s="12"/>
      <c r="AU230" s="12"/>
      <c r="AV230" s="2"/>
    </row>
    <row r="231" spans="1:48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12"/>
      <c r="J231" s="2"/>
      <c r="K231" s="2"/>
      <c r="L231" s="2"/>
      <c r="M231" s="2"/>
      <c r="N231" s="2"/>
      <c r="O231" s="3"/>
      <c r="Q231" s="12"/>
      <c r="R231" s="12"/>
      <c r="S231" s="12"/>
      <c r="T231" s="12"/>
      <c r="U231" s="12"/>
      <c r="V231" s="12"/>
      <c r="W231" s="12"/>
      <c r="X231" s="12"/>
      <c r="Y231" s="2"/>
      <c r="Z231" s="2"/>
      <c r="AA231" s="2"/>
      <c r="AB231" s="2"/>
      <c r="AC231" s="2"/>
      <c r="AD231" s="2"/>
      <c r="AE231" s="2"/>
      <c r="AF231" s="2"/>
      <c r="AG231" s="32"/>
      <c r="AH231" s="7"/>
      <c r="AI231" s="7"/>
      <c r="AJ231" s="2"/>
      <c r="AK231" s="4"/>
      <c r="AL231" s="22"/>
      <c r="AM231" s="2"/>
      <c r="AN231" s="49"/>
      <c r="AO231" s="22"/>
      <c r="AP231" s="51"/>
      <c r="AQ231" s="12"/>
      <c r="AR231" s="12"/>
      <c r="AS231" s="12"/>
      <c r="AT231" s="12"/>
      <c r="AU231" s="12"/>
      <c r="AV231" s="2"/>
    </row>
    <row r="232" spans="1:48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12"/>
      <c r="J232" s="2"/>
      <c r="K232" s="2"/>
      <c r="L232" s="2"/>
      <c r="M232" s="2"/>
      <c r="N232" s="2"/>
      <c r="O232" s="3"/>
      <c r="Q232" s="12"/>
      <c r="R232" s="12"/>
      <c r="S232" s="12"/>
      <c r="T232" s="12"/>
      <c r="U232" s="12"/>
      <c r="V232" s="12"/>
      <c r="W232" s="12"/>
      <c r="X232" s="12"/>
      <c r="Y232" s="2"/>
      <c r="Z232" s="2"/>
      <c r="AA232" s="2"/>
      <c r="AB232" s="2"/>
      <c r="AC232" s="2"/>
      <c r="AD232" s="2"/>
      <c r="AE232" s="2"/>
      <c r="AF232" s="2"/>
      <c r="AG232" s="32"/>
      <c r="AH232" s="7"/>
      <c r="AI232" s="7"/>
      <c r="AJ232" s="2"/>
      <c r="AK232" s="4"/>
      <c r="AL232" s="22"/>
      <c r="AM232" s="2"/>
      <c r="AN232" s="49"/>
      <c r="AO232" s="22"/>
      <c r="AP232" s="51"/>
      <c r="AQ232" s="12"/>
      <c r="AR232" s="12"/>
      <c r="AS232" s="12"/>
      <c r="AT232" s="12"/>
      <c r="AU232" s="12"/>
      <c r="AV232" s="2"/>
    </row>
    <row r="233" spans="1:48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12"/>
      <c r="J233" s="2"/>
      <c r="K233" s="2"/>
      <c r="L233" s="2"/>
      <c r="M233" s="2"/>
      <c r="N233" s="2"/>
      <c r="O233" s="3"/>
      <c r="Q233" s="12"/>
      <c r="R233" s="12"/>
      <c r="S233" s="12"/>
      <c r="T233" s="12"/>
      <c r="U233" s="12"/>
      <c r="V233" s="12"/>
      <c r="W233" s="12"/>
      <c r="X233" s="12"/>
      <c r="Y233" s="2"/>
      <c r="Z233" s="2"/>
      <c r="AA233" s="2"/>
      <c r="AB233" s="2"/>
      <c r="AC233" s="2"/>
      <c r="AD233" s="2"/>
      <c r="AE233" s="2"/>
      <c r="AF233" s="2"/>
      <c r="AG233" s="32"/>
      <c r="AH233" s="7"/>
      <c r="AI233" s="7"/>
      <c r="AJ233" s="2"/>
      <c r="AK233" s="4"/>
      <c r="AL233" s="22"/>
      <c r="AM233" s="2"/>
      <c r="AN233" s="49"/>
      <c r="AO233" s="22"/>
      <c r="AP233" s="51"/>
      <c r="AQ233" s="12"/>
      <c r="AR233" s="12"/>
      <c r="AS233" s="12"/>
      <c r="AT233" s="12"/>
      <c r="AU233" s="12"/>
      <c r="AV233" s="2"/>
    </row>
    <row r="234" spans="1:48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12"/>
      <c r="J234" s="2"/>
      <c r="K234" s="2"/>
      <c r="L234" s="2"/>
      <c r="M234" s="2"/>
      <c r="N234" s="2"/>
      <c r="O234" s="3"/>
      <c r="Q234" s="12"/>
      <c r="R234" s="12"/>
      <c r="S234" s="12"/>
      <c r="T234" s="12"/>
      <c r="U234" s="12"/>
      <c r="V234" s="12"/>
      <c r="W234" s="12"/>
      <c r="X234" s="12"/>
      <c r="Y234" s="2"/>
      <c r="Z234" s="2"/>
      <c r="AA234" s="2"/>
      <c r="AB234" s="2"/>
      <c r="AC234" s="2"/>
      <c r="AD234" s="2"/>
      <c r="AE234" s="2"/>
      <c r="AF234" s="2"/>
      <c r="AG234" s="32"/>
      <c r="AH234" s="7"/>
      <c r="AI234" s="7"/>
      <c r="AJ234" s="2"/>
      <c r="AK234" s="4"/>
      <c r="AL234" s="22"/>
      <c r="AM234" s="2"/>
      <c r="AN234" s="49"/>
      <c r="AO234" s="22"/>
      <c r="AP234" s="51"/>
      <c r="AQ234" s="12"/>
      <c r="AR234" s="12"/>
      <c r="AS234" s="12"/>
      <c r="AT234" s="12"/>
      <c r="AU234" s="12"/>
      <c r="AV234" s="2"/>
    </row>
    <row r="235" spans="1:48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12"/>
      <c r="J235" s="2"/>
      <c r="K235" s="2"/>
      <c r="L235" s="2"/>
      <c r="M235" s="2"/>
      <c r="N235" s="2"/>
      <c r="O235" s="3"/>
      <c r="Q235" s="12"/>
      <c r="R235" s="12"/>
      <c r="S235" s="12"/>
      <c r="T235" s="12"/>
      <c r="U235" s="12"/>
      <c r="V235" s="12"/>
      <c r="W235" s="12"/>
      <c r="X235" s="12"/>
      <c r="Y235" s="2"/>
      <c r="Z235" s="2"/>
      <c r="AA235" s="2"/>
      <c r="AB235" s="2"/>
      <c r="AC235" s="2"/>
      <c r="AD235" s="2"/>
      <c r="AE235" s="2"/>
      <c r="AF235" s="2"/>
      <c r="AG235" s="32"/>
      <c r="AH235" s="7"/>
      <c r="AI235" s="7"/>
      <c r="AJ235" s="2"/>
      <c r="AK235" s="4"/>
      <c r="AL235" s="22"/>
      <c r="AM235" s="2"/>
      <c r="AN235" s="49"/>
      <c r="AO235" s="22"/>
      <c r="AP235" s="51"/>
      <c r="AQ235" s="12"/>
      <c r="AR235" s="12"/>
      <c r="AS235" s="12"/>
      <c r="AT235" s="12"/>
      <c r="AU235" s="12"/>
      <c r="AV235" s="2"/>
    </row>
    <row r="236" spans="1:48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12"/>
      <c r="J236" s="2"/>
      <c r="K236" s="2"/>
      <c r="L236" s="2"/>
      <c r="M236" s="2"/>
      <c r="N236" s="2"/>
      <c r="O236" s="3"/>
      <c r="Q236" s="12"/>
      <c r="R236" s="12"/>
      <c r="S236" s="12"/>
      <c r="T236" s="12"/>
      <c r="U236" s="12"/>
      <c r="V236" s="12"/>
      <c r="W236" s="12"/>
      <c r="X236" s="12"/>
      <c r="Y236" s="2"/>
      <c r="Z236" s="2"/>
      <c r="AA236" s="2"/>
      <c r="AB236" s="2"/>
      <c r="AC236" s="2"/>
      <c r="AD236" s="2"/>
      <c r="AE236" s="2"/>
      <c r="AF236" s="2"/>
      <c r="AG236" s="32"/>
      <c r="AH236" s="7"/>
      <c r="AI236" s="7"/>
      <c r="AJ236" s="2"/>
      <c r="AK236" s="4"/>
      <c r="AL236" s="22"/>
      <c r="AM236" s="2"/>
      <c r="AN236" s="49"/>
      <c r="AO236" s="22"/>
      <c r="AP236" s="51"/>
      <c r="AQ236" s="12"/>
      <c r="AR236" s="12"/>
      <c r="AS236" s="12"/>
      <c r="AT236" s="12"/>
      <c r="AU236" s="12"/>
      <c r="AV236" s="2"/>
    </row>
    <row r="237" spans="1:48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12"/>
      <c r="J237" s="2"/>
      <c r="K237" s="2"/>
      <c r="L237" s="2"/>
      <c r="M237" s="2"/>
      <c r="N237" s="2"/>
      <c r="O237" s="3"/>
      <c r="Q237" s="12"/>
      <c r="R237" s="12"/>
      <c r="S237" s="12"/>
      <c r="T237" s="12"/>
      <c r="U237" s="12"/>
      <c r="V237" s="12"/>
      <c r="W237" s="12"/>
      <c r="X237" s="12"/>
      <c r="Y237" s="2"/>
      <c r="Z237" s="2"/>
      <c r="AA237" s="2"/>
      <c r="AB237" s="2"/>
      <c r="AC237" s="2"/>
      <c r="AD237" s="2"/>
      <c r="AE237" s="2"/>
      <c r="AF237" s="2"/>
      <c r="AG237" s="32"/>
      <c r="AH237" s="7"/>
      <c r="AI237" s="7"/>
      <c r="AJ237" s="2"/>
      <c r="AK237" s="4"/>
      <c r="AL237" s="22"/>
      <c r="AM237" s="2"/>
      <c r="AN237" s="49"/>
      <c r="AO237" s="22"/>
      <c r="AP237" s="51"/>
      <c r="AQ237" s="12"/>
      <c r="AR237" s="12"/>
      <c r="AS237" s="12"/>
      <c r="AT237" s="12"/>
      <c r="AU237" s="12"/>
      <c r="AV237" s="2"/>
    </row>
    <row r="238" spans="1:48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12"/>
      <c r="J238" s="2"/>
      <c r="K238" s="2"/>
      <c r="L238" s="2"/>
      <c r="M238" s="2"/>
      <c r="N238" s="2"/>
      <c r="O238" s="3"/>
      <c r="Q238" s="12"/>
      <c r="R238" s="12"/>
      <c r="S238" s="12"/>
      <c r="T238" s="12"/>
      <c r="U238" s="12"/>
      <c r="V238" s="12"/>
      <c r="W238" s="12"/>
      <c r="X238" s="12"/>
      <c r="Y238" s="2"/>
      <c r="Z238" s="2"/>
      <c r="AA238" s="2"/>
      <c r="AB238" s="2"/>
      <c r="AC238" s="2"/>
      <c r="AD238" s="2"/>
      <c r="AE238" s="2"/>
      <c r="AF238" s="2"/>
      <c r="AG238" s="32"/>
      <c r="AH238" s="7"/>
      <c r="AI238" s="7"/>
      <c r="AJ238" s="2"/>
      <c r="AK238" s="4"/>
      <c r="AL238" s="22"/>
      <c r="AM238" s="2"/>
      <c r="AN238" s="49"/>
      <c r="AO238" s="22"/>
      <c r="AP238" s="51"/>
      <c r="AQ238" s="12"/>
      <c r="AR238" s="12"/>
      <c r="AS238" s="12"/>
      <c r="AT238" s="12"/>
      <c r="AU238" s="12"/>
      <c r="AV238" s="2"/>
    </row>
    <row r="239" spans="1:48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12"/>
      <c r="J239" s="2"/>
      <c r="K239" s="2"/>
      <c r="L239" s="2"/>
      <c r="M239" s="2"/>
      <c r="N239" s="2"/>
      <c r="O239" s="3"/>
      <c r="Q239" s="12"/>
      <c r="R239" s="12"/>
      <c r="S239" s="12"/>
      <c r="T239" s="12"/>
      <c r="U239" s="12"/>
      <c r="V239" s="12"/>
      <c r="W239" s="12"/>
      <c r="X239" s="12"/>
      <c r="Y239" s="2"/>
      <c r="Z239" s="2"/>
      <c r="AA239" s="2"/>
      <c r="AB239" s="2"/>
      <c r="AC239" s="2"/>
      <c r="AD239" s="2"/>
      <c r="AE239" s="2"/>
      <c r="AF239" s="2"/>
      <c r="AG239" s="32"/>
      <c r="AH239" s="7"/>
      <c r="AI239" s="7"/>
      <c r="AJ239" s="2"/>
      <c r="AK239" s="4"/>
      <c r="AL239" s="22"/>
      <c r="AM239" s="2"/>
      <c r="AN239" s="49"/>
      <c r="AO239" s="22"/>
      <c r="AP239" s="51"/>
      <c r="AQ239" s="12"/>
      <c r="AR239" s="12"/>
      <c r="AS239" s="12"/>
      <c r="AT239" s="12"/>
      <c r="AU239" s="12"/>
      <c r="AV239" s="2"/>
    </row>
    <row r="240" spans="1:48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12"/>
      <c r="J240" s="2"/>
      <c r="K240" s="2"/>
      <c r="L240" s="2"/>
      <c r="M240" s="2"/>
      <c r="N240" s="2"/>
      <c r="O240" s="3"/>
      <c r="Q240" s="12"/>
      <c r="R240" s="12"/>
      <c r="S240" s="12"/>
      <c r="T240" s="12"/>
      <c r="U240" s="12"/>
      <c r="V240" s="12"/>
      <c r="W240" s="12"/>
      <c r="X240" s="12"/>
      <c r="Y240" s="2"/>
      <c r="Z240" s="2"/>
      <c r="AA240" s="2"/>
      <c r="AB240" s="2"/>
      <c r="AC240" s="2"/>
      <c r="AD240" s="2"/>
      <c r="AE240" s="2"/>
      <c r="AF240" s="2"/>
      <c r="AG240" s="32"/>
      <c r="AH240" s="7"/>
      <c r="AI240" s="7"/>
      <c r="AJ240" s="2"/>
      <c r="AK240" s="4"/>
      <c r="AL240" s="22"/>
      <c r="AM240" s="2"/>
      <c r="AN240" s="49"/>
      <c r="AO240" s="22"/>
      <c r="AP240" s="51"/>
      <c r="AQ240" s="12"/>
      <c r="AR240" s="12"/>
      <c r="AS240" s="12"/>
      <c r="AT240" s="12"/>
      <c r="AU240" s="12"/>
      <c r="AV240" s="2"/>
    </row>
    <row r="241" spans="1:48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12"/>
      <c r="J241" s="2"/>
      <c r="K241" s="2"/>
      <c r="L241" s="2"/>
      <c r="M241" s="2"/>
      <c r="N241" s="2"/>
      <c r="O241" s="3"/>
      <c r="Q241" s="12"/>
      <c r="R241" s="12"/>
      <c r="S241" s="12"/>
      <c r="T241" s="12"/>
      <c r="U241" s="12"/>
      <c r="V241" s="12"/>
      <c r="W241" s="12"/>
      <c r="X241" s="12"/>
      <c r="Y241" s="2"/>
      <c r="Z241" s="2"/>
      <c r="AA241" s="2"/>
      <c r="AB241" s="2"/>
      <c r="AC241" s="2"/>
      <c r="AD241" s="2"/>
      <c r="AE241" s="2"/>
      <c r="AF241" s="2"/>
      <c r="AG241" s="32"/>
      <c r="AH241" s="7"/>
      <c r="AI241" s="7"/>
      <c r="AJ241" s="2"/>
      <c r="AK241" s="4"/>
      <c r="AL241" s="22"/>
      <c r="AM241" s="2"/>
      <c r="AN241" s="49"/>
      <c r="AO241" s="22"/>
      <c r="AP241" s="51"/>
      <c r="AQ241" s="12"/>
      <c r="AR241" s="12"/>
      <c r="AS241" s="12"/>
      <c r="AT241" s="12"/>
      <c r="AU241" s="12"/>
      <c r="AV241" s="2"/>
    </row>
    <row r="242" spans="1:48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12"/>
      <c r="J242" s="2"/>
      <c r="K242" s="2"/>
      <c r="L242" s="2"/>
      <c r="M242" s="2"/>
      <c r="N242" s="2"/>
      <c r="O242" s="3"/>
      <c r="Q242" s="12"/>
      <c r="R242" s="12"/>
      <c r="S242" s="12"/>
      <c r="T242" s="12"/>
      <c r="U242" s="12"/>
      <c r="V242" s="12"/>
      <c r="W242" s="12"/>
      <c r="X242" s="12"/>
      <c r="Y242" s="2"/>
      <c r="Z242" s="2"/>
      <c r="AA242" s="2"/>
      <c r="AB242" s="2"/>
      <c r="AC242" s="2"/>
      <c r="AD242" s="2"/>
      <c r="AE242" s="2"/>
      <c r="AF242" s="2"/>
      <c r="AG242" s="32"/>
      <c r="AH242" s="7"/>
      <c r="AI242" s="7"/>
      <c r="AJ242" s="2"/>
      <c r="AK242" s="4"/>
      <c r="AL242" s="22"/>
      <c r="AM242" s="2"/>
      <c r="AN242" s="49"/>
      <c r="AO242" s="22"/>
      <c r="AP242" s="51"/>
      <c r="AQ242" s="12"/>
      <c r="AR242" s="12"/>
      <c r="AS242" s="12"/>
      <c r="AT242" s="12"/>
      <c r="AU242" s="12"/>
      <c r="AV242" s="2"/>
    </row>
    <row r="243" spans="1:48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12"/>
      <c r="J243" s="2"/>
      <c r="K243" s="2"/>
      <c r="L243" s="2"/>
      <c r="M243" s="2"/>
      <c r="N243" s="2"/>
      <c r="O243" s="3"/>
      <c r="Q243" s="12"/>
      <c r="R243" s="12"/>
      <c r="S243" s="12"/>
      <c r="T243" s="12"/>
      <c r="U243" s="12"/>
      <c r="V243" s="12"/>
      <c r="W243" s="12"/>
      <c r="X243" s="12"/>
      <c r="Y243" s="2"/>
      <c r="Z243" s="2"/>
      <c r="AA243" s="2"/>
      <c r="AB243" s="2"/>
      <c r="AC243" s="2"/>
      <c r="AD243" s="2"/>
      <c r="AE243" s="2"/>
      <c r="AF243" s="2"/>
      <c r="AG243" s="32"/>
      <c r="AH243" s="7"/>
      <c r="AI243" s="7"/>
      <c r="AJ243" s="2"/>
      <c r="AK243" s="4"/>
      <c r="AL243" s="22"/>
      <c r="AM243" s="2"/>
      <c r="AN243" s="49"/>
      <c r="AO243" s="22"/>
      <c r="AP243" s="51"/>
      <c r="AQ243" s="12"/>
      <c r="AR243" s="12"/>
      <c r="AS243" s="12"/>
      <c r="AT243" s="12"/>
      <c r="AU243" s="12"/>
      <c r="AV243" s="2"/>
    </row>
    <row r="244" spans="1:48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12"/>
      <c r="J244" s="2"/>
      <c r="K244" s="2"/>
      <c r="L244" s="2"/>
      <c r="M244" s="2"/>
      <c r="N244" s="2"/>
      <c r="O244" s="3"/>
      <c r="Q244" s="12"/>
      <c r="R244" s="12"/>
      <c r="S244" s="12"/>
      <c r="T244" s="12"/>
      <c r="U244" s="12"/>
      <c r="V244" s="12"/>
      <c r="W244" s="12"/>
      <c r="X244" s="12"/>
      <c r="Y244" s="2"/>
      <c r="Z244" s="2"/>
      <c r="AA244" s="2"/>
      <c r="AB244" s="2"/>
      <c r="AC244" s="2"/>
      <c r="AD244" s="2"/>
      <c r="AE244" s="2"/>
      <c r="AF244" s="2"/>
      <c r="AG244" s="32"/>
      <c r="AH244" s="7"/>
      <c r="AI244" s="7"/>
      <c r="AJ244" s="2"/>
      <c r="AK244" s="4"/>
      <c r="AL244" s="22"/>
      <c r="AM244" s="2"/>
      <c r="AN244" s="49"/>
      <c r="AO244" s="22"/>
      <c r="AP244" s="51"/>
      <c r="AQ244" s="12"/>
      <c r="AR244" s="12"/>
      <c r="AS244" s="12"/>
      <c r="AT244" s="12"/>
      <c r="AU244" s="12"/>
      <c r="AV244" s="2"/>
    </row>
    <row r="245" spans="1:48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12"/>
      <c r="J245" s="2"/>
      <c r="K245" s="2"/>
      <c r="L245" s="2"/>
      <c r="M245" s="2"/>
      <c r="N245" s="2"/>
      <c r="O245" s="3"/>
      <c r="Q245" s="12"/>
      <c r="R245" s="12"/>
      <c r="S245" s="12"/>
      <c r="T245" s="12"/>
      <c r="U245" s="12"/>
      <c r="V245" s="12"/>
      <c r="W245" s="12"/>
      <c r="X245" s="12"/>
      <c r="Y245" s="2"/>
      <c r="Z245" s="2"/>
      <c r="AA245" s="2"/>
      <c r="AB245" s="2"/>
      <c r="AC245" s="2"/>
      <c r="AD245" s="2"/>
      <c r="AE245" s="2"/>
      <c r="AF245" s="2"/>
      <c r="AG245" s="32"/>
      <c r="AH245" s="7"/>
      <c r="AI245" s="7"/>
      <c r="AJ245" s="2"/>
      <c r="AK245" s="4"/>
      <c r="AL245" s="22"/>
      <c r="AM245" s="2"/>
      <c r="AN245" s="49"/>
      <c r="AO245" s="22"/>
      <c r="AP245" s="51"/>
      <c r="AQ245" s="12"/>
      <c r="AR245" s="12"/>
      <c r="AS245" s="12"/>
      <c r="AT245" s="12"/>
      <c r="AU245" s="12"/>
      <c r="AV245" s="2"/>
    </row>
    <row r="246" spans="1:48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12"/>
      <c r="J246" s="2"/>
      <c r="K246" s="2"/>
      <c r="L246" s="2"/>
      <c r="M246" s="2"/>
      <c r="N246" s="2"/>
      <c r="O246" s="3"/>
      <c r="Q246" s="12"/>
      <c r="R246" s="12"/>
      <c r="S246" s="12"/>
      <c r="T246" s="12"/>
      <c r="U246" s="12"/>
      <c r="V246" s="12"/>
      <c r="W246" s="12"/>
      <c r="X246" s="12"/>
      <c r="Y246" s="2"/>
      <c r="Z246" s="2"/>
      <c r="AA246" s="2"/>
      <c r="AB246" s="2"/>
      <c r="AC246" s="2"/>
      <c r="AD246" s="2"/>
      <c r="AE246" s="2"/>
      <c r="AF246" s="2"/>
      <c r="AG246" s="32"/>
      <c r="AH246" s="7"/>
      <c r="AI246" s="7"/>
      <c r="AJ246" s="2"/>
      <c r="AK246" s="4"/>
      <c r="AL246" s="22"/>
      <c r="AM246" s="2"/>
      <c r="AN246" s="49"/>
      <c r="AO246" s="22"/>
      <c r="AP246" s="51"/>
      <c r="AQ246" s="12"/>
      <c r="AR246" s="12"/>
      <c r="AS246" s="12"/>
      <c r="AT246" s="12"/>
      <c r="AU246" s="12"/>
      <c r="AV246" s="2"/>
    </row>
    <row r="247" spans="1:48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12"/>
      <c r="J247" s="2"/>
      <c r="K247" s="2"/>
      <c r="L247" s="2"/>
      <c r="M247" s="2"/>
      <c r="N247" s="2"/>
      <c r="O247" s="3"/>
      <c r="Q247" s="12"/>
      <c r="R247" s="12"/>
      <c r="S247" s="12"/>
      <c r="T247" s="12"/>
      <c r="U247" s="12"/>
      <c r="V247" s="12"/>
      <c r="W247" s="12"/>
      <c r="X247" s="12"/>
      <c r="Y247" s="2"/>
      <c r="Z247" s="2"/>
      <c r="AA247" s="2"/>
      <c r="AB247" s="2"/>
      <c r="AC247" s="2"/>
      <c r="AD247" s="2"/>
      <c r="AE247" s="2"/>
      <c r="AF247" s="2"/>
      <c r="AG247" s="32"/>
      <c r="AH247" s="7"/>
      <c r="AI247" s="7"/>
      <c r="AJ247" s="2"/>
      <c r="AK247" s="4"/>
      <c r="AL247" s="22"/>
      <c r="AM247" s="2"/>
      <c r="AN247" s="49"/>
      <c r="AO247" s="22"/>
      <c r="AP247" s="51"/>
      <c r="AQ247" s="12"/>
      <c r="AR247" s="12"/>
      <c r="AS247" s="12"/>
      <c r="AT247" s="12"/>
      <c r="AU247" s="12"/>
      <c r="AV247" s="2"/>
    </row>
    <row r="248" spans="1:48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12"/>
      <c r="J248" s="2"/>
      <c r="K248" s="2"/>
      <c r="L248" s="2"/>
      <c r="M248" s="2"/>
      <c r="N248" s="2"/>
      <c r="O248" s="3"/>
      <c r="Q248" s="12"/>
      <c r="R248" s="12"/>
      <c r="S248" s="12"/>
      <c r="T248" s="12"/>
      <c r="U248" s="12"/>
      <c r="V248" s="12"/>
      <c r="W248" s="12"/>
      <c r="X248" s="12"/>
      <c r="Y248" s="2"/>
      <c r="Z248" s="2"/>
      <c r="AA248" s="2"/>
      <c r="AB248" s="2"/>
      <c r="AC248" s="2"/>
      <c r="AD248" s="2"/>
      <c r="AE248" s="2"/>
      <c r="AF248" s="2"/>
      <c r="AG248" s="32"/>
      <c r="AH248" s="7"/>
      <c r="AI248" s="7"/>
      <c r="AJ248" s="2"/>
      <c r="AK248" s="4"/>
      <c r="AL248" s="22"/>
      <c r="AM248" s="2"/>
      <c r="AN248" s="49"/>
      <c r="AO248" s="22"/>
      <c r="AP248" s="51"/>
      <c r="AQ248" s="12"/>
      <c r="AR248" s="12"/>
      <c r="AS248" s="12"/>
      <c r="AT248" s="12"/>
      <c r="AU248" s="12"/>
      <c r="AV248" s="2"/>
    </row>
    <row r="249" spans="1:48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12"/>
      <c r="J249" s="2"/>
      <c r="K249" s="2"/>
      <c r="L249" s="2"/>
      <c r="M249" s="2"/>
      <c r="N249" s="2"/>
      <c r="O249" s="3"/>
      <c r="Q249" s="12"/>
      <c r="R249" s="12"/>
      <c r="S249" s="12"/>
      <c r="T249" s="12"/>
      <c r="U249" s="12"/>
      <c r="V249" s="12"/>
      <c r="W249" s="12"/>
      <c r="X249" s="12"/>
      <c r="Y249" s="2"/>
      <c r="Z249" s="2"/>
      <c r="AA249" s="2"/>
      <c r="AB249" s="2"/>
      <c r="AC249" s="2"/>
      <c r="AD249" s="2"/>
      <c r="AE249" s="2"/>
      <c r="AF249" s="2"/>
      <c r="AG249" s="32"/>
      <c r="AH249" s="7"/>
      <c r="AI249" s="7"/>
      <c r="AJ249" s="2"/>
      <c r="AK249" s="4"/>
      <c r="AL249" s="22"/>
      <c r="AM249" s="2"/>
      <c r="AN249" s="49"/>
      <c r="AO249" s="22"/>
      <c r="AP249" s="51"/>
      <c r="AQ249" s="12"/>
      <c r="AR249" s="12"/>
      <c r="AS249" s="12"/>
      <c r="AT249" s="12"/>
      <c r="AU249" s="12"/>
      <c r="AV249" s="2"/>
    </row>
    <row r="250" spans="1:48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12"/>
      <c r="J250" s="2"/>
      <c r="K250" s="2"/>
      <c r="L250" s="2"/>
      <c r="M250" s="2"/>
      <c r="N250" s="2"/>
      <c r="O250" s="3"/>
      <c r="Q250" s="12"/>
      <c r="R250" s="12"/>
      <c r="S250" s="12"/>
      <c r="T250" s="12"/>
      <c r="U250" s="12"/>
      <c r="V250" s="12"/>
      <c r="W250" s="12"/>
      <c r="X250" s="12"/>
      <c r="Y250" s="2"/>
      <c r="Z250" s="2"/>
      <c r="AA250" s="2"/>
      <c r="AB250" s="2"/>
      <c r="AC250" s="2"/>
      <c r="AD250" s="2"/>
      <c r="AE250" s="2"/>
      <c r="AF250" s="2"/>
      <c r="AG250" s="32"/>
      <c r="AH250" s="7"/>
      <c r="AI250" s="7"/>
      <c r="AJ250" s="2"/>
      <c r="AK250" s="4"/>
      <c r="AL250" s="22"/>
      <c r="AM250" s="2"/>
      <c r="AN250" s="49"/>
      <c r="AO250" s="22"/>
      <c r="AP250" s="51"/>
      <c r="AQ250" s="12"/>
      <c r="AR250" s="12"/>
      <c r="AS250" s="12"/>
      <c r="AT250" s="12"/>
      <c r="AU250" s="12"/>
      <c r="AV250" s="2"/>
    </row>
    <row r="251" spans="1:48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12"/>
      <c r="J251" s="2"/>
      <c r="K251" s="2"/>
      <c r="L251" s="2"/>
      <c r="M251" s="2"/>
      <c r="N251" s="2"/>
      <c r="O251" s="3"/>
      <c r="Q251" s="12"/>
      <c r="R251" s="12"/>
      <c r="S251" s="12"/>
      <c r="T251" s="12"/>
      <c r="U251" s="12"/>
      <c r="V251" s="12"/>
      <c r="W251" s="12"/>
      <c r="X251" s="12"/>
      <c r="Y251" s="2"/>
      <c r="Z251" s="2"/>
      <c r="AA251" s="2"/>
      <c r="AB251" s="2"/>
      <c r="AC251" s="2"/>
      <c r="AD251" s="2"/>
      <c r="AE251" s="2"/>
      <c r="AF251" s="2"/>
      <c r="AG251" s="32"/>
      <c r="AH251" s="7"/>
      <c r="AI251" s="7"/>
      <c r="AJ251" s="2"/>
      <c r="AK251" s="4"/>
      <c r="AL251" s="22"/>
      <c r="AM251" s="2"/>
      <c r="AN251" s="49"/>
      <c r="AO251" s="22"/>
      <c r="AP251" s="51"/>
      <c r="AQ251" s="12"/>
      <c r="AR251" s="12"/>
      <c r="AS251" s="12"/>
      <c r="AT251" s="12"/>
      <c r="AU251" s="12"/>
      <c r="AV251" s="2"/>
    </row>
    <row r="252" spans="1:48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12"/>
      <c r="J252" s="2"/>
      <c r="K252" s="2"/>
      <c r="L252" s="2"/>
      <c r="M252" s="2"/>
      <c r="N252" s="2"/>
      <c r="O252" s="3"/>
      <c r="Q252" s="12"/>
      <c r="R252" s="12"/>
      <c r="S252" s="12"/>
      <c r="T252" s="12"/>
      <c r="U252" s="12"/>
      <c r="V252" s="12"/>
      <c r="W252" s="12"/>
      <c r="X252" s="12"/>
      <c r="Y252" s="2"/>
      <c r="Z252" s="2"/>
      <c r="AA252" s="2"/>
      <c r="AB252" s="2"/>
      <c r="AC252" s="2"/>
      <c r="AD252" s="2"/>
      <c r="AE252" s="2"/>
      <c r="AF252" s="2"/>
      <c r="AG252" s="32"/>
      <c r="AH252" s="7"/>
      <c r="AI252" s="7"/>
      <c r="AJ252" s="2"/>
      <c r="AK252" s="4"/>
      <c r="AL252" s="22"/>
      <c r="AM252" s="2"/>
      <c r="AN252" s="49"/>
      <c r="AO252" s="22"/>
      <c r="AP252" s="51"/>
      <c r="AQ252" s="12"/>
      <c r="AR252" s="12"/>
      <c r="AS252" s="12"/>
      <c r="AT252" s="12"/>
      <c r="AU252" s="12"/>
      <c r="AV252" s="2"/>
    </row>
    <row r="253" spans="1:48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12"/>
      <c r="J253" s="2"/>
      <c r="K253" s="2"/>
      <c r="L253" s="2"/>
      <c r="M253" s="2"/>
      <c r="N253" s="2"/>
      <c r="O253" s="3"/>
      <c r="Q253" s="12"/>
      <c r="R253" s="12"/>
      <c r="S253" s="12"/>
      <c r="T253" s="12"/>
      <c r="U253" s="12"/>
      <c r="V253" s="12"/>
      <c r="W253" s="12"/>
      <c r="X253" s="12"/>
      <c r="Y253" s="2"/>
      <c r="Z253" s="2"/>
      <c r="AA253" s="2"/>
      <c r="AB253" s="2"/>
      <c r="AC253" s="2"/>
      <c r="AD253" s="2"/>
      <c r="AE253" s="2"/>
      <c r="AF253" s="2"/>
      <c r="AG253" s="32"/>
      <c r="AH253" s="7"/>
      <c r="AI253" s="7"/>
      <c r="AJ253" s="2"/>
      <c r="AK253" s="4"/>
      <c r="AL253" s="22"/>
      <c r="AM253" s="2"/>
      <c r="AN253" s="49"/>
      <c r="AO253" s="22"/>
      <c r="AP253" s="51"/>
      <c r="AQ253" s="12"/>
      <c r="AR253" s="12"/>
      <c r="AS253" s="12"/>
      <c r="AT253" s="12"/>
      <c r="AU253" s="12"/>
      <c r="AV253" s="2"/>
    </row>
    <row r="254" spans="1:48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12"/>
      <c r="J254" s="2"/>
      <c r="K254" s="2"/>
      <c r="L254" s="2"/>
      <c r="M254" s="2"/>
      <c r="N254" s="2"/>
      <c r="O254" s="3"/>
      <c r="Q254" s="12"/>
      <c r="R254" s="12"/>
      <c r="S254" s="12"/>
      <c r="T254" s="12"/>
      <c r="U254" s="12"/>
      <c r="V254" s="12"/>
      <c r="W254" s="12"/>
      <c r="X254" s="12"/>
      <c r="Y254" s="2"/>
      <c r="Z254" s="2"/>
      <c r="AA254" s="2"/>
      <c r="AB254" s="2"/>
      <c r="AC254" s="2"/>
      <c r="AD254" s="2"/>
      <c r="AE254" s="2"/>
      <c r="AF254" s="2"/>
      <c r="AG254" s="32"/>
      <c r="AH254" s="7"/>
      <c r="AI254" s="7"/>
      <c r="AJ254" s="2"/>
      <c r="AK254" s="4"/>
      <c r="AL254" s="22"/>
      <c r="AM254" s="2"/>
      <c r="AN254" s="49"/>
      <c r="AO254" s="22"/>
      <c r="AP254" s="51"/>
      <c r="AQ254" s="12"/>
      <c r="AR254" s="12"/>
      <c r="AS254" s="12"/>
      <c r="AT254" s="12"/>
      <c r="AU254" s="12"/>
      <c r="AV254" s="2"/>
    </row>
    <row r="255" spans="1:48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12"/>
      <c r="J255" s="2"/>
      <c r="K255" s="2"/>
      <c r="L255" s="2"/>
      <c r="M255" s="2"/>
      <c r="N255" s="2"/>
      <c r="O255" s="3"/>
      <c r="Q255" s="12"/>
      <c r="R255" s="12"/>
      <c r="S255" s="12"/>
      <c r="T255" s="12"/>
      <c r="U255" s="12"/>
      <c r="V255" s="12"/>
      <c r="W255" s="12"/>
      <c r="X255" s="12"/>
      <c r="Y255" s="2"/>
      <c r="Z255" s="2"/>
      <c r="AA255" s="2"/>
      <c r="AB255" s="2"/>
      <c r="AC255" s="2"/>
      <c r="AD255" s="2"/>
      <c r="AE255" s="2"/>
      <c r="AF255" s="2"/>
      <c r="AG255" s="32"/>
      <c r="AH255" s="7"/>
      <c r="AI255" s="7"/>
      <c r="AJ255" s="2"/>
      <c r="AK255" s="4"/>
      <c r="AL255" s="22"/>
      <c r="AM255" s="2"/>
      <c r="AN255" s="49"/>
      <c r="AO255" s="22"/>
      <c r="AP255" s="51"/>
      <c r="AQ255" s="12"/>
      <c r="AR255" s="12"/>
      <c r="AS255" s="12"/>
      <c r="AT255" s="12"/>
      <c r="AU255" s="12"/>
      <c r="AV255" s="2"/>
    </row>
    <row r="256" spans="1:48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12"/>
      <c r="J256" s="2"/>
      <c r="K256" s="2"/>
      <c r="L256" s="2"/>
      <c r="M256" s="2"/>
      <c r="N256" s="2"/>
      <c r="O256" s="3"/>
      <c r="Q256" s="12"/>
      <c r="R256" s="12"/>
      <c r="S256" s="12"/>
      <c r="T256" s="12"/>
      <c r="U256" s="12"/>
      <c r="V256" s="12"/>
      <c r="W256" s="12"/>
      <c r="X256" s="12"/>
      <c r="Y256" s="2"/>
      <c r="Z256" s="2"/>
      <c r="AA256" s="2"/>
      <c r="AB256" s="2"/>
      <c r="AC256" s="2"/>
      <c r="AD256" s="2"/>
      <c r="AE256" s="2"/>
      <c r="AF256" s="2"/>
      <c r="AG256" s="32"/>
      <c r="AH256" s="7"/>
      <c r="AI256" s="7"/>
      <c r="AJ256" s="2"/>
      <c r="AK256" s="4"/>
      <c r="AL256" s="22"/>
      <c r="AM256" s="2"/>
      <c r="AN256" s="49"/>
      <c r="AO256" s="22"/>
      <c r="AP256" s="51"/>
      <c r="AQ256" s="12"/>
      <c r="AR256" s="12"/>
      <c r="AS256" s="12"/>
      <c r="AT256" s="12"/>
      <c r="AU256" s="12"/>
      <c r="AV256" s="2"/>
    </row>
    <row r="257" spans="1:48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12"/>
      <c r="J257" s="2"/>
      <c r="K257" s="2"/>
      <c r="L257" s="2"/>
      <c r="M257" s="2"/>
      <c r="N257" s="2"/>
      <c r="O257" s="3"/>
      <c r="Q257" s="12"/>
      <c r="R257" s="12"/>
      <c r="S257" s="12"/>
      <c r="T257" s="12"/>
      <c r="U257" s="12"/>
      <c r="V257" s="12"/>
      <c r="W257" s="12"/>
      <c r="X257" s="12"/>
      <c r="Y257" s="2"/>
      <c r="Z257" s="2"/>
      <c r="AA257" s="2"/>
      <c r="AB257" s="2"/>
      <c r="AC257" s="2"/>
      <c r="AD257" s="2"/>
      <c r="AE257" s="2"/>
      <c r="AF257" s="2"/>
      <c r="AG257" s="32"/>
      <c r="AH257" s="7"/>
      <c r="AI257" s="7"/>
      <c r="AJ257" s="2"/>
      <c r="AK257" s="4"/>
      <c r="AL257" s="22"/>
      <c r="AM257" s="2"/>
      <c r="AN257" s="49"/>
      <c r="AO257" s="22"/>
      <c r="AP257" s="51"/>
      <c r="AQ257" s="12"/>
      <c r="AR257" s="12"/>
      <c r="AS257" s="12"/>
      <c r="AT257" s="12"/>
      <c r="AU257" s="12"/>
      <c r="AV257" s="2"/>
    </row>
    <row r="258" spans="1:48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12"/>
      <c r="J258" s="2"/>
      <c r="K258" s="2"/>
      <c r="L258" s="2"/>
      <c r="M258" s="2"/>
      <c r="N258" s="2"/>
      <c r="O258" s="3"/>
      <c r="Q258" s="12"/>
      <c r="R258" s="12"/>
      <c r="S258" s="12"/>
      <c r="T258" s="12"/>
      <c r="U258" s="12"/>
      <c r="V258" s="12"/>
      <c r="W258" s="12"/>
      <c r="X258" s="12"/>
      <c r="Y258" s="2"/>
      <c r="Z258" s="2"/>
      <c r="AA258" s="2"/>
      <c r="AB258" s="2"/>
      <c r="AC258" s="2"/>
      <c r="AD258" s="2"/>
      <c r="AE258" s="2"/>
      <c r="AF258" s="2"/>
      <c r="AG258" s="32"/>
      <c r="AH258" s="7"/>
      <c r="AI258" s="7"/>
      <c r="AJ258" s="2"/>
      <c r="AK258" s="4"/>
      <c r="AL258" s="22"/>
      <c r="AM258" s="2"/>
      <c r="AN258" s="49"/>
      <c r="AO258" s="22"/>
      <c r="AP258" s="51"/>
      <c r="AQ258" s="12"/>
      <c r="AR258" s="12"/>
      <c r="AS258" s="12"/>
      <c r="AT258" s="12"/>
      <c r="AU258" s="12"/>
      <c r="AV258" s="2"/>
    </row>
    <row r="259" spans="1:48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12"/>
      <c r="J259" s="2"/>
      <c r="K259" s="2"/>
      <c r="L259" s="2"/>
      <c r="M259" s="2"/>
      <c r="N259" s="2"/>
      <c r="O259" s="3"/>
      <c r="Q259" s="12"/>
      <c r="R259" s="12"/>
      <c r="S259" s="12"/>
      <c r="T259" s="12"/>
      <c r="U259" s="12"/>
      <c r="V259" s="12"/>
      <c r="W259" s="12"/>
      <c r="X259" s="12"/>
      <c r="Y259" s="2"/>
      <c r="Z259" s="2"/>
      <c r="AA259" s="2"/>
      <c r="AB259" s="2"/>
      <c r="AC259" s="2"/>
      <c r="AD259" s="2"/>
      <c r="AE259" s="2"/>
      <c r="AF259" s="2"/>
      <c r="AG259" s="32"/>
      <c r="AH259" s="7"/>
      <c r="AI259" s="7"/>
      <c r="AJ259" s="2"/>
      <c r="AK259" s="4"/>
      <c r="AL259" s="22"/>
      <c r="AM259" s="2"/>
      <c r="AN259" s="49"/>
      <c r="AO259" s="22"/>
      <c r="AP259" s="51"/>
      <c r="AQ259" s="12"/>
      <c r="AR259" s="12"/>
      <c r="AS259" s="12"/>
      <c r="AT259" s="12"/>
      <c r="AU259" s="12"/>
      <c r="AV259" s="2"/>
    </row>
    <row r="260" spans="1:48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12"/>
      <c r="J260" s="2"/>
      <c r="K260" s="2"/>
      <c r="L260" s="2"/>
      <c r="M260" s="2"/>
      <c r="N260" s="2"/>
      <c r="O260" s="3"/>
      <c r="Q260" s="12"/>
      <c r="R260" s="12"/>
      <c r="S260" s="12"/>
      <c r="T260" s="12"/>
      <c r="U260" s="12"/>
      <c r="V260" s="12"/>
      <c r="W260" s="12"/>
      <c r="X260" s="12"/>
      <c r="Y260" s="2"/>
      <c r="Z260" s="2"/>
      <c r="AA260" s="2"/>
      <c r="AB260" s="2"/>
      <c r="AC260" s="2"/>
      <c r="AD260" s="2"/>
      <c r="AE260" s="2"/>
      <c r="AF260" s="2"/>
      <c r="AG260" s="32"/>
      <c r="AH260" s="7"/>
      <c r="AI260" s="7"/>
      <c r="AJ260" s="2"/>
      <c r="AK260" s="4"/>
      <c r="AL260" s="22"/>
      <c r="AM260" s="2"/>
      <c r="AN260" s="49"/>
      <c r="AO260" s="22"/>
      <c r="AP260" s="51"/>
      <c r="AQ260" s="12"/>
      <c r="AR260" s="12"/>
      <c r="AS260" s="12"/>
      <c r="AT260" s="12"/>
      <c r="AU260" s="12"/>
      <c r="AV260" s="2"/>
    </row>
    <row r="261" spans="1:48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12"/>
      <c r="J261" s="2"/>
      <c r="K261" s="2"/>
      <c r="L261" s="2"/>
      <c r="M261" s="2"/>
      <c r="N261" s="2"/>
      <c r="O261" s="3"/>
      <c r="Q261" s="12"/>
      <c r="R261" s="12"/>
      <c r="S261" s="12"/>
      <c r="T261" s="12"/>
      <c r="U261" s="12"/>
      <c r="V261" s="12"/>
      <c r="W261" s="12"/>
      <c r="X261" s="12"/>
      <c r="Y261" s="2"/>
      <c r="Z261" s="2"/>
      <c r="AA261" s="2"/>
      <c r="AB261" s="2"/>
      <c r="AC261" s="2"/>
      <c r="AD261" s="2"/>
      <c r="AE261" s="2"/>
      <c r="AF261" s="2"/>
      <c r="AG261" s="32"/>
      <c r="AH261" s="7"/>
      <c r="AI261" s="7"/>
      <c r="AJ261" s="2"/>
      <c r="AK261" s="4"/>
      <c r="AL261" s="22"/>
      <c r="AM261" s="2"/>
      <c r="AN261" s="49"/>
      <c r="AO261" s="22"/>
      <c r="AP261" s="51"/>
      <c r="AQ261" s="12"/>
      <c r="AR261" s="12"/>
      <c r="AS261" s="12"/>
      <c r="AT261" s="12"/>
      <c r="AU261" s="12"/>
      <c r="AV261" s="2"/>
    </row>
    <row r="262" spans="1:48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12"/>
      <c r="J262" s="2"/>
      <c r="K262" s="2"/>
      <c r="L262" s="2"/>
      <c r="M262" s="2"/>
      <c r="N262" s="2"/>
      <c r="O262" s="3"/>
      <c r="Q262" s="12"/>
      <c r="R262" s="12"/>
      <c r="S262" s="12"/>
      <c r="T262" s="12"/>
      <c r="U262" s="12"/>
      <c r="V262" s="12"/>
      <c r="W262" s="12"/>
      <c r="X262" s="12"/>
      <c r="Y262" s="2"/>
      <c r="Z262" s="2"/>
      <c r="AA262" s="2"/>
      <c r="AB262" s="2"/>
      <c r="AC262" s="2"/>
      <c r="AD262" s="2"/>
      <c r="AE262" s="2"/>
      <c r="AF262" s="2"/>
      <c r="AG262" s="32"/>
      <c r="AH262" s="7"/>
      <c r="AI262" s="7"/>
      <c r="AJ262" s="2"/>
      <c r="AK262" s="4"/>
      <c r="AL262" s="22"/>
      <c r="AM262" s="2"/>
      <c r="AN262" s="49"/>
      <c r="AO262" s="22"/>
      <c r="AP262" s="51"/>
      <c r="AQ262" s="12"/>
      <c r="AR262" s="12"/>
      <c r="AS262" s="12"/>
      <c r="AT262" s="12"/>
      <c r="AU262" s="12"/>
      <c r="AV262" s="2"/>
    </row>
    <row r="263" spans="1:48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12"/>
      <c r="J263" s="2"/>
      <c r="K263" s="2"/>
      <c r="L263" s="2"/>
      <c r="M263" s="2"/>
      <c r="N263" s="2"/>
      <c r="O263" s="3"/>
      <c r="Q263" s="12"/>
      <c r="R263" s="12"/>
      <c r="S263" s="12"/>
      <c r="T263" s="12"/>
      <c r="U263" s="12"/>
      <c r="V263" s="12"/>
      <c r="W263" s="12"/>
      <c r="X263" s="12"/>
      <c r="Y263" s="2"/>
      <c r="Z263" s="2"/>
      <c r="AA263" s="2"/>
      <c r="AB263" s="2"/>
      <c r="AC263" s="2"/>
      <c r="AD263" s="2"/>
      <c r="AE263" s="2"/>
      <c r="AF263" s="2"/>
      <c r="AG263" s="32"/>
      <c r="AH263" s="7"/>
      <c r="AI263" s="7"/>
      <c r="AJ263" s="2"/>
      <c r="AK263" s="4"/>
      <c r="AL263" s="22"/>
      <c r="AM263" s="2"/>
      <c r="AN263" s="49"/>
      <c r="AO263" s="22"/>
      <c r="AP263" s="51"/>
      <c r="AQ263" s="12"/>
      <c r="AR263" s="12"/>
      <c r="AS263" s="12"/>
      <c r="AT263" s="12"/>
      <c r="AU263" s="12"/>
      <c r="AV263" s="2"/>
    </row>
    <row r="264" spans="1:48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12"/>
      <c r="J264" s="2"/>
      <c r="K264" s="2"/>
      <c r="L264" s="2"/>
      <c r="M264" s="2"/>
      <c r="N264" s="2"/>
      <c r="O264" s="3"/>
      <c r="Q264" s="12"/>
      <c r="R264" s="12"/>
      <c r="S264" s="12"/>
      <c r="T264" s="12"/>
      <c r="U264" s="12"/>
      <c r="V264" s="12"/>
      <c r="W264" s="12"/>
      <c r="X264" s="12"/>
      <c r="Y264" s="2"/>
      <c r="Z264" s="2"/>
      <c r="AA264" s="2"/>
      <c r="AB264" s="2"/>
      <c r="AC264" s="2"/>
      <c r="AD264" s="2"/>
      <c r="AE264" s="2"/>
      <c r="AF264" s="2"/>
      <c r="AG264" s="32"/>
      <c r="AH264" s="7"/>
      <c r="AI264" s="7"/>
      <c r="AJ264" s="2"/>
      <c r="AK264" s="4"/>
      <c r="AL264" s="22"/>
      <c r="AM264" s="2"/>
      <c r="AN264" s="49"/>
      <c r="AO264" s="22"/>
      <c r="AP264" s="51"/>
      <c r="AQ264" s="12"/>
      <c r="AR264" s="12"/>
      <c r="AS264" s="12"/>
      <c r="AT264" s="12"/>
      <c r="AU264" s="12"/>
      <c r="AV264" s="2"/>
    </row>
    <row r="265" spans="1:48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12"/>
      <c r="J265" s="2"/>
      <c r="K265" s="2"/>
      <c r="L265" s="2"/>
      <c r="M265" s="2"/>
      <c r="N265" s="2"/>
      <c r="O265" s="3"/>
      <c r="Q265" s="12"/>
      <c r="R265" s="12"/>
      <c r="S265" s="12"/>
      <c r="T265" s="12"/>
      <c r="U265" s="12"/>
      <c r="V265" s="12"/>
      <c r="W265" s="12"/>
      <c r="X265" s="12"/>
      <c r="Y265" s="2"/>
      <c r="Z265" s="2"/>
      <c r="AA265" s="2"/>
      <c r="AB265" s="2"/>
      <c r="AC265" s="2"/>
      <c r="AD265" s="2"/>
      <c r="AE265" s="2"/>
      <c r="AF265" s="2"/>
      <c r="AG265" s="32"/>
      <c r="AH265" s="7"/>
      <c r="AI265" s="7"/>
      <c r="AJ265" s="2"/>
      <c r="AK265" s="4"/>
      <c r="AL265" s="22"/>
      <c r="AM265" s="2"/>
      <c r="AN265" s="49"/>
      <c r="AO265" s="22"/>
      <c r="AP265" s="51"/>
      <c r="AQ265" s="12"/>
      <c r="AR265" s="12"/>
      <c r="AS265" s="12"/>
      <c r="AT265" s="12"/>
      <c r="AU265" s="12"/>
      <c r="AV265" s="2"/>
    </row>
    <row r="266" spans="1:48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12"/>
      <c r="J266" s="2"/>
      <c r="K266" s="2"/>
      <c r="L266" s="2"/>
      <c r="M266" s="2"/>
      <c r="N266" s="2"/>
      <c r="O266" s="3"/>
      <c r="Q266" s="12"/>
      <c r="R266" s="12"/>
      <c r="S266" s="12"/>
      <c r="T266" s="12"/>
      <c r="U266" s="12"/>
      <c r="V266" s="12"/>
      <c r="W266" s="12"/>
      <c r="X266" s="12"/>
      <c r="Y266" s="2"/>
      <c r="Z266" s="2"/>
      <c r="AA266" s="2"/>
      <c r="AB266" s="2"/>
      <c r="AC266" s="2"/>
      <c r="AD266" s="2"/>
      <c r="AE266" s="2"/>
      <c r="AF266" s="2"/>
      <c r="AG266" s="32"/>
      <c r="AH266" s="7"/>
      <c r="AI266" s="7"/>
      <c r="AJ266" s="2"/>
      <c r="AK266" s="4"/>
      <c r="AL266" s="22"/>
      <c r="AM266" s="2"/>
      <c r="AN266" s="49"/>
      <c r="AO266" s="22"/>
      <c r="AP266" s="51"/>
      <c r="AQ266" s="12"/>
      <c r="AR266" s="12"/>
      <c r="AS266" s="12"/>
      <c r="AT266" s="12"/>
      <c r="AU266" s="12"/>
      <c r="AV266" s="2"/>
    </row>
    <row r="267" spans="1:48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12"/>
      <c r="J267" s="2"/>
      <c r="K267" s="2"/>
      <c r="L267" s="2"/>
      <c r="M267" s="2"/>
      <c r="N267" s="2"/>
      <c r="O267" s="3"/>
      <c r="Q267" s="12"/>
      <c r="R267" s="12"/>
      <c r="S267" s="12"/>
      <c r="T267" s="12"/>
      <c r="U267" s="12"/>
      <c r="V267" s="12"/>
      <c r="W267" s="12"/>
      <c r="X267" s="12"/>
      <c r="Y267" s="2"/>
      <c r="Z267" s="2"/>
      <c r="AA267" s="2"/>
      <c r="AB267" s="2"/>
      <c r="AC267" s="2"/>
      <c r="AD267" s="2"/>
      <c r="AE267" s="2"/>
      <c r="AF267" s="2"/>
      <c r="AG267" s="32"/>
      <c r="AH267" s="7"/>
      <c r="AI267" s="7"/>
      <c r="AJ267" s="2"/>
      <c r="AK267" s="4"/>
      <c r="AL267" s="22"/>
      <c r="AM267" s="2"/>
      <c r="AN267" s="49"/>
      <c r="AO267" s="22"/>
      <c r="AP267" s="51"/>
      <c r="AQ267" s="12"/>
      <c r="AR267" s="12"/>
      <c r="AS267" s="12"/>
      <c r="AT267" s="12"/>
      <c r="AU267" s="12"/>
      <c r="AV267" s="2"/>
    </row>
    <row r="268" spans="1:48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12"/>
      <c r="J268" s="2"/>
      <c r="K268" s="2"/>
      <c r="L268" s="2"/>
      <c r="M268" s="2"/>
      <c r="N268" s="2"/>
      <c r="O268" s="3"/>
      <c r="Q268" s="12"/>
      <c r="R268" s="12"/>
      <c r="S268" s="12"/>
      <c r="T268" s="12"/>
      <c r="U268" s="12"/>
      <c r="V268" s="12"/>
      <c r="W268" s="12"/>
      <c r="X268" s="12"/>
      <c r="Y268" s="2"/>
      <c r="Z268" s="2"/>
      <c r="AA268" s="2"/>
      <c r="AB268" s="2"/>
      <c r="AC268" s="2"/>
      <c r="AD268" s="2"/>
      <c r="AE268" s="2"/>
      <c r="AF268" s="2"/>
      <c r="AG268" s="32"/>
      <c r="AH268" s="7"/>
      <c r="AI268" s="7"/>
      <c r="AJ268" s="2"/>
      <c r="AK268" s="4"/>
      <c r="AL268" s="22"/>
      <c r="AM268" s="2"/>
      <c r="AN268" s="49"/>
      <c r="AO268" s="22"/>
      <c r="AP268" s="51"/>
      <c r="AQ268" s="12"/>
      <c r="AR268" s="12"/>
      <c r="AS268" s="12"/>
      <c r="AT268" s="12"/>
      <c r="AU268" s="12"/>
      <c r="AV268" s="2"/>
    </row>
    <row r="269" spans="1:48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12"/>
      <c r="J269" s="2"/>
      <c r="K269" s="2"/>
      <c r="L269" s="2"/>
      <c r="M269" s="2"/>
      <c r="N269" s="2"/>
      <c r="O269" s="3"/>
      <c r="Q269" s="12"/>
      <c r="R269" s="12"/>
      <c r="S269" s="12"/>
      <c r="T269" s="12"/>
      <c r="U269" s="12"/>
      <c r="V269" s="12"/>
      <c r="W269" s="12"/>
      <c r="X269" s="12"/>
      <c r="Y269" s="2"/>
      <c r="Z269" s="2"/>
      <c r="AA269" s="2"/>
      <c r="AB269" s="2"/>
      <c r="AC269" s="2"/>
      <c r="AD269" s="2"/>
      <c r="AE269" s="2"/>
      <c r="AF269" s="2"/>
      <c r="AG269" s="32"/>
      <c r="AH269" s="7"/>
      <c r="AI269" s="7"/>
      <c r="AJ269" s="2"/>
      <c r="AK269" s="4"/>
      <c r="AL269" s="22"/>
      <c r="AM269" s="2"/>
      <c r="AN269" s="49"/>
      <c r="AO269" s="22"/>
      <c r="AP269" s="51"/>
      <c r="AQ269" s="12"/>
      <c r="AR269" s="12"/>
      <c r="AS269" s="12"/>
      <c r="AT269" s="12"/>
      <c r="AU269" s="12"/>
      <c r="AV269" s="2"/>
    </row>
    <row r="270" spans="1:48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12"/>
      <c r="J270" s="2"/>
      <c r="K270" s="2"/>
      <c r="L270" s="2"/>
      <c r="M270" s="2"/>
      <c r="N270" s="2"/>
      <c r="O270" s="3"/>
      <c r="Q270" s="12"/>
      <c r="R270" s="12"/>
      <c r="S270" s="12"/>
      <c r="T270" s="12"/>
      <c r="U270" s="12"/>
      <c r="V270" s="12"/>
      <c r="W270" s="12"/>
      <c r="X270" s="12"/>
      <c r="Y270" s="2"/>
      <c r="Z270" s="2"/>
      <c r="AA270" s="2"/>
      <c r="AB270" s="2"/>
      <c r="AC270" s="2"/>
      <c r="AD270" s="2"/>
      <c r="AE270" s="2"/>
      <c r="AF270" s="2"/>
      <c r="AG270" s="32"/>
      <c r="AH270" s="7"/>
      <c r="AI270" s="7"/>
      <c r="AJ270" s="2"/>
      <c r="AK270" s="4"/>
      <c r="AL270" s="22"/>
      <c r="AM270" s="2"/>
      <c r="AN270" s="49"/>
      <c r="AO270" s="22"/>
      <c r="AP270" s="51"/>
      <c r="AQ270" s="12"/>
      <c r="AR270" s="12"/>
      <c r="AS270" s="12"/>
      <c r="AT270" s="12"/>
      <c r="AU270" s="12"/>
      <c r="AV270" s="2"/>
    </row>
    <row r="271" spans="1:48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12"/>
      <c r="J271" s="2"/>
      <c r="K271" s="2"/>
      <c r="L271" s="2"/>
      <c r="M271" s="2"/>
      <c r="N271" s="2"/>
      <c r="O271" s="3"/>
      <c r="Q271" s="12"/>
      <c r="R271" s="12"/>
      <c r="S271" s="12"/>
      <c r="T271" s="12"/>
      <c r="U271" s="12"/>
      <c r="V271" s="12"/>
      <c r="W271" s="12"/>
      <c r="X271" s="12"/>
      <c r="Y271" s="2"/>
      <c r="Z271" s="2"/>
      <c r="AA271" s="2"/>
      <c r="AB271" s="2"/>
      <c r="AC271" s="2"/>
      <c r="AD271" s="2"/>
      <c r="AE271" s="2"/>
      <c r="AF271" s="2"/>
      <c r="AG271" s="32"/>
      <c r="AH271" s="7"/>
      <c r="AI271" s="7"/>
      <c r="AJ271" s="2"/>
      <c r="AK271" s="4"/>
      <c r="AL271" s="22"/>
      <c r="AM271" s="2"/>
      <c r="AN271" s="49"/>
      <c r="AO271" s="22"/>
      <c r="AP271" s="51"/>
      <c r="AQ271" s="12"/>
      <c r="AR271" s="12"/>
      <c r="AS271" s="12"/>
      <c r="AT271" s="12"/>
      <c r="AU271" s="12"/>
      <c r="AV271" s="2"/>
    </row>
    <row r="272" spans="1:48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12"/>
      <c r="J272" s="2"/>
      <c r="K272" s="2"/>
      <c r="L272" s="2"/>
      <c r="M272" s="2"/>
      <c r="N272" s="2"/>
      <c r="O272" s="3"/>
      <c r="Q272" s="12"/>
      <c r="R272" s="12"/>
      <c r="S272" s="12"/>
      <c r="T272" s="12"/>
      <c r="U272" s="12"/>
      <c r="V272" s="12"/>
      <c r="W272" s="12"/>
      <c r="X272" s="12"/>
      <c r="Y272" s="2"/>
      <c r="Z272" s="2"/>
      <c r="AA272" s="2"/>
      <c r="AB272" s="2"/>
      <c r="AC272" s="2"/>
      <c r="AD272" s="2"/>
      <c r="AE272" s="2"/>
      <c r="AF272" s="2"/>
      <c r="AG272" s="32"/>
      <c r="AH272" s="7"/>
      <c r="AI272" s="7"/>
      <c r="AJ272" s="2"/>
      <c r="AK272" s="4"/>
      <c r="AL272" s="22"/>
      <c r="AM272" s="2"/>
      <c r="AN272" s="49"/>
      <c r="AO272" s="22"/>
      <c r="AP272" s="51"/>
      <c r="AQ272" s="12"/>
      <c r="AR272" s="12"/>
      <c r="AS272" s="12"/>
      <c r="AT272" s="12"/>
      <c r="AU272" s="12"/>
      <c r="AV272" s="2"/>
    </row>
    <row r="273" spans="1:48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12"/>
      <c r="J273" s="2"/>
      <c r="K273" s="2"/>
      <c r="L273" s="2"/>
      <c r="M273" s="2"/>
      <c r="N273" s="2"/>
      <c r="O273" s="3"/>
      <c r="Q273" s="12"/>
      <c r="R273" s="12"/>
      <c r="S273" s="12"/>
      <c r="T273" s="12"/>
      <c r="U273" s="12"/>
      <c r="V273" s="12"/>
      <c r="W273" s="12"/>
      <c r="X273" s="12"/>
      <c r="Y273" s="2"/>
      <c r="Z273" s="2"/>
      <c r="AA273" s="2"/>
      <c r="AB273" s="2"/>
      <c r="AC273" s="2"/>
      <c r="AD273" s="2"/>
      <c r="AE273" s="2"/>
      <c r="AF273" s="2"/>
      <c r="AG273" s="32"/>
      <c r="AH273" s="7"/>
      <c r="AI273" s="7"/>
      <c r="AJ273" s="2"/>
      <c r="AK273" s="4"/>
      <c r="AL273" s="22"/>
      <c r="AM273" s="2"/>
      <c r="AN273" s="49"/>
      <c r="AO273" s="22"/>
      <c r="AP273" s="51"/>
      <c r="AQ273" s="12"/>
      <c r="AR273" s="12"/>
      <c r="AS273" s="12"/>
      <c r="AT273" s="12"/>
      <c r="AU273" s="12"/>
      <c r="AV273" s="2"/>
    </row>
    <row r="274" spans="1:48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12"/>
      <c r="J274" s="2"/>
      <c r="K274" s="2"/>
      <c r="L274" s="2"/>
      <c r="M274" s="2"/>
      <c r="N274" s="2"/>
      <c r="O274" s="3"/>
      <c r="Q274" s="12"/>
      <c r="R274" s="12"/>
      <c r="S274" s="12"/>
      <c r="T274" s="12"/>
      <c r="U274" s="12"/>
      <c r="V274" s="12"/>
      <c r="W274" s="12"/>
      <c r="X274" s="12"/>
      <c r="Y274" s="2"/>
      <c r="Z274" s="2"/>
      <c r="AA274" s="2"/>
      <c r="AB274" s="2"/>
      <c r="AC274" s="2"/>
      <c r="AD274" s="2"/>
      <c r="AE274" s="2"/>
      <c r="AF274" s="2"/>
      <c r="AG274" s="32"/>
      <c r="AH274" s="7"/>
      <c r="AI274" s="7"/>
      <c r="AJ274" s="2"/>
      <c r="AK274" s="4"/>
      <c r="AL274" s="22"/>
      <c r="AM274" s="2"/>
      <c r="AN274" s="49"/>
      <c r="AO274" s="22"/>
      <c r="AP274" s="51"/>
      <c r="AQ274" s="12"/>
      <c r="AR274" s="12"/>
      <c r="AS274" s="12"/>
      <c r="AT274" s="12"/>
      <c r="AU274" s="12"/>
      <c r="AV274" s="2"/>
    </row>
    <row r="275" spans="1:48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12"/>
      <c r="J275" s="2"/>
      <c r="K275" s="2"/>
      <c r="L275" s="2"/>
      <c r="M275" s="2"/>
      <c r="N275" s="2"/>
      <c r="O275" s="3"/>
      <c r="Q275" s="12"/>
      <c r="R275" s="12"/>
      <c r="S275" s="12"/>
      <c r="T275" s="12"/>
      <c r="U275" s="12"/>
      <c r="V275" s="12"/>
      <c r="W275" s="12"/>
      <c r="X275" s="12"/>
      <c r="Y275" s="2"/>
      <c r="Z275" s="2"/>
      <c r="AA275" s="2"/>
      <c r="AB275" s="2"/>
      <c r="AC275" s="2"/>
      <c r="AD275" s="2"/>
      <c r="AE275" s="2"/>
      <c r="AF275" s="2"/>
      <c r="AG275" s="32"/>
      <c r="AH275" s="7"/>
      <c r="AI275" s="7"/>
      <c r="AJ275" s="2"/>
      <c r="AK275" s="4"/>
      <c r="AL275" s="22"/>
      <c r="AM275" s="2"/>
      <c r="AN275" s="49"/>
      <c r="AO275" s="22"/>
      <c r="AP275" s="51"/>
      <c r="AQ275" s="12"/>
      <c r="AR275" s="12"/>
      <c r="AS275" s="12"/>
      <c r="AT275" s="12"/>
      <c r="AU275" s="12"/>
      <c r="AV275" s="2"/>
    </row>
    <row r="276" spans="1:48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12"/>
      <c r="J276" s="2"/>
      <c r="K276" s="2"/>
      <c r="L276" s="2"/>
      <c r="M276" s="2"/>
      <c r="N276" s="2"/>
      <c r="O276" s="3"/>
      <c r="Q276" s="12"/>
      <c r="R276" s="12"/>
      <c r="S276" s="12"/>
      <c r="T276" s="12"/>
      <c r="U276" s="12"/>
      <c r="V276" s="12"/>
      <c r="W276" s="12"/>
      <c r="X276" s="12"/>
      <c r="Y276" s="2"/>
      <c r="Z276" s="2"/>
      <c r="AA276" s="2"/>
      <c r="AB276" s="2"/>
      <c r="AC276" s="2"/>
      <c r="AD276" s="2"/>
      <c r="AE276" s="2"/>
      <c r="AF276" s="2"/>
      <c r="AG276" s="32"/>
      <c r="AH276" s="7"/>
      <c r="AI276" s="7"/>
      <c r="AJ276" s="2"/>
      <c r="AK276" s="4"/>
      <c r="AL276" s="22"/>
      <c r="AM276" s="2"/>
      <c r="AN276" s="49"/>
      <c r="AO276" s="22"/>
      <c r="AP276" s="51"/>
      <c r="AQ276" s="12"/>
      <c r="AR276" s="12"/>
      <c r="AS276" s="12"/>
      <c r="AT276" s="12"/>
      <c r="AU276" s="12"/>
      <c r="AV276" s="2"/>
    </row>
    <row r="277" spans="1:48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12"/>
      <c r="J277" s="2"/>
      <c r="K277" s="2"/>
      <c r="L277" s="2"/>
      <c r="M277" s="2"/>
      <c r="N277" s="2"/>
      <c r="O277" s="3"/>
      <c r="Q277" s="12"/>
      <c r="R277" s="12"/>
      <c r="S277" s="12"/>
      <c r="T277" s="12"/>
      <c r="U277" s="12"/>
      <c r="V277" s="12"/>
      <c r="W277" s="12"/>
      <c r="X277" s="12"/>
      <c r="Y277" s="2"/>
      <c r="Z277" s="2"/>
      <c r="AA277" s="2"/>
      <c r="AB277" s="2"/>
      <c r="AC277" s="2"/>
      <c r="AD277" s="2"/>
      <c r="AE277" s="2"/>
      <c r="AF277" s="2"/>
      <c r="AG277" s="32"/>
      <c r="AH277" s="7"/>
      <c r="AI277" s="7"/>
      <c r="AJ277" s="2"/>
      <c r="AK277" s="4"/>
      <c r="AL277" s="22"/>
      <c r="AM277" s="2"/>
      <c r="AN277" s="49"/>
      <c r="AO277" s="22"/>
      <c r="AP277" s="51"/>
      <c r="AQ277" s="12"/>
      <c r="AR277" s="12"/>
      <c r="AS277" s="12"/>
      <c r="AT277" s="12"/>
      <c r="AU277" s="12"/>
      <c r="AV277" s="2"/>
    </row>
    <row r="278" spans="1:48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12"/>
      <c r="J278" s="2"/>
      <c r="K278" s="2"/>
      <c r="L278" s="2"/>
      <c r="M278" s="2"/>
      <c r="N278" s="2"/>
      <c r="O278" s="3"/>
      <c r="Q278" s="12"/>
      <c r="R278" s="12"/>
      <c r="S278" s="12"/>
      <c r="T278" s="12"/>
      <c r="U278" s="12"/>
      <c r="V278" s="12"/>
      <c r="W278" s="12"/>
      <c r="X278" s="12"/>
      <c r="Y278" s="2"/>
      <c r="Z278" s="2"/>
      <c r="AA278" s="2"/>
      <c r="AB278" s="2"/>
      <c r="AC278" s="2"/>
      <c r="AD278" s="2"/>
      <c r="AE278" s="2"/>
      <c r="AF278" s="2"/>
      <c r="AG278" s="32"/>
      <c r="AH278" s="7"/>
      <c r="AI278" s="7"/>
      <c r="AJ278" s="2"/>
      <c r="AK278" s="4"/>
      <c r="AL278" s="22"/>
      <c r="AM278" s="2"/>
      <c r="AN278" s="49"/>
      <c r="AO278" s="22"/>
      <c r="AP278" s="51"/>
      <c r="AQ278" s="12"/>
      <c r="AR278" s="12"/>
      <c r="AS278" s="12"/>
      <c r="AT278" s="12"/>
      <c r="AU278" s="12"/>
      <c r="AV278" s="2"/>
    </row>
    <row r="279" spans="1:48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12"/>
      <c r="J279" s="2"/>
      <c r="K279" s="2"/>
      <c r="L279" s="2"/>
      <c r="M279" s="2"/>
      <c r="N279" s="2"/>
      <c r="O279" s="3"/>
      <c r="Q279" s="12"/>
      <c r="R279" s="12"/>
      <c r="S279" s="12"/>
      <c r="T279" s="12"/>
      <c r="U279" s="12"/>
      <c r="V279" s="12"/>
      <c r="W279" s="12"/>
      <c r="X279" s="12"/>
      <c r="Y279" s="2"/>
      <c r="Z279" s="2"/>
      <c r="AA279" s="2"/>
      <c r="AB279" s="2"/>
      <c r="AC279" s="2"/>
      <c r="AD279" s="2"/>
      <c r="AE279" s="2"/>
      <c r="AF279" s="2"/>
      <c r="AG279" s="32"/>
      <c r="AH279" s="7"/>
      <c r="AI279" s="7"/>
      <c r="AJ279" s="2"/>
      <c r="AK279" s="4"/>
      <c r="AL279" s="22"/>
      <c r="AM279" s="2"/>
      <c r="AN279" s="49"/>
      <c r="AO279" s="22"/>
      <c r="AP279" s="51"/>
      <c r="AQ279" s="12"/>
      <c r="AR279" s="12"/>
      <c r="AS279" s="12"/>
      <c r="AT279" s="12"/>
      <c r="AU279" s="12"/>
      <c r="AV279" s="2"/>
    </row>
    <row r="280" spans="1:48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12"/>
      <c r="J280" s="2"/>
      <c r="K280" s="2"/>
      <c r="L280" s="2"/>
      <c r="M280" s="2"/>
      <c r="N280" s="2"/>
      <c r="O280" s="3"/>
      <c r="Q280" s="12"/>
      <c r="R280" s="12"/>
      <c r="S280" s="12"/>
      <c r="T280" s="12"/>
      <c r="U280" s="12"/>
      <c r="V280" s="12"/>
      <c r="W280" s="12"/>
      <c r="X280" s="12"/>
      <c r="Y280" s="2"/>
      <c r="Z280" s="2"/>
      <c r="AA280" s="2"/>
      <c r="AB280" s="2"/>
      <c r="AC280" s="2"/>
      <c r="AD280" s="2"/>
      <c r="AE280" s="2"/>
      <c r="AF280" s="2"/>
      <c r="AG280" s="32"/>
      <c r="AH280" s="7"/>
      <c r="AI280" s="7"/>
      <c r="AJ280" s="2"/>
      <c r="AK280" s="4"/>
      <c r="AL280" s="22"/>
      <c r="AM280" s="2"/>
      <c r="AN280" s="49"/>
      <c r="AO280" s="22"/>
      <c r="AP280" s="51"/>
      <c r="AQ280" s="12"/>
      <c r="AR280" s="12"/>
      <c r="AS280" s="12"/>
      <c r="AT280" s="12"/>
      <c r="AU280" s="12"/>
      <c r="AV280" s="2"/>
    </row>
    <row r="281" spans="1:48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12"/>
      <c r="J281" s="2"/>
      <c r="K281" s="2"/>
      <c r="L281" s="2"/>
      <c r="M281" s="2"/>
      <c r="N281" s="2"/>
      <c r="O281" s="3"/>
      <c r="Q281" s="12"/>
      <c r="R281" s="12"/>
      <c r="S281" s="12"/>
      <c r="T281" s="12"/>
      <c r="U281" s="12"/>
      <c r="V281" s="12"/>
      <c r="W281" s="12"/>
      <c r="X281" s="12"/>
      <c r="Y281" s="2"/>
      <c r="Z281" s="2"/>
      <c r="AA281" s="2"/>
      <c r="AB281" s="2"/>
      <c r="AC281" s="2"/>
      <c r="AD281" s="2"/>
      <c r="AE281" s="2"/>
      <c r="AF281" s="2"/>
      <c r="AG281" s="32"/>
      <c r="AH281" s="7"/>
      <c r="AI281" s="7"/>
      <c r="AJ281" s="2"/>
      <c r="AK281" s="4"/>
      <c r="AL281" s="22"/>
      <c r="AM281" s="2"/>
      <c r="AN281" s="49"/>
      <c r="AO281" s="22"/>
      <c r="AP281" s="51"/>
      <c r="AQ281" s="12"/>
      <c r="AR281" s="12"/>
      <c r="AS281" s="12"/>
      <c r="AT281" s="12"/>
      <c r="AU281" s="12"/>
      <c r="AV281" s="2"/>
    </row>
    <row r="282" spans="1:48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12"/>
      <c r="J282" s="2"/>
      <c r="K282" s="2"/>
      <c r="L282" s="2"/>
      <c r="M282" s="2"/>
      <c r="N282" s="2"/>
      <c r="O282" s="3"/>
      <c r="Q282" s="12"/>
      <c r="R282" s="12"/>
      <c r="S282" s="12"/>
      <c r="T282" s="12"/>
      <c r="U282" s="12"/>
      <c r="V282" s="12"/>
      <c r="W282" s="12"/>
      <c r="X282" s="12"/>
      <c r="Y282" s="2"/>
      <c r="Z282" s="2"/>
      <c r="AA282" s="2"/>
      <c r="AB282" s="2"/>
      <c r="AC282" s="2"/>
      <c r="AD282" s="2"/>
      <c r="AE282" s="2"/>
      <c r="AF282" s="2"/>
      <c r="AG282" s="32"/>
      <c r="AH282" s="7"/>
      <c r="AI282" s="7"/>
      <c r="AJ282" s="2"/>
      <c r="AK282" s="4"/>
      <c r="AL282" s="22"/>
      <c r="AM282" s="2"/>
      <c r="AN282" s="49"/>
      <c r="AO282" s="22"/>
      <c r="AP282" s="51"/>
      <c r="AQ282" s="12"/>
      <c r="AR282" s="12"/>
      <c r="AS282" s="12"/>
      <c r="AT282" s="12"/>
      <c r="AU282" s="12"/>
      <c r="AV282" s="2"/>
    </row>
    <row r="283" spans="1:48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12"/>
      <c r="J283" s="2"/>
      <c r="K283" s="2"/>
      <c r="L283" s="2"/>
      <c r="M283" s="2"/>
      <c r="N283" s="2"/>
      <c r="O283" s="3"/>
      <c r="Q283" s="12"/>
      <c r="R283" s="12"/>
      <c r="S283" s="12"/>
      <c r="T283" s="12"/>
      <c r="U283" s="12"/>
      <c r="V283" s="12"/>
      <c r="W283" s="12"/>
      <c r="X283" s="12"/>
      <c r="Y283" s="2"/>
      <c r="Z283" s="2"/>
      <c r="AA283" s="2"/>
      <c r="AB283" s="2"/>
      <c r="AC283" s="2"/>
      <c r="AD283" s="2"/>
      <c r="AE283" s="2"/>
      <c r="AF283" s="2"/>
      <c r="AG283" s="32"/>
      <c r="AH283" s="7"/>
      <c r="AI283" s="7"/>
      <c r="AJ283" s="2"/>
      <c r="AK283" s="4"/>
      <c r="AL283" s="22"/>
      <c r="AM283" s="2"/>
      <c r="AN283" s="49"/>
      <c r="AO283" s="22"/>
      <c r="AP283" s="51"/>
      <c r="AQ283" s="12"/>
      <c r="AR283" s="12"/>
      <c r="AS283" s="12"/>
      <c r="AT283" s="12"/>
      <c r="AU283" s="12"/>
      <c r="AV283" s="2"/>
    </row>
    <row r="284" spans="1:48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12"/>
      <c r="J284" s="2"/>
      <c r="K284" s="2"/>
      <c r="L284" s="2"/>
      <c r="M284" s="2"/>
      <c r="N284" s="2"/>
      <c r="O284" s="3"/>
      <c r="Q284" s="12"/>
      <c r="R284" s="12"/>
      <c r="S284" s="12"/>
      <c r="T284" s="12"/>
      <c r="U284" s="12"/>
      <c r="V284" s="12"/>
      <c r="W284" s="12"/>
      <c r="X284" s="12"/>
      <c r="Y284" s="2"/>
      <c r="Z284" s="2"/>
      <c r="AA284" s="2"/>
      <c r="AB284" s="2"/>
      <c r="AC284" s="2"/>
      <c r="AD284" s="2"/>
      <c r="AE284" s="2"/>
      <c r="AF284" s="2"/>
      <c r="AG284" s="32"/>
      <c r="AH284" s="7"/>
      <c r="AI284" s="7"/>
      <c r="AJ284" s="2"/>
      <c r="AK284" s="4"/>
      <c r="AL284" s="22"/>
      <c r="AM284" s="2"/>
      <c r="AN284" s="49"/>
      <c r="AO284" s="22"/>
      <c r="AP284" s="51"/>
      <c r="AQ284" s="12"/>
      <c r="AR284" s="12"/>
      <c r="AS284" s="12"/>
      <c r="AT284" s="12"/>
      <c r="AU284" s="12"/>
      <c r="AV284" s="2"/>
    </row>
    <row r="285" spans="1:48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12"/>
      <c r="J285" s="2"/>
      <c r="K285" s="2"/>
      <c r="L285" s="2"/>
      <c r="M285" s="2"/>
      <c r="N285" s="2"/>
      <c r="O285" s="3"/>
      <c r="Q285" s="12"/>
      <c r="R285" s="12"/>
      <c r="S285" s="12"/>
      <c r="T285" s="12"/>
      <c r="U285" s="12"/>
      <c r="V285" s="12"/>
      <c r="W285" s="12"/>
      <c r="X285" s="12"/>
      <c r="Y285" s="2"/>
      <c r="Z285" s="2"/>
      <c r="AA285" s="2"/>
      <c r="AB285" s="2"/>
      <c r="AC285" s="2"/>
      <c r="AD285" s="2"/>
      <c r="AE285" s="2"/>
      <c r="AF285" s="2"/>
      <c r="AG285" s="32"/>
      <c r="AH285" s="7"/>
      <c r="AI285" s="7"/>
      <c r="AJ285" s="2"/>
      <c r="AK285" s="4"/>
      <c r="AL285" s="22"/>
      <c r="AM285" s="2"/>
      <c r="AN285" s="49"/>
      <c r="AO285" s="22"/>
      <c r="AP285" s="51"/>
      <c r="AQ285" s="12"/>
      <c r="AR285" s="12"/>
      <c r="AS285" s="12"/>
      <c r="AT285" s="12"/>
      <c r="AU285" s="12"/>
      <c r="AV285" s="2"/>
    </row>
    <row r="286" spans="1:48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12"/>
      <c r="J286" s="2"/>
      <c r="K286" s="2"/>
      <c r="L286" s="2"/>
      <c r="M286" s="2"/>
      <c r="N286" s="2"/>
      <c r="O286" s="3"/>
      <c r="Q286" s="12"/>
      <c r="R286" s="12"/>
      <c r="S286" s="12"/>
      <c r="T286" s="12"/>
      <c r="U286" s="12"/>
      <c r="V286" s="12"/>
      <c r="W286" s="12"/>
      <c r="X286" s="12"/>
      <c r="Y286" s="2"/>
      <c r="Z286" s="2"/>
      <c r="AA286" s="2"/>
      <c r="AB286" s="2"/>
      <c r="AC286" s="2"/>
      <c r="AD286" s="2"/>
      <c r="AE286" s="2"/>
      <c r="AF286" s="2"/>
      <c r="AG286" s="32"/>
      <c r="AH286" s="7"/>
      <c r="AI286" s="7"/>
      <c r="AJ286" s="2"/>
      <c r="AK286" s="4"/>
      <c r="AL286" s="22"/>
      <c r="AM286" s="2"/>
      <c r="AN286" s="49"/>
      <c r="AO286" s="22"/>
      <c r="AP286" s="51"/>
      <c r="AQ286" s="12"/>
      <c r="AR286" s="12"/>
      <c r="AS286" s="12"/>
      <c r="AT286" s="12"/>
      <c r="AU286" s="12"/>
      <c r="AV286" s="2"/>
    </row>
    <row r="287" spans="1:48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12"/>
      <c r="J287" s="2"/>
      <c r="K287" s="2"/>
      <c r="L287" s="2"/>
      <c r="M287" s="2"/>
      <c r="N287" s="2"/>
      <c r="O287" s="3"/>
      <c r="Q287" s="12"/>
      <c r="R287" s="12"/>
      <c r="S287" s="12"/>
      <c r="T287" s="12"/>
      <c r="U287" s="12"/>
      <c r="V287" s="12"/>
      <c r="W287" s="12"/>
      <c r="X287" s="12"/>
      <c r="Y287" s="2"/>
      <c r="Z287" s="2"/>
      <c r="AA287" s="2"/>
      <c r="AB287" s="2"/>
      <c r="AC287" s="2"/>
      <c r="AD287" s="2"/>
      <c r="AE287" s="2"/>
      <c r="AF287" s="2"/>
      <c r="AG287" s="32"/>
      <c r="AH287" s="7"/>
      <c r="AI287" s="7"/>
      <c r="AJ287" s="2"/>
      <c r="AK287" s="4"/>
      <c r="AL287" s="22"/>
      <c r="AM287" s="2"/>
      <c r="AN287" s="49"/>
      <c r="AO287" s="22"/>
      <c r="AP287" s="51"/>
      <c r="AQ287" s="12"/>
      <c r="AR287" s="12"/>
      <c r="AS287" s="12"/>
      <c r="AT287" s="12"/>
      <c r="AU287" s="12"/>
      <c r="AV287" s="2"/>
    </row>
    <row r="288" spans="1:48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12"/>
      <c r="J288" s="2"/>
      <c r="K288" s="2"/>
      <c r="L288" s="2"/>
      <c r="M288" s="2"/>
      <c r="N288" s="2"/>
      <c r="O288" s="3"/>
      <c r="Q288" s="12"/>
      <c r="R288" s="12"/>
      <c r="S288" s="12"/>
      <c r="T288" s="12"/>
      <c r="U288" s="12"/>
      <c r="V288" s="12"/>
      <c r="W288" s="12"/>
      <c r="X288" s="12"/>
      <c r="Y288" s="2"/>
      <c r="Z288" s="2"/>
      <c r="AA288" s="2"/>
      <c r="AB288" s="2"/>
      <c r="AC288" s="2"/>
      <c r="AD288" s="2"/>
      <c r="AE288" s="2"/>
      <c r="AF288" s="2"/>
      <c r="AG288" s="32"/>
      <c r="AH288" s="7"/>
      <c r="AI288" s="7"/>
      <c r="AJ288" s="2"/>
      <c r="AK288" s="4"/>
      <c r="AL288" s="22"/>
      <c r="AM288" s="2"/>
      <c r="AN288" s="49"/>
      <c r="AO288" s="22"/>
      <c r="AP288" s="51"/>
      <c r="AQ288" s="12"/>
      <c r="AR288" s="12"/>
      <c r="AS288" s="12"/>
      <c r="AT288" s="12"/>
      <c r="AU288" s="12"/>
      <c r="AV288" s="2"/>
    </row>
    <row r="289" spans="1:48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12"/>
      <c r="J289" s="2"/>
      <c r="K289" s="2"/>
      <c r="L289" s="2"/>
      <c r="M289" s="2"/>
      <c r="N289" s="2"/>
      <c r="O289" s="3"/>
      <c r="Q289" s="12"/>
      <c r="R289" s="12"/>
      <c r="S289" s="12"/>
      <c r="T289" s="12"/>
      <c r="U289" s="12"/>
      <c r="V289" s="12"/>
      <c r="W289" s="12"/>
      <c r="X289" s="12"/>
      <c r="Y289" s="2"/>
      <c r="Z289" s="2"/>
      <c r="AA289" s="2"/>
      <c r="AB289" s="2"/>
      <c r="AC289" s="2"/>
      <c r="AD289" s="2"/>
      <c r="AE289" s="2"/>
      <c r="AF289" s="2"/>
      <c r="AG289" s="32"/>
      <c r="AH289" s="7"/>
      <c r="AI289" s="7"/>
      <c r="AJ289" s="2"/>
      <c r="AK289" s="4"/>
      <c r="AL289" s="22"/>
      <c r="AM289" s="2"/>
      <c r="AN289" s="49"/>
      <c r="AO289" s="22"/>
      <c r="AP289" s="51"/>
      <c r="AQ289" s="12"/>
      <c r="AR289" s="12"/>
      <c r="AS289" s="12"/>
      <c r="AT289" s="12"/>
      <c r="AU289" s="12"/>
      <c r="AV289" s="2"/>
    </row>
    <row r="290" spans="1:48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12"/>
      <c r="J290" s="2"/>
      <c r="K290" s="2"/>
      <c r="L290" s="2"/>
      <c r="M290" s="2"/>
      <c r="N290" s="2"/>
      <c r="O290" s="3"/>
      <c r="Q290" s="12"/>
      <c r="R290" s="12"/>
      <c r="S290" s="12"/>
      <c r="T290" s="12"/>
      <c r="U290" s="12"/>
      <c r="V290" s="12"/>
      <c r="W290" s="12"/>
      <c r="X290" s="12"/>
      <c r="Y290" s="2"/>
      <c r="Z290" s="2"/>
      <c r="AA290" s="2"/>
      <c r="AB290" s="2"/>
      <c r="AC290" s="2"/>
      <c r="AD290" s="2"/>
      <c r="AE290" s="2"/>
      <c r="AF290" s="2"/>
      <c r="AG290" s="32"/>
      <c r="AH290" s="7"/>
      <c r="AI290" s="7"/>
      <c r="AJ290" s="2"/>
      <c r="AK290" s="4"/>
      <c r="AL290" s="22"/>
      <c r="AM290" s="2"/>
      <c r="AN290" s="49"/>
      <c r="AO290" s="22"/>
      <c r="AP290" s="51"/>
      <c r="AQ290" s="12"/>
      <c r="AR290" s="12"/>
      <c r="AS290" s="12"/>
      <c r="AT290" s="12"/>
      <c r="AU290" s="12"/>
      <c r="AV290" s="2"/>
    </row>
    <row r="291" spans="1:48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12"/>
      <c r="J291" s="2"/>
      <c r="K291" s="2"/>
      <c r="L291" s="2"/>
      <c r="M291" s="2"/>
      <c r="N291" s="2"/>
      <c r="O291" s="3"/>
      <c r="Q291" s="12"/>
      <c r="R291" s="12"/>
      <c r="S291" s="12"/>
      <c r="T291" s="12"/>
      <c r="U291" s="12"/>
      <c r="V291" s="12"/>
      <c r="W291" s="12"/>
      <c r="X291" s="12"/>
      <c r="Y291" s="2"/>
      <c r="Z291" s="2"/>
      <c r="AA291" s="2"/>
      <c r="AB291" s="2"/>
      <c r="AC291" s="2"/>
      <c r="AD291" s="2"/>
      <c r="AE291" s="2"/>
      <c r="AF291" s="2"/>
      <c r="AG291" s="32"/>
      <c r="AH291" s="7"/>
      <c r="AI291" s="7"/>
      <c r="AJ291" s="2"/>
      <c r="AK291" s="4"/>
      <c r="AL291" s="22"/>
      <c r="AM291" s="2"/>
      <c r="AN291" s="49"/>
      <c r="AO291" s="22"/>
      <c r="AP291" s="51"/>
      <c r="AQ291" s="12"/>
      <c r="AR291" s="12"/>
      <c r="AS291" s="12"/>
      <c r="AT291" s="12"/>
      <c r="AU291" s="12"/>
      <c r="AV291" s="2"/>
    </row>
    <row r="292" spans="1:48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12"/>
      <c r="J292" s="2"/>
      <c r="K292" s="2"/>
      <c r="L292" s="2"/>
      <c r="M292" s="2"/>
      <c r="N292" s="2"/>
      <c r="O292" s="3"/>
      <c r="Q292" s="12"/>
      <c r="R292" s="12"/>
      <c r="S292" s="12"/>
      <c r="T292" s="12"/>
      <c r="U292" s="12"/>
      <c r="V292" s="12"/>
      <c r="W292" s="12"/>
      <c r="X292" s="12"/>
      <c r="Y292" s="2"/>
      <c r="Z292" s="2"/>
      <c r="AA292" s="2"/>
      <c r="AB292" s="2"/>
      <c r="AC292" s="2"/>
      <c r="AD292" s="2"/>
      <c r="AE292" s="2"/>
      <c r="AF292" s="2"/>
      <c r="AG292" s="32"/>
      <c r="AH292" s="7"/>
      <c r="AI292" s="7"/>
      <c r="AJ292" s="2"/>
      <c r="AK292" s="4"/>
      <c r="AL292" s="22"/>
      <c r="AM292" s="2"/>
      <c r="AN292" s="49"/>
      <c r="AO292" s="22"/>
      <c r="AP292" s="51"/>
      <c r="AQ292" s="12"/>
      <c r="AR292" s="12"/>
      <c r="AS292" s="12"/>
      <c r="AT292" s="12"/>
      <c r="AU292" s="12"/>
      <c r="AV292" s="2"/>
    </row>
    <row r="293" spans="1:48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12"/>
      <c r="J293" s="2"/>
      <c r="K293" s="2"/>
      <c r="L293" s="2"/>
      <c r="M293" s="2"/>
      <c r="N293" s="2"/>
      <c r="O293" s="3"/>
      <c r="Q293" s="12"/>
      <c r="R293" s="12"/>
      <c r="S293" s="12"/>
      <c r="T293" s="12"/>
      <c r="U293" s="12"/>
      <c r="V293" s="12"/>
      <c r="W293" s="12"/>
      <c r="X293" s="12"/>
      <c r="Y293" s="2"/>
      <c r="Z293" s="2"/>
      <c r="AA293" s="2"/>
      <c r="AB293" s="2"/>
      <c r="AC293" s="2"/>
      <c r="AD293" s="2"/>
      <c r="AE293" s="2"/>
      <c r="AF293" s="2"/>
      <c r="AG293" s="32"/>
      <c r="AH293" s="7"/>
      <c r="AI293" s="7"/>
      <c r="AJ293" s="2"/>
      <c r="AK293" s="4"/>
      <c r="AL293" s="22"/>
      <c r="AM293" s="2"/>
      <c r="AN293" s="49"/>
      <c r="AO293" s="22"/>
      <c r="AP293" s="51"/>
      <c r="AQ293" s="12"/>
      <c r="AR293" s="12"/>
      <c r="AS293" s="12"/>
      <c r="AT293" s="12"/>
      <c r="AU293" s="12"/>
      <c r="AV293" s="2"/>
    </row>
    <row r="294" spans="1:48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12"/>
      <c r="J294" s="2"/>
      <c r="K294" s="2"/>
      <c r="L294" s="2"/>
      <c r="M294" s="2"/>
      <c r="N294" s="2"/>
      <c r="O294" s="3"/>
      <c r="Q294" s="12"/>
      <c r="R294" s="12"/>
      <c r="S294" s="12"/>
      <c r="T294" s="12"/>
      <c r="U294" s="12"/>
      <c r="V294" s="12"/>
      <c r="W294" s="12"/>
      <c r="X294" s="12"/>
      <c r="Y294" s="2"/>
      <c r="Z294" s="2"/>
      <c r="AA294" s="2"/>
      <c r="AB294" s="2"/>
      <c r="AC294" s="2"/>
      <c r="AD294" s="2"/>
      <c r="AE294" s="2"/>
      <c r="AF294" s="2"/>
      <c r="AG294" s="32"/>
      <c r="AH294" s="7"/>
      <c r="AI294" s="7"/>
      <c r="AJ294" s="2"/>
      <c r="AK294" s="4"/>
      <c r="AL294" s="22"/>
      <c r="AM294" s="2"/>
      <c r="AN294" s="49"/>
      <c r="AO294" s="22"/>
      <c r="AP294" s="51"/>
      <c r="AQ294" s="12"/>
      <c r="AR294" s="12"/>
      <c r="AS294" s="12"/>
      <c r="AT294" s="12"/>
      <c r="AU294" s="12"/>
      <c r="AV294" s="2"/>
    </row>
    <row r="295" spans="1:48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12"/>
      <c r="J295" s="2"/>
      <c r="K295" s="2"/>
      <c r="L295" s="2"/>
      <c r="M295" s="2"/>
      <c r="N295" s="2"/>
      <c r="O295" s="3"/>
      <c r="Q295" s="12"/>
      <c r="R295" s="12"/>
      <c r="S295" s="12"/>
      <c r="T295" s="12"/>
      <c r="U295" s="12"/>
      <c r="V295" s="12"/>
      <c r="W295" s="12"/>
      <c r="X295" s="12"/>
      <c r="Y295" s="2"/>
      <c r="Z295" s="2"/>
      <c r="AA295" s="2"/>
      <c r="AB295" s="2"/>
      <c r="AC295" s="2"/>
      <c r="AD295" s="2"/>
      <c r="AE295" s="2"/>
      <c r="AF295" s="2"/>
      <c r="AG295" s="32"/>
      <c r="AH295" s="7"/>
      <c r="AI295" s="7"/>
      <c r="AJ295" s="2"/>
      <c r="AK295" s="4"/>
      <c r="AL295" s="22"/>
      <c r="AM295" s="2"/>
      <c r="AN295" s="49"/>
      <c r="AO295" s="22"/>
      <c r="AP295" s="51"/>
      <c r="AQ295" s="12"/>
      <c r="AR295" s="12"/>
      <c r="AS295" s="12"/>
      <c r="AT295" s="12"/>
      <c r="AU295" s="12"/>
      <c r="AV295" s="2"/>
    </row>
    <row r="296" spans="1:48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12"/>
      <c r="J296" s="2"/>
      <c r="K296" s="2"/>
      <c r="L296" s="2"/>
      <c r="M296" s="2"/>
      <c r="N296" s="2"/>
      <c r="O296" s="3"/>
      <c r="Q296" s="12"/>
      <c r="R296" s="12"/>
      <c r="S296" s="12"/>
      <c r="T296" s="12"/>
      <c r="U296" s="12"/>
      <c r="V296" s="12"/>
      <c r="W296" s="12"/>
      <c r="X296" s="12"/>
      <c r="Y296" s="2"/>
      <c r="Z296" s="2"/>
      <c r="AA296" s="2"/>
      <c r="AB296" s="2"/>
      <c r="AC296" s="2"/>
      <c r="AD296" s="2"/>
      <c r="AE296" s="2"/>
      <c r="AF296" s="2"/>
      <c r="AG296" s="32"/>
      <c r="AH296" s="7"/>
      <c r="AI296" s="7"/>
      <c r="AJ296" s="2"/>
      <c r="AK296" s="4"/>
      <c r="AL296" s="22"/>
      <c r="AM296" s="2"/>
      <c r="AN296" s="49"/>
      <c r="AO296" s="22"/>
      <c r="AP296" s="51"/>
      <c r="AQ296" s="12"/>
      <c r="AR296" s="12"/>
      <c r="AS296" s="12"/>
      <c r="AT296" s="12"/>
      <c r="AU296" s="12"/>
      <c r="AV296" s="2"/>
    </row>
    <row r="297" spans="1:48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12"/>
      <c r="J297" s="2"/>
      <c r="K297" s="2"/>
      <c r="L297" s="2"/>
      <c r="M297" s="2"/>
      <c r="N297" s="2"/>
      <c r="O297" s="3"/>
      <c r="Q297" s="12"/>
      <c r="R297" s="12"/>
      <c r="S297" s="12"/>
      <c r="T297" s="12"/>
      <c r="U297" s="12"/>
      <c r="V297" s="12"/>
      <c r="W297" s="12"/>
      <c r="X297" s="12"/>
      <c r="Y297" s="2"/>
      <c r="Z297" s="2"/>
      <c r="AA297" s="2"/>
      <c r="AB297" s="2"/>
      <c r="AC297" s="2"/>
      <c r="AD297" s="2"/>
      <c r="AE297" s="2"/>
      <c r="AF297" s="2"/>
      <c r="AG297" s="32"/>
      <c r="AH297" s="7"/>
      <c r="AI297" s="7"/>
      <c r="AJ297" s="2"/>
      <c r="AK297" s="4"/>
      <c r="AL297" s="22"/>
      <c r="AM297" s="2"/>
      <c r="AN297" s="49"/>
      <c r="AO297" s="22"/>
      <c r="AP297" s="51"/>
      <c r="AQ297" s="12"/>
      <c r="AR297" s="12"/>
      <c r="AS297" s="12"/>
      <c r="AT297" s="12"/>
      <c r="AU297" s="12"/>
      <c r="AV297" s="2"/>
    </row>
    <row r="298" spans="1:48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12"/>
      <c r="J298" s="2"/>
      <c r="K298" s="2"/>
      <c r="L298" s="2"/>
      <c r="M298" s="2"/>
      <c r="N298" s="2"/>
      <c r="O298" s="3"/>
      <c r="Q298" s="12"/>
      <c r="R298" s="12"/>
      <c r="S298" s="12"/>
      <c r="T298" s="12"/>
      <c r="U298" s="12"/>
      <c r="V298" s="12"/>
      <c r="W298" s="12"/>
      <c r="X298" s="12"/>
      <c r="Y298" s="2"/>
      <c r="Z298" s="2"/>
      <c r="AA298" s="2"/>
      <c r="AB298" s="2"/>
      <c r="AC298" s="2"/>
      <c r="AD298" s="2"/>
      <c r="AE298" s="2"/>
      <c r="AF298" s="2"/>
      <c r="AG298" s="32"/>
      <c r="AH298" s="7"/>
      <c r="AI298" s="7"/>
      <c r="AJ298" s="2"/>
      <c r="AK298" s="4"/>
      <c r="AL298" s="22"/>
      <c r="AM298" s="2"/>
      <c r="AN298" s="49"/>
      <c r="AO298" s="22"/>
      <c r="AP298" s="51"/>
      <c r="AQ298" s="12"/>
      <c r="AR298" s="12"/>
      <c r="AS298" s="12"/>
      <c r="AT298" s="12"/>
      <c r="AU298" s="12"/>
      <c r="AV298" s="2"/>
    </row>
    <row r="299" spans="1:48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12"/>
      <c r="J299" s="2"/>
      <c r="K299" s="2"/>
      <c r="L299" s="2"/>
      <c r="M299" s="2"/>
      <c r="N299" s="2"/>
      <c r="O299" s="3"/>
      <c r="Q299" s="12"/>
      <c r="R299" s="12"/>
      <c r="S299" s="12"/>
      <c r="T299" s="12"/>
      <c r="U299" s="12"/>
      <c r="V299" s="12"/>
      <c r="W299" s="12"/>
      <c r="X299" s="12"/>
      <c r="Y299" s="2"/>
      <c r="Z299" s="2"/>
      <c r="AA299" s="2"/>
      <c r="AB299" s="2"/>
      <c r="AC299" s="2"/>
      <c r="AD299" s="2"/>
      <c r="AE299" s="2"/>
      <c r="AF299" s="2"/>
      <c r="AG299" s="32"/>
      <c r="AH299" s="7"/>
      <c r="AI299" s="7"/>
      <c r="AJ299" s="2"/>
      <c r="AK299" s="4"/>
      <c r="AL299" s="22"/>
      <c r="AM299" s="2"/>
      <c r="AN299" s="49"/>
      <c r="AO299" s="22"/>
      <c r="AP299" s="51"/>
      <c r="AQ299" s="12"/>
      <c r="AR299" s="12"/>
      <c r="AS299" s="12"/>
      <c r="AT299" s="12"/>
      <c r="AU299" s="12"/>
      <c r="AV299" s="2"/>
    </row>
    <row r="300" spans="1:48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12"/>
      <c r="J300" s="2"/>
      <c r="K300" s="2"/>
      <c r="L300" s="2"/>
      <c r="M300" s="2"/>
      <c r="N300" s="2"/>
      <c r="O300" s="3"/>
      <c r="Q300" s="12"/>
      <c r="R300" s="12"/>
      <c r="S300" s="12"/>
      <c r="T300" s="12"/>
      <c r="U300" s="12"/>
      <c r="V300" s="12"/>
      <c r="W300" s="12"/>
      <c r="X300" s="12"/>
      <c r="Y300" s="2"/>
      <c r="Z300" s="2"/>
      <c r="AA300" s="2"/>
      <c r="AB300" s="2"/>
      <c r="AC300" s="2"/>
      <c r="AD300" s="2"/>
      <c r="AE300" s="2"/>
      <c r="AF300" s="2"/>
      <c r="AG300" s="32"/>
      <c r="AH300" s="7"/>
      <c r="AI300" s="7"/>
      <c r="AJ300" s="2"/>
      <c r="AK300" s="4"/>
      <c r="AL300" s="22"/>
      <c r="AM300" s="2"/>
      <c r="AN300" s="49"/>
      <c r="AO300" s="22"/>
      <c r="AP300" s="51"/>
      <c r="AQ300" s="12"/>
      <c r="AR300" s="12"/>
      <c r="AS300" s="12"/>
      <c r="AT300" s="12"/>
      <c r="AU300" s="12"/>
      <c r="AV300" s="2"/>
    </row>
    <row r="301" spans="1:48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12"/>
      <c r="J301" s="2"/>
      <c r="K301" s="2"/>
      <c r="L301" s="2"/>
      <c r="M301" s="2"/>
      <c r="N301" s="2"/>
      <c r="O301" s="3"/>
      <c r="Q301" s="12"/>
      <c r="R301" s="12"/>
      <c r="S301" s="12"/>
      <c r="T301" s="12"/>
      <c r="U301" s="12"/>
      <c r="V301" s="12"/>
      <c r="W301" s="12"/>
      <c r="X301" s="12"/>
      <c r="Y301" s="2"/>
      <c r="Z301" s="2"/>
      <c r="AA301" s="2"/>
      <c r="AB301" s="2"/>
      <c r="AC301" s="2"/>
      <c r="AD301" s="2"/>
      <c r="AE301" s="2"/>
      <c r="AF301" s="2"/>
      <c r="AG301" s="32"/>
      <c r="AH301" s="7"/>
      <c r="AI301" s="7"/>
      <c r="AJ301" s="2"/>
      <c r="AK301" s="4"/>
      <c r="AL301" s="22"/>
      <c r="AM301" s="2"/>
      <c r="AN301" s="49"/>
      <c r="AO301" s="22"/>
      <c r="AP301" s="51"/>
      <c r="AQ301" s="12"/>
      <c r="AR301" s="12"/>
      <c r="AS301" s="12"/>
      <c r="AT301" s="12"/>
      <c r="AU301" s="12"/>
      <c r="AV301" s="2"/>
    </row>
    <row r="302" spans="1:48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12"/>
      <c r="J302" s="2"/>
      <c r="K302" s="2"/>
      <c r="L302" s="2"/>
      <c r="M302" s="2"/>
      <c r="N302" s="2"/>
      <c r="O302" s="3"/>
      <c r="Q302" s="12"/>
      <c r="R302" s="12"/>
      <c r="S302" s="12"/>
      <c r="T302" s="12"/>
      <c r="U302" s="12"/>
      <c r="V302" s="12"/>
      <c r="W302" s="12"/>
      <c r="X302" s="12"/>
      <c r="Y302" s="2"/>
      <c r="Z302" s="2"/>
      <c r="AA302" s="2"/>
      <c r="AB302" s="2"/>
      <c r="AC302" s="2"/>
      <c r="AD302" s="2"/>
      <c r="AE302" s="2"/>
      <c r="AF302" s="2"/>
      <c r="AG302" s="32"/>
      <c r="AH302" s="7"/>
      <c r="AI302" s="7"/>
      <c r="AJ302" s="2"/>
      <c r="AK302" s="4"/>
      <c r="AL302" s="22"/>
      <c r="AM302" s="2"/>
      <c r="AN302" s="49"/>
      <c r="AO302" s="22"/>
      <c r="AP302" s="51"/>
      <c r="AQ302" s="12"/>
      <c r="AR302" s="12"/>
      <c r="AS302" s="12"/>
      <c r="AT302" s="12"/>
      <c r="AU302" s="12"/>
      <c r="AV302" s="2"/>
    </row>
    <row r="303" spans="1:48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12"/>
      <c r="J303" s="2"/>
      <c r="K303" s="2"/>
      <c r="L303" s="2"/>
      <c r="M303" s="2"/>
      <c r="N303" s="2"/>
      <c r="O303" s="3"/>
      <c r="Q303" s="12"/>
      <c r="R303" s="12"/>
      <c r="S303" s="12"/>
      <c r="T303" s="12"/>
      <c r="U303" s="12"/>
      <c r="V303" s="12"/>
      <c r="W303" s="12"/>
      <c r="X303" s="12"/>
      <c r="Y303" s="2"/>
      <c r="Z303" s="2"/>
      <c r="AA303" s="2"/>
      <c r="AB303" s="2"/>
      <c r="AC303" s="2"/>
      <c r="AD303" s="2"/>
      <c r="AE303" s="2"/>
      <c r="AF303" s="2"/>
      <c r="AG303" s="32"/>
      <c r="AH303" s="7"/>
      <c r="AI303" s="7"/>
      <c r="AJ303" s="2"/>
      <c r="AK303" s="4"/>
      <c r="AL303" s="22"/>
      <c r="AM303" s="2"/>
      <c r="AN303" s="49"/>
      <c r="AO303" s="22"/>
      <c r="AP303" s="51"/>
      <c r="AQ303" s="12"/>
      <c r="AR303" s="12"/>
      <c r="AS303" s="12"/>
      <c r="AT303" s="12"/>
      <c r="AU303" s="12"/>
      <c r="AV303" s="2"/>
    </row>
    <row r="304" spans="1:48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12"/>
      <c r="J304" s="2"/>
      <c r="K304" s="2"/>
      <c r="L304" s="2"/>
      <c r="M304" s="2"/>
      <c r="N304" s="2"/>
      <c r="O304" s="3"/>
      <c r="Q304" s="12"/>
      <c r="R304" s="12"/>
      <c r="S304" s="12"/>
      <c r="T304" s="12"/>
      <c r="U304" s="12"/>
      <c r="V304" s="12"/>
      <c r="W304" s="12"/>
      <c r="X304" s="12"/>
      <c r="Y304" s="2"/>
      <c r="Z304" s="2"/>
      <c r="AA304" s="2"/>
      <c r="AB304" s="2"/>
      <c r="AC304" s="2"/>
      <c r="AD304" s="2"/>
      <c r="AE304" s="2"/>
      <c r="AF304" s="2"/>
      <c r="AG304" s="32"/>
      <c r="AH304" s="7"/>
      <c r="AI304" s="7"/>
      <c r="AJ304" s="2"/>
      <c r="AK304" s="4"/>
      <c r="AL304" s="22"/>
      <c r="AM304" s="2"/>
      <c r="AN304" s="49"/>
      <c r="AO304" s="22"/>
      <c r="AP304" s="51"/>
      <c r="AQ304" s="12"/>
      <c r="AR304" s="12"/>
      <c r="AS304" s="12"/>
      <c r="AT304" s="12"/>
      <c r="AU304" s="12"/>
      <c r="AV304" s="2"/>
    </row>
    <row r="305" spans="1:48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12"/>
      <c r="J305" s="2"/>
      <c r="K305" s="2"/>
      <c r="L305" s="2"/>
      <c r="M305" s="2"/>
      <c r="N305" s="2"/>
      <c r="O305" s="3"/>
      <c r="Q305" s="12"/>
      <c r="R305" s="12"/>
      <c r="S305" s="12"/>
      <c r="T305" s="12"/>
      <c r="U305" s="12"/>
      <c r="V305" s="12"/>
      <c r="W305" s="12"/>
      <c r="X305" s="12"/>
      <c r="Y305" s="2"/>
      <c r="Z305" s="2"/>
      <c r="AA305" s="2"/>
      <c r="AB305" s="2"/>
      <c r="AC305" s="2"/>
      <c r="AD305" s="2"/>
      <c r="AE305" s="2"/>
      <c r="AF305" s="2"/>
      <c r="AG305" s="32"/>
      <c r="AH305" s="7"/>
      <c r="AI305" s="7"/>
      <c r="AJ305" s="2"/>
      <c r="AK305" s="4"/>
      <c r="AL305" s="22"/>
      <c r="AM305" s="2"/>
      <c r="AN305" s="49"/>
      <c r="AO305" s="22"/>
      <c r="AP305" s="51"/>
      <c r="AQ305" s="12"/>
      <c r="AR305" s="12"/>
      <c r="AS305" s="12"/>
      <c r="AT305" s="12"/>
      <c r="AU305" s="12"/>
      <c r="AV305" s="2"/>
    </row>
    <row r="306" spans="1:48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12"/>
      <c r="J306" s="2"/>
      <c r="K306" s="2"/>
      <c r="L306" s="2"/>
      <c r="M306" s="2"/>
      <c r="N306" s="2"/>
      <c r="O306" s="3"/>
      <c r="Q306" s="12"/>
      <c r="R306" s="12"/>
      <c r="S306" s="12"/>
      <c r="T306" s="12"/>
      <c r="U306" s="12"/>
      <c r="V306" s="12"/>
      <c r="W306" s="12"/>
      <c r="X306" s="12"/>
      <c r="Y306" s="2"/>
      <c r="Z306" s="2"/>
      <c r="AA306" s="2"/>
      <c r="AB306" s="2"/>
      <c r="AC306" s="2"/>
      <c r="AD306" s="2"/>
      <c r="AE306" s="2"/>
      <c r="AF306" s="2"/>
      <c r="AG306" s="32"/>
      <c r="AH306" s="7"/>
      <c r="AI306" s="7"/>
      <c r="AJ306" s="2"/>
      <c r="AK306" s="4"/>
      <c r="AL306" s="22"/>
      <c r="AM306" s="2"/>
      <c r="AN306" s="49"/>
      <c r="AO306" s="22"/>
      <c r="AP306" s="51"/>
      <c r="AQ306" s="12"/>
      <c r="AR306" s="12"/>
      <c r="AS306" s="12"/>
      <c r="AT306" s="12"/>
      <c r="AU306" s="12"/>
      <c r="AV306" s="2"/>
    </row>
    <row r="307" spans="1:48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12"/>
      <c r="J307" s="2"/>
      <c r="K307" s="2"/>
      <c r="L307" s="2"/>
      <c r="M307" s="2"/>
      <c r="N307" s="2"/>
      <c r="O307" s="3"/>
      <c r="Q307" s="12"/>
      <c r="R307" s="12"/>
      <c r="S307" s="12"/>
      <c r="T307" s="12"/>
      <c r="U307" s="12"/>
      <c r="V307" s="12"/>
      <c r="W307" s="12"/>
      <c r="X307" s="12"/>
      <c r="Y307" s="2"/>
      <c r="Z307" s="2"/>
      <c r="AA307" s="2"/>
      <c r="AB307" s="2"/>
      <c r="AC307" s="2"/>
      <c r="AD307" s="2"/>
      <c r="AE307" s="2"/>
      <c r="AF307" s="2"/>
      <c r="AG307" s="32"/>
      <c r="AH307" s="7"/>
      <c r="AI307" s="7"/>
      <c r="AJ307" s="2"/>
      <c r="AK307" s="4"/>
      <c r="AL307" s="22"/>
      <c r="AM307" s="2"/>
      <c r="AN307" s="49"/>
      <c r="AO307" s="22"/>
      <c r="AP307" s="51"/>
      <c r="AQ307" s="12"/>
      <c r="AR307" s="12"/>
      <c r="AS307" s="12"/>
      <c r="AT307" s="12"/>
      <c r="AU307" s="12"/>
      <c r="AV307" s="2"/>
    </row>
    <row r="308" spans="1:48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12"/>
      <c r="J308" s="2"/>
      <c r="K308" s="2"/>
      <c r="L308" s="2"/>
      <c r="M308" s="2"/>
      <c r="N308" s="2"/>
      <c r="O308" s="3"/>
      <c r="Q308" s="12"/>
      <c r="R308" s="12"/>
      <c r="S308" s="12"/>
      <c r="T308" s="12"/>
      <c r="U308" s="12"/>
      <c r="V308" s="12"/>
      <c r="W308" s="12"/>
      <c r="X308" s="12"/>
      <c r="Y308" s="2"/>
      <c r="Z308" s="2"/>
      <c r="AA308" s="2"/>
      <c r="AB308" s="2"/>
      <c r="AC308" s="2"/>
      <c r="AD308" s="2"/>
      <c r="AE308" s="2"/>
      <c r="AF308" s="2"/>
      <c r="AG308" s="32"/>
      <c r="AH308" s="7"/>
      <c r="AI308" s="7"/>
      <c r="AJ308" s="2"/>
      <c r="AK308" s="4"/>
      <c r="AL308" s="22"/>
      <c r="AM308" s="2"/>
      <c r="AN308" s="49"/>
      <c r="AO308" s="22"/>
      <c r="AP308" s="51"/>
      <c r="AQ308" s="12"/>
      <c r="AR308" s="12"/>
      <c r="AS308" s="12"/>
      <c r="AT308" s="12"/>
      <c r="AU308" s="12"/>
      <c r="AV308" s="2"/>
    </row>
    <row r="309" spans="1:48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12"/>
      <c r="J309" s="2"/>
      <c r="K309" s="2"/>
      <c r="L309" s="2"/>
      <c r="M309" s="2"/>
      <c r="N309" s="2"/>
      <c r="O309" s="3"/>
      <c r="Q309" s="12"/>
      <c r="R309" s="12"/>
      <c r="S309" s="12"/>
      <c r="T309" s="12"/>
      <c r="U309" s="12"/>
      <c r="V309" s="12"/>
      <c r="W309" s="12"/>
      <c r="X309" s="12"/>
      <c r="Y309" s="2"/>
      <c r="Z309" s="2"/>
      <c r="AA309" s="2"/>
      <c r="AB309" s="2"/>
      <c r="AC309" s="2"/>
      <c r="AD309" s="2"/>
      <c r="AE309" s="2"/>
      <c r="AF309" s="2"/>
      <c r="AG309" s="32"/>
      <c r="AH309" s="7"/>
      <c r="AI309" s="7"/>
      <c r="AJ309" s="2"/>
      <c r="AK309" s="4"/>
      <c r="AL309" s="22"/>
      <c r="AM309" s="2"/>
      <c r="AN309" s="49"/>
      <c r="AO309" s="22"/>
      <c r="AP309" s="51"/>
      <c r="AQ309" s="12"/>
      <c r="AR309" s="12"/>
      <c r="AS309" s="12"/>
      <c r="AT309" s="12"/>
      <c r="AU309" s="12"/>
      <c r="AV309" s="2"/>
    </row>
    <row r="310" spans="1:48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12"/>
      <c r="J310" s="2"/>
      <c r="K310" s="2"/>
      <c r="L310" s="2"/>
      <c r="M310" s="2"/>
      <c r="N310" s="2"/>
      <c r="O310" s="3"/>
      <c r="Q310" s="12"/>
      <c r="R310" s="12"/>
      <c r="S310" s="12"/>
      <c r="T310" s="12"/>
      <c r="U310" s="12"/>
      <c r="V310" s="12"/>
      <c r="W310" s="12"/>
      <c r="X310" s="12"/>
      <c r="Y310" s="2"/>
      <c r="Z310" s="2"/>
      <c r="AA310" s="2"/>
      <c r="AB310" s="2"/>
      <c r="AC310" s="2"/>
      <c r="AD310" s="2"/>
      <c r="AE310" s="2"/>
      <c r="AF310" s="2"/>
      <c r="AG310" s="32"/>
      <c r="AH310" s="7"/>
      <c r="AI310" s="7"/>
      <c r="AJ310" s="2"/>
      <c r="AK310" s="4"/>
      <c r="AL310" s="22"/>
      <c r="AM310" s="2"/>
      <c r="AN310" s="49"/>
      <c r="AO310" s="22"/>
      <c r="AP310" s="51"/>
      <c r="AQ310" s="12"/>
      <c r="AR310" s="12"/>
      <c r="AS310" s="12"/>
      <c r="AT310" s="12"/>
      <c r="AU310" s="12"/>
      <c r="AV310" s="2"/>
    </row>
    <row r="311" spans="1:48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12"/>
      <c r="J311" s="2"/>
      <c r="K311" s="2"/>
      <c r="L311" s="2"/>
      <c r="M311" s="2"/>
      <c r="N311" s="2"/>
      <c r="O311" s="3"/>
      <c r="Q311" s="12"/>
      <c r="R311" s="12"/>
      <c r="S311" s="12"/>
      <c r="T311" s="12"/>
      <c r="U311" s="12"/>
      <c r="V311" s="12"/>
      <c r="W311" s="12"/>
      <c r="X311" s="12"/>
      <c r="Y311" s="2"/>
      <c r="Z311" s="2"/>
      <c r="AA311" s="2"/>
      <c r="AB311" s="2"/>
      <c r="AC311" s="2"/>
      <c r="AD311" s="2"/>
      <c r="AE311" s="2"/>
      <c r="AF311" s="2"/>
      <c r="AG311" s="32"/>
      <c r="AH311" s="7"/>
      <c r="AI311" s="7"/>
      <c r="AJ311" s="2"/>
      <c r="AK311" s="4"/>
      <c r="AL311" s="22"/>
      <c r="AM311" s="2"/>
      <c r="AN311" s="49"/>
      <c r="AO311" s="22"/>
      <c r="AP311" s="51"/>
      <c r="AQ311" s="12"/>
      <c r="AR311" s="12"/>
      <c r="AS311" s="12"/>
      <c r="AT311" s="12"/>
      <c r="AU311" s="12"/>
      <c r="AV311" s="2"/>
    </row>
    <row r="312" spans="1:48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12"/>
      <c r="J312" s="2"/>
      <c r="K312" s="2"/>
      <c r="L312" s="2"/>
      <c r="M312" s="2"/>
      <c r="N312" s="2"/>
      <c r="O312" s="3"/>
      <c r="Q312" s="12"/>
      <c r="R312" s="12"/>
      <c r="S312" s="12"/>
      <c r="T312" s="12"/>
      <c r="U312" s="12"/>
      <c r="V312" s="12"/>
      <c r="W312" s="12"/>
      <c r="X312" s="12"/>
      <c r="Y312" s="2"/>
      <c r="Z312" s="2"/>
      <c r="AA312" s="2"/>
      <c r="AB312" s="2"/>
      <c r="AC312" s="2"/>
      <c r="AD312" s="2"/>
      <c r="AE312" s="2"/>
      <c r="AF312" s="2"/>
      <c r="AG312" s="32"/>
      <c r="AH312" s="7"/>
      <c r="AI312" s="7"/>
      <c r="AJ312" s="2"/>
      <c r="AK312" s="4"/>
      <c r="AL312" s="22"/>
      <c r="AM312" s="2"/>
      <c r="AN312" s="49"/>
      <c r="AO312" s="22"/>
      <c r="AP312" s="51"/>
      <c r="AQ312" s="12"/>
      <c r="AR312" s="12"/>
      <c r="AS312" s="12"/>
      <c r="AT312" s="12"/>
      <c r="AU312" s="12"/>
      <c r="AV312" s="2"/>
    </row>
    <row r="313" spans="1:48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12"/>
      <c r="J313" s="2"/>
      <c r="K313" s="2"/>
      <c r="L313" s="2"/>
      <c r="M313" s="2"/>
      <c r="N313" s="2"/>
      <c r="O313" s="3"/>
      <c r="Q313" s="12"/>
      <c r="R313" s="12"/>
      <c r="S313" s="12"/>
      <c r="T313" s="12"/>
      <c r="U313" s="12"/>
      <c r="V313" s="12"/>
      <c r="W313" s="12"/>
      <c r="X313" s="12"/>
      <c r="Y313" s="2"/>
      <c r="Z313" s="2"/>
      <c r="AA313" s="2"/>
      <c r="AB313" s="2"/>
      <c r="AC313" s="2"/>
      <c r="AD313" s="2"/>
      <c r="AE313" s="2"/>
      <c r="AF313" s="2"/>
      <c r="AG313" s="32"/>
      <c r="AH313" s="7"/>
      <c r="AI313" s="7"/>
      <c r="AJ313" s="2"/>
      <c r="AK313" s="4"/>
      <c r="AL313" s="22"/>
      <c r="AM313" s="2"/>
      <c r="AN313" s="49"/>
      <c r="AO313" s="22"/>
      <c r="AP313" s="51"/>
      <c r="AQ313" s="12"/>
      <c r="AR313" s="12"/>
      <c r="AS313" s="12"/>
      <c r="AT313" s="12"/>
      <c r="AU313" s="12"/>
      <c r="AV313" s="2"/>
    </row>
    <row r="314" spans="1:48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12"/>
      <c r="J314" s="2"/>
      <c r="K314" s="2"/>
      <c r="L314" s="2"/>
      <c r="M314" s="2"/>
      <c r="N314" s="2"/>
      <c r="O314" s="3"/>
      <c r="Q314" s="12"/>
      <c r="R314" s="12"/>
      <c r="S314" s="12"/>
      <c r="T314" s="12"/>
      <c r="U314" s="12"/>
      <c r="V314" s="12"/>
      <c r="W314" s="12"/>
      <c r="X314" s="12"/>
      <c r="Y314" s="2"/>
      <c r="Z314" s="2"/>
      <c r="AA314" s="2"/>
      <c r="AB314" s="2"/>
      <c r="AC314" s="2"/>
      <c r="AD314" s="2"/>
      <c r="AE314" s="2"/>
      <c r="AF314" s="2"/>
      <c r="AG314" s="32"/>
      <c r="AH314" s="7"/>
      <c r="AI314" s="7"/>
      <c r="AJ314" s="2"/>
      <c r="AK314" s="4"/>
      <c r="AL314" s="22"/>
      <c r="AM314" s="2"/>
      <c r="AN314" s="49"/>
      <c r="AO314" s="22"/>
      <c r="AP314" s="51"/>
      <c r="AQ314" s="12"/>
      <c r="AR314" s="12"/>
      <c r="AS314" s="12"/>
      <c r="AT314" s="12"/>
      <c r="AU314" s="12"/>
      <c r="AV314" s="2"/>
    </row>
    <row r="315" spans="1:48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12"/>
      <c r="J315" s="2"/>
      <c r="K315" s="2"/>
      <c r="L315" s="2"/>
      <c r="M315" s="2"/>
      <c r="N315" s="2"/>
      <c r="O315" s="3"/>
      <c r="Q315" s="12"/>
      <c r="R315" s="12"/>
      <c r="S315" s="12"/>
      <c r="T315" s="12"/>
      <c r="U315" s="12"/>
      <c r="V315" s="12"/>
      <c r="W315" s="12"/>
      <c r="X315" s="12"/>
      <c r="Y315" s="2"/>
      <c r="Z315" s="2"/>
      <c r="AA315" s="2"/>
      <c r="AB315" s="2"/>
      <c r="AC315" s="2"/>
      <c r="AD315" s="2"/>
      <c r="AE315" s="2"/>
      <c r="AF315" s="2"/>
      <c r="AG315" s="32"/>
      <c r="AH315" s="7"/>
      <c r="AI315" s="7"/>
      <c r="AJ315" s="2"/>
      <c r="AK315" s="4"/>
      <c r="AL315" s="22"/>
      <c r="AM315" s="2"/>
      <c r="AN315" s="49"/>
      <c r="AO315" s="22"/>
      <c r="AP315" s="51"/>
      <c r="AQ315" s="12"/>
      <c r="AR315" s="12"/>
      <c r="AS315" s="12"/>
      <c r="AT315" s="12"/>
      <c r="AU315" s="12"/>
      <c r="AV315" s="2"/>
    </row>
    <row r="316" spans="1:48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12"/>
      <c r="J316" s="2"/>
      <c r="K316" s="2"/>
      <c r="L316" s="2"/>
      <c r="M316" s="2"/>
      <c r="N316" s="2"/>
      <c r="O316" s="3"/>
      <c r="Q316" s="12"/>
      <c r="R316" s="12"/>
      <c r="S316" s="12"/>
      <c r="T316" s="12"/>
      <c r="U316" s="12"/>
      <c r="V316" s="12"/>
      <c r="W316" s="12"/>
      <c r="X316" s="12"/>
      <c r="Y316" s="2"/>
      <c r="Z316" s="2"/>
      <c r="AA316" s="2"/>
      <c r="AB316" s="2"/>
      <c r="AC316" s="2"/>
      <c r="AD316" s="2"/>
      <c r="AE316" s="2"/>
      <c r="AF316" s="2"/>
      <c r="AG316" s="32"/>
      <c r="AH316" s="7"/>
      <c r="AI316" s="7"/>
      <c r="AJ316" s="2"/>
      <c r="AK316" s="4"/>
      <c r="AL316" s="22"/>
      <c r="AM316" s="2"/>
      <c r="AN316" s="49"/>
      <c r="AO316" s="22"/>
      <c r="AP316" s="51"/>
      <c r="AQ316" s="12"/>
      <c r="AR316" s="12"/>
      <c r="AS316" s="12"/>
      <c r="AT316" s="12"/>
      <c r="AU316" s="12"/>
      <c r="AV316" s="2"/>
    </row>
    <row r="317" spans="1:48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12"/>
      <c r="J317" s="2"/>
      <c r="K317" s="2"/>
      <c r="L317" s="2"/>
      <c r="M317" s="2"/>
      <c r="N317" s="2"/>
      <c r="O317" s="3"/>
      <c r="Q317" s="12"/>
      <c r="R317" s="12"/>
      <c r="S317" s="12"/>
      <c r="T317" s="12"/>
      <c r="U317" s="12"/>
      <c r="V317" s="12"/>
      <c r="W317" s="12"/>
      <c r="X317" s="12"/>
      <c r="Y317" s="2"/>
      <c r="Z317" s="2"/>
      <c r="AA317" s="2"/>
      <c r="AB317" s="2"/>
      <c r="AC317" s="2"/>
      <c r="AD317" s="2"/>
      <c r="AE317" s="2"/>
      <c r="AF317" s="2"/>
      <c r="AG317" s="32"/>
      <c r="AH317" s="7"/>
      <c r="AI317" s="7"/>
      <c r="AJ317" s="2"/>
      <c r="AK317" s="4"/>
      <c r="AL317" s="22"/>
      <c r="AM317" s="2"/>
      <c r="AN317" s="49"/>
      <c r="AO317" s="22"/>
      <c r="AP317" s="51"/>
      <c r="AQ317" s="12"/>
      <c r="AR317" s="12"/>
      <c r="AS317" s="12"/>
      <c r="AT317" s="12"/>
      <c r="AU317" s="12"/>
      <c r="AV317" s="2"/>
    </row>
    <row r="318" spans="1:48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12"/>
      <c r="J318" s="2"/>
      <c r="K318" s="2"/>
      <c r="L318" s="2"/>
      <c r="M318" s="2"/>
      <c r="N318" s="2"/>
      <c r="O318" s="3"/>
      <c r="Q318" s="12"/>
      <c r="R318" s="12"/>
      <c r="S318" s="12"/>
      <c r="T318" s="12"/>
      <c r="U318" s="12"/>
      <c r="V318" s="12"/>
      <c r="W318" s="12"/>
      <c r="X318" s="12"/>
      <c r="Y318" s="2"/>
      <c r="Z318" s="2"/>
      <c r="AA318" s="2"/>
      <c r="AB318" s="2"/>
      <c r="AC318" s="2"/>
      <c r="AD318" s="2"/>
      <c r="AE318" s="2"/>
      <c r="AF318" s="2"/>
      <c r="AG318" s="32"/>
      <c r="AH318" s="7"/>
      <c r="AI318" s="7"/>
      <c r="AJ318" s="2"/>
      <c r="AK318" s="4"/>
      <c r="AL318" s="22"/>
      <c r="AM318" s="2"/>
      <c r="AN318" s="49"/>
      <c r="AO318" s="22"/>
      <c r="AP318" s="51"/>
      <c r="AQ318" s="12"/>
      <c r="AR318" s="12"/>
      <c r="AS318" s="12"/>
      <c r="AT318" s="12"/>
      <c r="AU318" s="12"/>
      <c r="AV318" s="2"/>
    </row>
    <row r="319" spans="1:48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12"/>
      <c r="J319" s="2"/>
      <c r="K319" s="2"/>
      <c r="L319" s="2"/>
      <c r="M319" s="2"/>
      <c r="N319" s="2"/>
      <c r="O319" s="3"/>
      <c r="Q319" s="12"/>
      <c r="R319" s="12"/>
      <c r="S319" s="12"/>
      <c r="T319" s="12"/>
      <c r="U319" s="12"/>
      <c r="V319" s="12"/>
      <c r="W319" s="12"/>
      <c r="X319" s="12"/>
      <c r="Y319" s="2"/>
      <c r="Z319" s="2"/>
      <c r="AA319" s="2"/>
      <c r="AB319" s="2"/>
      <c r="AC319" s="2"/>
      <c r="AD319" s="2"/>
      <c r="AE319" s="2"/>
      <c r="AF319" s="2"/>
      <c r="AG319" s="32"/>
      <c r="AH319" s="7"/>
      <c r="AI319" s="7"/>
      <c r="AJ319" s="2"/>
      <c r="AK319" s="4"/>
      <c r="AL319" s="22"/>
      <c r="AM319" s="2"/>
      <c r="AN319" s="49"/>
      <c r="AO319" s="22"/>
      <c r="AP319" s="51"/>
      <c r="AQ319" s="12"/>
      <c r="AR319" s="12"/>
      <c r="AS319" s="12"/>
      <c r="AT319" s="12"/>
      <c r="AU319" s="12"/>
      <c r="AV319" s="2"/>
    </row>
    <row r="320" spans="1:48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12"/>
      <c r="J320" s="2"/>
      <c r="K320" s="2"/>
      <c r="L320" s="2"/>
      <c r="M320" s="2"/>
      <c r="N320" s="2"/>
      <c r="O320" s="3"/>
      <c r="Q320" s="12"/>
      <c r="R320" s="12"/>
      <c r="S320" s="12"/>
      <c r="T320" s="12"/>
      <c r="U320" s="12"/>
      <c r="V320" s="12"/>
      <c r="W320" s="12"/>
      <c r="X320" s="12"/>
      <c r="Y320" s="2"/>
      <c r="Z320" s="2"/>
      <c r="AA320" s="2"/>
      <c r="AB320" s="2"/>
      <c r="AC320" s="2"/>
      <c r="AD320" s="2"/>
      <c r="AE320" s="2"/>
      <c r="AF320" s="2"/>
      <c r="AG320" s="32"/>
      <c r="AH320" s="7"/>
      <c r="AI320" s="7"/>
      <c r="AJ320" s="2"/>
      <c r="AK320" s="4"/>
      <c r="AL320" s="22"/>
      <c r="AM320" s="2"/>
      <c r="AN320" s="49"/>
      <c r="AO320" s="22"/>
      <c r="AP320" s="51"/>
      <c r="AQ320" s="12"/>
      <c r="AR320" s="12"/>
      <c r="AS320" s="12"/>
      <c r="AT320" s="12"/>
      <c r="AU320" s="12"/>
      <c r="AV320" s="2"/>
    </row>
    <row r="321" spans="1:48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12"/>
      <c r="J321" s="2"/>
      <c r="K321" s="2"/>
      <c r="L321" s="2"/>
      <c r="M321" s="2"/>
      <c r="N321" s="2"/>
      <c r="O321" s="3"/>
      <c r="Q321" s="12"/>
      <c r="R321" s="12"/>
      <c r="S321" s="12"/>
      <c r="T321" s="12"/>
      <c r="U321" s="12"/>
      <c r="V321" s="12"/>
      <c r="W321" s="12"/>
      <c r="X321" s="12"/>
      <c r="Y321" s="2"/>
      <c r="Z321" s="2"/>
      <c r="AA321" s="2"/>
      <c r="AB321" s="2"/>
      <c r="AC321" s="2"/>
      <c r="AD321" s="2"/>
      <c r="AE321" s="2"/>
      <c r="AF321" s="2"/>
      <c r="AG321" s="32"/>
      <c r="AH321" s="7"/>
      <c r="AI321" s="7"/>
      <c r="AJ321" s="2"/>
      <c r="AK321" s="4"/>
      <c r="AL321" s="22"/>
      <c r="AM321" s="2"/>
      <c r="AN321" s="49"/>
      <c r="AO321" s="22"/>
      <c r="AP321" s="51"/>
      <c r="AQ321" s="12"/>
      <c r="AR321" s="12"/>
      <c r="AS321" s="12"/>
      <c r="AT321" s="12"/>
      <c r="AU321" s="12"/>
      <c r="AV321" s="2"/>
    </row>
    <row r="322" spans="1:48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12"/>
      <c r="J322" s="2"/>
      <c r="K322" s="2"/>
      <c r="L322" s="2"/>
      <c r="M322" s="2"/>
      <c r="N322" s="2"/>
      <c r="O322" s="3"/>
      <c r="Q322" s="12"/>
      <c r="R322" s="12"/>
      <c r="S322" s="12"/>
      <c r="T322" s="12"/>
      <c r="U322" s="12"/>
      <c r="V322" s="12"/>
      <c r="W322" s="12"/>
      <c r="X322" s="12"/>
      <c r="Y322" s="2"/>
      <c r="Z322" s="2"/>
      <c r="AA322" s="2"/>
      <c r="AB322" s="2"/>
      <c r="AC322" s="2"/>
      <c r="AD322" s="2"/>
      <c r="AE322" s="2"/>
      <c r="AF322" s="2"/>
      <c r="AG322" s="32"/>
      <c r="AH322" s="7"/>
      <c r="AI322" s="7"/>
      <c r="AJ322" s="2"/>
      <c r="AK322" s="4"/>
      <c r="AL322" s="22"/>
      <c r="AM322" s="2"/>
      <c r="AN322" s="49"/>
      <c r="AO322" s="22"/>
      <c r="AP322" s="51"/>
      <c r="AQ322" s="12"/>
      <c r="AR322" s="12"/>
      <c r="AS322" s="12"/>
      <c r="AT322" s="12"/>
      <c r="AU322" s="12"/>
      <c r="AV322" s="2"/>
    </row>
    <row r="323" spans="1:48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12"/>
      <c r="J323" s="2"/>
      <c r="K323" s="2"/>
      <c r="L323" s="2"/>
      <c r="M323" s="2"/>
      <c r="N323" s="2"/>
      <c r="O323" s="3"/>
      <c r="Q323" s="12"/>
      <c r="R323" s="12"/>
      <c r="S323" s="12"/>
      <c r="T323" s="12"/>
      <c r="U323" s="12"/>
      <c r="V323" s="12"/>
      <c r="W323" s="12"/>
      <c r="X323" s="12"/>
      <c r="Y323" s="2"/>
      <c r="Z323" s="2"/>
      <c r="AA323" s="2"/>
      <c r="AB323" s="2"/>
      <c r="AC323" s="2"/>
      <c r="AD323" s="2"/>
      <c r="AE323" s="2"/>
      <c r="AF323" s="2"/>
      <c r="AG323" s="32"/>
      <c r="AH323" s="7"/>
      <c r="AI323" s="7"/>
      <c r="AJ323" s="2"/>
      <c r="AK323" s="4"/>
      <c r="AL323" s="22"/>
      <c r="AM323" s="2"/>
      <c r="AN323" s="49"/>
      <c r="AO323" s="22"/>
      <c r="AP323" s="51"/>
      <c r="AQ323" s="12"/>
      <c r="AR323" s="12"/>
      <c r="AS323" s="12"/>
      <c r="AT323" s="12"/>
      <c r="AU323" s="12"/>
      <c r="AV323" s="2"/>
    </row>
    <row r="324" spans="1:48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12"/>
      <c r="J324" s="2"/>
      <c r="K324" s="2"/>
      <c r="L324" s="2"/>
      <c r="M324" s="2"/>
      <c r="N324" s="2"/>
      <c r="O324" s="3"/>
      <c r="Q324" s="12"/>
      <c r="R324" s="12"/>
      <c r="S324" s="12"/>
      <c r="T324" s="12"/>
      <c r="U324" s="12"/>
      <c r="V324" s="12"/>
      <c r="W324" s="12"/>
      <c r="X324" s="12"/>
      <c r="Y324" s="2"/>
      <c r="Z324" s="2"/>
      <c r="AA324" s="2"/>
      <c r="AB324" s="2"/>
      <c r="AC324" s="2"/>
      <c r="AD324" s="2"/>
      <c r="AE324" s="2"/>
      <c r="AF324" s="2"/>
      <c r="AG324" s="32"/>
      <c r="AH324" s="7"/>
      <c r="AI324" s="7"/>
      <c r="AJ324" s="2"/>
      <c r="AK324" s="4"/>
      <c r="AL324" s="22"/>
      <c r="AM324" s="2"/>
      <c r="AN324" s="49"/>
      <c r="AO324" s="22"/>
      <c r="AP324" s="51"/>
      <c r="AQ324" s="12"/>
      <c r="AR324" s="12"/>
      <c r="AS324" s="12"/>
      <c r="AT324" s="12"/>
      <c r="AU324" s="12"/>
      <c r="AV324" s="2"/>
    </row>
    <row r="325" spans="1:48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12"/>
      <c r="J325" s="2"/>
      <c r="K325" s="2"/>
      <c r="L325" s="2"/>
      <c r="M325" s="2"/>
      <c r="N325" s="2"/>
      <c r="O325" s="3"/>
      <c r="Q325" s="12"/>
      <c r="R325" s="12"/>
      <c r="S325" s="12"/>
      <c r="T325" s="12"/>
      <c r="U325" s="12"/>
      <c r="V325" s="12"/>
      <c r="W325" s="12"/>
      <c r="X325" s="12"/>
      <c r="Y325" s="2"/>
      <c r="Z325" s="2"/>
      <c r="AA325" s="2"/>
      <c r="AB325" s="2"/>
      <c r="AC325" s="2"/>
      <c r="AD325" s="2"/>
      <c r="AE325" s="2"/>
      <c r="AF325" s="2"/>
      <c r="AG325" s="32"/>
      <c r="AH325" s="7"/>
      <c r="AI325" s="7"/>
      <c r="AJ325" s="2"/>
      <c r="AK325" s="4"/>
      <c r="AL325" s="22"/>
      <c r="AM325" s="2"/>
      <c r="AN325" s="49"/>
      <c r="AO325" s="22"/>
      <c r="AP325" s="51"/>
      <c r="AQ325" s="12"/>
      <c r="AR325" s="12"/>
      <c r="AS325" s="12"/>
      <c r="AT325" s="12"/>
      <c r="AU325" s="12"/>
      <c r="AV325" s="2"/>
    </row>
    <row r="326" spans="1:48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12"/>
      <c r="J326" s="2"/>
      <c r="K326" s="2"/>
      <c r="L326" s="2"/>
      <c r="M326" s="2"/>
      <c r="N326" s="2"/>
      <c r="O326" s="3"/>
      <c r="Q326" s="12"/>
      <c r="R326" s="12"/>
      <c r="S326" s="12"/>
      <c r="T326" s="12"/>
      <c r="U326" s="12"/>
      <c r="V326" s="12"/>
      <c r="W326" s="12"/>
      <c r="X326" s="12"/>
      <c r="Y326" s="2"/>
      <c r="Z326" s="2"/>
      <c r="AA326" s="2"/>
      <c r="AB326" s="2"/>
      <c r="AC326" s="2"/>
      <c r="AD326" s="2"/>
      <c r="AE326" s="2"/>
      <c r="AF326" s="2"/>
      <c r="AG326" s="32"/>
      <c r="AH326" s="7"/>
      <c r="AI326" s="7"/>
      <c r="AJ326" s="2"/>
      <c r="AK326" s="4"/>
      <c r="AL326" s="22"/>
      <c r="AM326" s="2"/>
      <c r="AN326" s="49"/>
      <c r="AO326" s="22"/>
      <c r="AP326" s="51"/>
      <c r="AQ326" s="12"/>
      <c r="AR326" s="12"/>
      <c r="AS326" s="12"/>
      <c r="AT326" s="12"/>
      <c r="AU326" s="12"/>
      <c r="AV326" s="2"/>
    </row>
    <row r="327" spans="1:48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12"/>
      <c r="J327" s="2"/>
      <c r="K327" s="2"/>
      <c r="L327" s="2"/>
      <c r="M327" s="2"/>
      <c r="N327" s="2"/>
      <c r="O327" s="3"/>
      <c r="Q327" s="12"/>
      <c r="R327" s="12"/>
      <c r="S327" s="12"/>
      <c r="T327" s="12"/>
      <c r="U327" s="12"/>
      <c r="V327" s="12"/>
      <c r="W327" s="12"/>
      <c r="X327" s="12"/>
      <c r="Y327" s="2"/>
      <c r="Z327" s="2"/>
      <c r="AA327" s="2"/>
      <c r="AB327" s="2"/>
      <c r="AC327" s="2"/>
      <c r="AD327" s="2"/>
      <c r="AE327" s="2"/>
      <c r="AF327" s="2"/>
      <c r="AG327" s="32"/>
      <c r="AH327" s="7"/>
      <c r="AI327" s="7"/>
      <c r="AJ327" s="2"/>
      <c r="AK327" s="4"/>
      <c r="AL327" s="22"/>
      <c r="AM327" s="2"/>
      <c r="AN327" s="49"/>
      <c r="AO327" s="22"/>
      <c r="AP327" s="51"/>
      <c r="AQ327" s="12"/>
      <c r="AR327" s="12"/>
      <c r="AS327" s="12"/>
      <c r="AT327" s="12"/>
      <c r="AU327" s="12"/>
      <c r="AV327" s="2"/>
    </row>
    <row r="328" spans="1:48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12"/>
      <c r="J328" s="2"/>
      <c r="K328" s="2"/>
      <c r="L328" s="2"/>
      <c r="M328" s="2"/>
      <c r="N328" s="2"/>
      <c r="O328" s="3"/>
      <c r="Q328" s="12"/>
      <c r="R328" s="12"/>
      <c r="S328" s="12"/>
      <c r="T328" s="12"/>
      <c r="U328" s="12"/>
      <c r="V328" s="12"/>
      <c r="W328" s="12"/>
      <c r="X328" s="12"/>
      <c r="Y328" s="2"/>
      <c r="Z328" s="2"/>
      <c r="AA328" s="2"/>
      <c r="AB328" s="2"/>
      <c r="AC328" s="2"/>
      <c r="AD328" s="2"/>
      <c r="AE328" s="2"/>
      <c r="AF328" s="2"/>
      <c r="AG328" s="32"/>
      <c r="AH328" s="7"/>
      <c r="AI328" s="7"/>
      <c r="AJ328" s="2"/>
      <c r="AK328" s="4"/>
      <c r="AL328" s="22"/>
      <c r="AM328" s="2"/>
      <c r="AN328" s="49"/>
      <c r="AO328" s="22"/>
      <c r="AP328" s="51"/>
      <c r="AQ328" s="12"/>
      <c r="AR328" s="12"/>
      <c r="AS328" s="12"/>
      <c r="AT328" s="12"/>
      <c r="AU328" s="12"/>
      <c r="AV328" s="2"/>
    </row>
    <row r="329" spans="1:48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12"/>
      <c r="J329" s="2"/>
      <c r="K329" s="2"/>
      <c r="L329" s="2"/>
      <c r="M329" s="2"/>
      <c r="N329" s="2"/>
      <c r="O329" s="3"/>
      <c r="Q329" s="12"/>
      <c r="R329" s="12"/>
      <c r="S329" s="12"/>
      <c r="T329" s="12"/>
      <c r="U329" s="12"/>
      <c r="V329" s="12"/>
      <c r="W329" s="12"/>
      <c r="X329" s="12"/>
      <c r="Y329" s="2"/>
      <c r="Z329" s="2"/>
      <c r="AA329" s="2"/>
      <c r="AB329" s="2"/>
      <c r="AC329" s="2"/>
      <c r="AD329" s="2"/>
      <c r="AE329" s="2"/>
      <c r="AF329" s="2"/>
      <c r="AG329" s="32"/>
      <c r="AH329" s="7"/>
      <c r="AI329" s="7"/>
      <c r="AJ329" s="2"/>
      <c r="AK329" s="4"/>
      <c r="AL329" s="22"/>
      <c r="AM329" s="2"/>
      <c r="AN329" s="49"/>
      <c r="AO329" s="22"/>
      <c r="AP329" s="51"/>
      <c r="AQ329" s="12"/>
      <c r="AR329" s="12"/>
      <c r="AS329" s="12"/>
      <c r="AT329" s="12"/>
      <c r="AU329" s="12"/>
      <c r="AV329" s="2"/>
    </row>
    <row r="330" spans="1:48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12"/>
      <c r="J330" s="2"/>
      <c r="K330" s="2"/>
      <c r="L330" s="2"/>
      <c r="M330" s="2"/>
      <c r="N330" s="2"/>
      <c r="O330" s="3"/>
      <c r="Q330" s="12"/>
      <c r="R330" s="12"/>
      <c r="S330" s="12"/>
      <c r="T330" s="12"/>
      <c r="U330" s="12"/>
      <c r="V330" s="12"/>
      <c r="W330" s="12"/>
      <c r="X330" s="12"/>
      <c r="Y330" s="2"/>
      <c r="Z330" s="2"/>
      <c r="AA330" s="2"/>
      <c r="AB330" s="2"/>
      <c r="AC330" s="2"/>
      <c r="AD330" s="2"/>
      <c r="AE330" s="2"/>
      <c r="AF330" s="2"/>
      <c r="AG330" s="32"/>
      <c r="AH330" s="7"/>
      <c r="AI330" s="7"/>
      <c r="AJ330" s="2"/>
      <c r="AK330" s="4"/>
      <c r="AL330" s="22"/>
      <c r="AM330" s="2"/>
      <c r="AN330" s="49"/>
      <c r="AO330" s="22"/>
      <c r="AP330" s="51"/>
      <c r="AQ330" s="12"/>
      <c r="AR330" s="12"/>
      <c r="AS330" s="12"/>
      <c r="AT330" s="12"/>
      <c r="AU330" s="12"/>
      <c r="AV330" s="2"/>
    </row>
    <row r="331" spans="1:48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12"/>
      <c r="J331" s="2"/>
      <c r="K331" s="2"/>
      <c r="L331" s="2"/>
      <c r="M331" s="2"/>
      <c r="N331" s="2"/>
      <c r="O331" s="3"/>
      <c r="Q331" s="12"/>
      <c r="R331" s="12"/>
      <c r="S331" s="12"/>
      <c r="T331" s="12"/>
      <c r="U331" s="12"/>
      <c r="V331" s="12"/>
      <c r="W331" s="12"/>
      <c r="X331" s="12"/>
      <c r="Y331" s="2"/>
      <c r="Z331" s="2"/>
      <c r="AA331" s="2"/>
      <c r="AB331" s="2"/>
      <c r="AC331" s="2"/>
      <c r="AD331" s="2"/>
      <c r="AE331" s="2"/>
      <c r="AF331" s="2"/>
      <c r="AG331" s="32"/>
      <c r="AH331" s="7"/>
      <c r="AI331" s="7"/>
      <c r="AJ331" s="2"/>
      <c r="AK331" s="4"/>
      <c r="AL331" s="22"/>
      <c r="AM331" s="2"/>
      <c r="AN331" s="49"/>
      <c r="AO331" s="22"/>
      <c r="AP331" s="51"/>
      <c r="AQ331" s="12"/>
      <c r="AR331" s="12"/>
      <c r="AS331" s="12"/>
      <c r="AT331" s="12"/>
      <c r="AU331" s="12"/>
      <c r="AV331" s="2"/>
    </row>
    <row r="332" spans="1:48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12"/>
      <c r="J332" s="2"/>
      <c r="K332" s="2"/>
      <c r="L332" s="2"/>
      <c r="M332" s="2"/>
      <c r="N332" s="2"/>
      <c r="O332" s="3"/>
      <c r="Q332" s="12"/>
      <c r="R332" s="12"/>
      <c r="S332" s="12"/>
      <c r="T332" s="12"/>
      <c r="U332" s="12"/>
      <c r="V332" s="12"/>
      <c r="W332" s="12"/>
      <c r="X332" s="12"/>
      <c r="Y332" s="2"/>
      <c r="Z332" s="2"/>
      <c r="AA332" s="2"/>
      <c r="AB332" s="2"/>
      <c r="AC332" s="2"/>
      <c r="AD332" s="2"/>
      <c r="AE332" s="2"/>
      <c r="AF332" s="2"/>
      <c r="AG332" s="32"/>
      <c r="AH332" s="7"/>
      <c r="AI332" s="7"/>
      <c r="AJ332" s="2"/>
      <c r="AK332" s="4"/>
      <c r="AL332" s="22"/>
      <c r="AM332" s="2"/>
      <c r="AN332" s="49"/>
      <c r="AO332" s="22"/>
      <c r="AP332" s="51"/>
      <c r="AQ332" s="12"/>
      <c r="AR332" s="12"/>
      <c r="AS332" s="12"/>
      <c r="AT332" s="12"/>
      <c r="AU332" s="12"/>
      <c r="AV332" s="2"/>
    </row>
    <row r="333" spans="1:48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12"/>
      <c r="J333" s="2"/>
      <c r="K333" s="2"/>
      <c r="L333" s="2"/>
      <c r="M333" s="2"/>
      <c r="N333" s="2"/>
      <c r="O333" s="3"/>
      <c r="Q333" s="12"/>
      <c r="R333" s="12"/>
      <c r="S333" s="12"/>
      <c r="T333" s="12"/>
      <c r="U333" s="12"/>
      <c r="V333" s="12"/>
      <c r="W333" s="12"/>
      <c r="X333" s="12"/>
      <c r="Y333" s="2"/>
      <c r="Z333" s="2"/>
      <c r="AA333" s="2"/>
      <c r="AB333" s="2"/>
      <c r="AC333" s="2"/>
      <c r="AD333" s="2"/>
      <c r="AE333" s="2"/>
      <c r="AF333" s="2"/>
      <c r="AG333" s="32"/>
      <c r="AH333" s="7"/>
      <c r="AI333" s="7"/>
      <c r="AJ333" s="2"/>
      <c r="AK333" s="4"/>
      <c r="AL333" s="22"/>
      <c r="AM333" s="2"/>
      <c r="AN333" s="49"/>
      <c r="AO333" s="22"/>
      <c r="AP333" s="51"/>
      <c r="AQ333" s="12"/>
      <c r="AR333" s="12"/>
      <c r="AS333" s="12"/>
      <c r="AT333" s="12"/>
      <c r="AU333" s="12"/>
      <c r="AV333" s="2"/>
    </row>
    <row r="334" spans="1:48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12"/>
      <c r="J334" s="2"/>
      <c r="K334" s="2"/>
      <c r="L334" s="2"/>
      <c r="M334" s="2"/>
      <c r="N334" s="2"/>
      <c r="O334" s="3"/>
      <c r="Q334" s="12"/>
      <c r="R334" s="12"/>
      <c r="S334" s="12"/>
      <c r="T334" s="12"/>
      <c r="U334" s="12"/>
      <c r="V334" s="12"/>
      <c r="W334" s="12"/>
      <c r="X334" s="12"/>
      <c r="Y334" s="2"/>
      <c r="Z334" s="2"/>
      <c r="AA334" s="2"/>
      <c r="AB334" s="2"/>
      <c r="AC334" s="2"/>
      <c r="AD334" s="2"/>
      <c r="AE334" s="2"/>
      <c r="AF334" s="2"/>
      <c r="AG334" s="32"/>
      <c r="AH334" s="7"/>
      <c r="AI334" s="7"/>
      <c r="AJ334" s="2"/>
      <c r="AK334" s="4"/>
      <c r="AL334" s="22"/>
      <c r="AM334" s="2"/>
      <c r="AN334" s="49"/>
      <c r="AO334" s="22"/>
      <c r="AP334" s="51"/>
      <c r="AQ334" s="12"/>
      <c r="AR334" s="12"/>
      <c r="AS334" s="12"/>
      <c r="AT334" s="12"/>
      <c r="AU334" s="12"/>
      <c r="AV334" s="2"/>
    </row>
    <row r="335" spans="1:48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12"/>
      <c r="J335" s="2"/>
      <c r="K335" s="2"/>
      <c r="L335" s="2"/>
      <c r="M335" s="2"/>
      <c r="N335" s="2"/>
      <c r="O335" s="3"/>
      <c r="Q335" s="12"/>
      <c r="R335" s="12"/>
      <c r="S335" s="12"/>
      <c r="T335" s="12"/>
      <c r="U335" s="12"/>
      <c r="V335" s="12"/>
      <c r="W335" s="12"/>
      <c r="X335" s="12"/>
      <c r="Y335" s="2"/>
      <c r="Z335" s="2"/>
      <c r="AA335" s="2"/>
      <c r="AB335" s="2"/>
      <c r="AC335" s="2"/>
      <c r="AD335" s="2"/>
      <c r="AE335" s="2"/>
      <c r="AF335" s="2"/>
      <c r="AG335" s="32"/>
      <c r="AH335" s="7"/>
      <c r="AI335" s="7"/>
      <c r="AJ335" s="2"/>
      <c r="AK335" s="4"/>
      <c r="AL335" s="22"/>
      <c r="AM335" s="2"/>
      <c r="AN335" s="49"/>
      <c r="AO335" s="22"/>
      <c r="AP335" s="51"/>
      <c r="AQ335" s="12"/>
      <c r="AR335" s="12"/>
      <c r="AS335" s="12"/>
      <c r="AT335" s="12"/>
      <c r="AU335" s="12"/>
      <c r="AV335" s="2"/>
    </row>
    <row r="336" spans="1:48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12"/>
      <c r="J336" s="2"/>
      <c r="K336" s="2"/>
      <c r="L336" s="2"/>
      <c r="M336" s="2"/>
      <c r="N336" s="2"/>
      <c r="O336" s="3"/>
      <c r="Q336" s="12"/>
      <c r="R336" s="12"/>
      <c r="S336" s="12"/>
      <c r="T336" s="12"/>
      <c r="U336" s="12"/>
      <c r="V336" s="12"/>
      <c r="W336" s="12"/>
      <c r="X336" s="12"/>
      <c r="Y336" s="2"/>
      <c r="Z336" s="2"/>
      <c r="AA336" s="2"/>
      <c r="AB336" s="2"/>
      <c r="AC336" s="2"/>
      <c r="AD336" s="2"/>
      <c r="AE336" s="2"/>
      <c r="AF336" s="2"/>
      <c r="AG336" s="32"/>
      <c r="AH336" s="7"/>
      <c r="AI336" s="7"/>
      <c r="AJ336" s="2"/>
      <c r="AK336" s="4"/>
      <c r="AL336" s="22"/>
      <c r="AM336" s="2"/>
      <c r="AN336" s="49"/>
      <c r="AO336" s="22"/>
      <c r="AP336" s="51"/>
      <c r="AQ336" s="12"/>
      <c r="AR336" s="12"/>
      <c r="AS336" s="12"/>
      <c r="AT336" s="12"/>
      <c r="AU336" s="12"/>
      <c r="AV336" s="2"/>
    </row>
    <row r="337" spans="1:48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12"/>
      <c r="J337" s="2"/>
      <c r="K337" s="2"/>
      <c r="L337" s="2"/>
      <c r="M337" s="2"/>
      <c r="N337" s="2"/>
      <c r="O337" s="3"/>
      <c r="Q337" s="12"/>
      <c r="R337" s="12"/>
      <c r="S337" s="12"/>
      <c r="T337" s="12"/>
      <c r="U337" s="12"/>
      <c r="V337" s="12"/>
      <c r="W337" s="12"/>
      <c r="X337" s="12"/>
      <c r="Y337" s="2"/>
      <c r="Z337" s="2"/>
      <c r="AA337" s="2"/>
      <c r="AB337" s="2"/>
      <c r="AC337" s="2"/>
      <c r="AD337" s="2"/>
      <c r="AE337" s="2"/>
      <c r="AF337" s="2"/>
      <c r="AG337" s="32"/>
      <c r="AH337" s="7"/>
      <c r="AI337" s="7"/>
      <c r="AJ337" s="2"/>
      <c r="AK337" s="4"/>
      <c r="AL337" s="22"/>
      <c r="AM337" s="2"/>
      <c r="AN337" s="49"/>
      <c r="AO337" s="22"/>
      <c r="AP337" s="51"/>
      <c r="AQ337" s="12"/>
      <c r="AR337" s="12"/>
      <c r="AS337" s="12"/>
      <c r="AT337" s="12"/>
      <c r="AU337" s="12"/>
      <c r="AV337" s="2"/>
    </row>
    <row r="338" spans="1:48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12"/>
      <c r="J338" s="2"/>
      <c r="K338" s="2"/>
      <c r="L338" s="2"/>
      <c r="M338" s="2"/>
      <c r="N338" s="2"/>
      <c r="O338" s="3"/>
      <c r="Q338" s="12"/>
      <c r="R338" s="12"/>
      <c r="S338" s="12"/>
      <c r="T338" s="12"/>
      <c r="U338" s="12"/>
      <c r="V338" s="12"/>
      <c r="W338" s="12"/>
      <c r="X338" s="12"/>
      <c r="Y338" s="2"/>
      <c r="Z338" s="2"/>
      <c r="AA338" s="2"/>
      <c r="AB338" s="2"/>
      <c r="AC338" s="2"/>
      <c r="AD338" s="2"/>
      <c r="AE338" s="2"/>
      <c r="AF338" s="2"/>
      <c r="AG338" s="32"/>
      <c r="AH338" s="7"/>
      <c r="AI338" s="7"/>
      <c r="AJ338" s="2"/>
      <c r="AK338" s="4"/>
      <c r="AL338" s="22"/>
      <c r="AM338" s="2"/>
      <c r="AN338" s="49"/>
      <c r="AO338" s="22"/>
      <c r="AP338" s="51"/>
      <c r="AQ338" s="12"/>
      <c r="AR338" s="12"/>
      <c r="AS338" s="12"/>
      <c r="AT338" s="12"/>
      <c r="AU338" s="12"/>
      <c r="AV338" s="2"/>
    </row>
    <row r="339" spans="1:48" ht="12.75" customHeight="1" x14ac:dyDescent="0.3">
      <c r="A339" s="2"/>
      <c r="B339" s="2"/>
      <c r="C339" s="32"/>
      <c r="D339" s="2"/>
      <c r="E339" s="2"/>
      <c r="F339" s="7"/>
      <c r="G339" s="4"/>
      <c r="H339" s="7"/>
      <c r="I339" s="2"/>
      <c r="J339" s="4"/>
      <c r="K339" s="2"/>
      <c r="L339" s="2"/>
      <c r="M339" s="2"/>
      <c r="N339" s="2"/>
      <c r="O339" s="3"/>
      <c r="Q339" s="2"/>
      <c r="R339" s="2"/>
      <c r="S339" s="2"/>
      <c r="T339" s="4"/>
      <c r="U339" s="4"/>
      <c r="V339" s="4"/>
      <c r="W339" s="4"/>
      <c r="X339" s="4"/>
      <c r="Y339" s="4"/>
      <c r="Z339" s="51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4"/>
      <c r="AL339" s="22"/>
      <c r="AM339" s="2"/>
      <c r="AN339" s="12"/>
      <c r="AO339" s="22"/>
      <c r="AP339" s="51"/>
      <c r="AQ339" s="12"/>
      <c r="AR339" s="12"/>
      <c r="AS339" s="12"/>
      <c r="AT339" s="12"/>
      <c r="AU339" s="12"/>
      <c r="AV339" s="12"/>
    </row>
    <row r="340" spans="1:48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Q340" s="4"/>
      <c r="R340" s="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2.75" customHeight="1" x14ac:dyDescent="0.25">
      <c r="A341" s="2"/>
      <c r="B341" s="2"/>
      <c r="C341" s="22"/>
      <c r="D341" s="12"/>
      <c r="E341" s="12"/>
      <c r="F341" s="12"/>
      <c r="G341" s="2"/>
      <c r="H341" s="2"/>
      <c r="I341" s="2"/>
      <c r="J341" s="2"/>
      <c r="K341" s="2"/>
      <c r="L341" s="2"/>
      <c r="M341" s="2"/>
      <c r="N341" s="2"/>
      <c r="O341" s="3"/>
      <c r="Q341" s="4"/>
      <c r="R341" s="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2.75" customHeight="1" x14ac:dyDescent="0.25">
      <c r="A342" s="2"/>
      <c r="B342" s="2"/>
      <c r="C342" s="22"/>
      <c r="D342" s="36"/>
      <c r="E342" s="36"/>
      <c r="F342" s="2"/>
      <c r="G342" s="2"/>
      <c r="H342" s="2"/>
      <c r="I342" s="2"/>
      <c r="J342" s="2"/>
      <c r="K342" s="2"/>
      <c r="L342" s="2"/>
      <c r="M342" s="2"/>
      <c r="N342" s="2"/>
      <c r="O342" s="3"/>
      <c r="Q342" s="4"/>
      <c r="R342" s="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Q343" s="2"/>
      <c r="R343" s="2"/>
      <c r="S343" s="22"/>
      <c r="T343" s="22"/>
      <c r="U343" s="22"/>
      <c r="V343" s="22"/>
      <c r="W343" s="22"/>
      <c r="X343" s="22"/>
      <c r="Y343" s="22"/>
      <c r="Z343" s="22"/>
      <c r="AA343" s="22"/>
      <c r="AB343" s="57"/>
      <c r="AC343" s="57"/>
      <c r="AD343" s="57"/>
      <c r="AE343" s="57"/>
      <c r="AF343" s="2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Q344" s="2"/>
      <c r="R344" s="2"/>
      <c r="S344" s="28"/>
      <c r="T344" s="22"/>
      <c r="U344" s="22"/>
      <c r="V344" s="22"/>
      <c r="W344" s="22"/>
      <c r="X344" s="22"/>
      <c r="Y344" s="22"/>
      <c r="Z344" s="22"/>
      <c r="AA344" s="22"/>
      <c r="AB344" s="5"/>
      <c r="AC344" s="57"/>
      <c r="AD344" s="57"/>
      <c r="AE344" s="57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Q345" s="2"/>
      <c r="R345" s="2"/>
      <c r="S345" s="28"/>
      <c r="T345" s="58"/>
      <c r="U345" s="58"/>
      <c r="V345" s="58"/>
      <c r="W345" s="58"/>
      <c r="X345" s="58"/>
      <c r="Y345" s="58"/>
      <c r="Z345" s="59"/>
      <c r="AA345" s="58"/>
      <c r="AB345" s="12"/>
      <c r="AC345" s="12"/>
      <c r="AD345" s="1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Q346" s="2"/>
      <c r="R346" s="2"/>
      <c r="S346" s="28"/>
      <c r="T346" s="58"/>
      <c r="U346" s="58"/>
      <c r="V346" s="58"/>
      <c r="W346" s="58"/>
      <c r="X346" s="58"/>
      <c r="Y346" s="58"/>
      <c r="Z346" s="58"/>
      <c r="AA346" s="58"/>
      <c r="AB346" s="12"/>
      <c r="AC346" s="12"/>
      <c r="AD346" s="1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Q347" s="2"/>
      <c r="R347" s="2"/>
      <c r="S347" s="28"/>
      <c r="T347" s="58"/>
      <c r="U347" s="58"/>
      <c r="V347" s="58"/>
      <c r="W347" s="58"/>
      <c r="X347" s="58"/>
      <c r="Y347" s="58"/>
      <c r="Z347" s="58"/>
      <c r="AA347" s="58"/>
      <c r="AB347" s="12"/>
      <c r="AC347" s="12"/>
      <c r="AD347" s="1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Q348" s="2"/>
      <c r="R348" s="2"/>
      <c r="S348" s="28"/>
      <c r="T348" s="58"/>
      <c r="U348" s="58"/>
      <c r="V348" s="58"/>
      <c r="W348" s="58"/>
      <c r="X348" s="58"/>
      <c r="Y348" s="58"/>
      <c r="Z348" s="58"/>
      <c r="AA348" s="58"/>
      <c r="AB348" s="12"/>
      <c r="AC348" s="12"/>
      <c r="AD348" s="1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Q349" s="2"/>
      <c r="R349" s="2"/>
      <c r="S349" s="28"/>
      <c r="T349" s="58"/>
      <c r="U349" s="58"/>
      <c r="V349" s="58"/>
      <c r="W349" s="58"/>
      <c r="X349" s="58"/>
      <c r="Y349" s="58"/>
      <c r="Z349" s="58"/>
      <c r="AA349" s="58"/>
      <c r="AB349" s="12"/>
      <c r="AC349" s="12"/>
      <c r="AD349" s="1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Q350" s="2"/>
      <c r="R350" s="2"/>
      <c r="S350" s="28"/>
      <c r="T350" s="58"/>
      <c r="U350" s="58"/>
      <c r="V350" s="58"/>
      <c r="W350" s="58"/>
      <c r="X350" s="58"/>
      <c r="Y350" s="58"/>
      <c r="Z350" s="58"/>
      <c r="AA350" s="58"/>
      <c r="AB350" s="12"/>
      <c r="AC350" s="12"/>
      <c r="AD350" s="1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Q351" s="2"/>
      <c r="R351" s="2"/>
      <c r="S351" s="28"/>
      <c r="T351" s="58"/>
      <c r="U351" s="58"/>
      <c r="V351" s="58"/>
      <c r="W351" s="58"/>
      <c r="X351" s="58"/>
      <c r="Y351" s="58"/>
      <c r="Z351" s="58"/>
      <c r="AA351" s="58"/>
      <c r="AB351" s="12"/>
      <c r="AC351" s="12"/>
      <c r="AD351" s="58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Q352" s="2"/>
      <c r="R352" s="2"/>
      <c r="S352" s="2"/>
      <c r="T352" s="60"/>
      <c r="U352" s="60"/>
      <c r="V352" s="60"/>
      <c r="W352" s="60"/>
      <c r="X352" s="60"/>
      <c r="Y352" s="60"/>
      <c r="Z352" s="60"/>
      <c r="AA352" s="60"/>
      <c r="AB352" s="61"/>
      <c r="AC352" s="61"/>
      <c r="AD352" s="61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Q353" s="2"/>
      <c r="R353" s="2"/>
      <c r="S353" s="60"/>
      <c r="T353" s="12"/>
      <c r="U353" s="62"/>
      <c r="V353" s="62"/>
      <c r="W353" s="62"/>
      <c r="X353" s="62"/>
      <c r="Y353" s="62"/>
      <c r="Z353" s="62"/>
      <c r="AA353" s="62"/>
      <c r="AB353" s="2"/>
      <c r="AC353" s="2"/>
      <c r="AD353" s="2"/>
      <c r="AE353" s="2"/>
      <c r="AF353" s="10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Q354" s="2"/>
      <c r="R354" s="2"/>
      <c r="S354" s="61"/>
      <c r="T354" s="61"/>
      <c r="U354" s="61"/>
      <c r="V354" s="61"/>
      <c r="W354" s="61"/>
      <c r="X354" s="61"/>
      <c r="Y354" s="61"/>
      <c r="Z354" s="61"/>
      <c r="AA354" s="61"/>
      <c r="AB354" s="2"/>
      <c r="AC354" s="1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Q355" s="2"/>
      <c r="R355" s="2"/>
      <c r="S355" s="61"/>
      <c r="T355" s="63"/>
      <c r="U355" s="63"/>
      <c r="V355" s="63"/>
      <c r="W355" s="63"/>
      <c r="X355" s="63"/>
      <c r="Y355" s="63"/>
      <c r="Z355" s="63"/>
      <c r="AA355" s="63"/>
      <c r="AB355" s="2"/>
      <c r="AC355" s="12"/>
      <c r="AD355" s="58"/>
      <c r="AE355" s="58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Q356" s="2"/>
      <c r="R356" s="2"/>
      <c r="S356" s="61"/>
      <c r="T356" s="61"/>
      <c r="U356" s="61"/>
      <c r="V356" s="61"/>
      <c r="W356" s="61"/>
      <c r="X356" s="61"/>
      <c r="Y356" s="61"/>
      <c r="Z356" s="61"/>
      <c r="AA356" s="61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Q357" s="2"/>
      <c r="R357" s="2"/>
      <c r="S357" s="2"/>
      <c r="T357" s="2"/>
      <c r="U357" s="2"/>
      <c r="V357" s="2"/>
      <c r="W357" s="2"/>
      <c r="X357" s="49"/>
      <c r="Y357" s="2"/>
      <c r="Z357" s="2"/>
      <c r="AA357" s="2"/>
      <c r="AB357" s="2"/>
      <c r="AC357" s="2"/>
      <c r="AD357" s="2"/>
      <c r="AE357" s="2"/>
      <c r="AF357" s="2"/>
      <c r="AG357" s="1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1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1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63"/>
      <c r="AC360" s="58"/>
      <c r="AD360" s="2"/>
      <c r="AE360" s="2"/>
      <c r="AF360" s="2"/>
      <c r="AG360" s="1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63"/>
      <c r="AC361" s="58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64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65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31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31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60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66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6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61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67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2.75" customHeight="1" x14ac:dyDescent="0.25">
      <c r="A373" s="2"/>
      <c r="B373" s="2"/>
      <c r="C373" s="2"/>
      <c r="D373" s="2"/>
      <c r="E373" s="2"/>
      <c r="F373" s="2"/>
      <c r="G373" s="49"/>
      <c r="H373" s="2"/>
      <c r="I373" s="2"/>
      <c r="J373" s="2"/>
      <c r="K373" s="2"/>
      <c r="L373" s="2"/>
      <c r="M373" s="2"/>
      <c r="N373" s="2"/>
      <c r="O373" s="3"/>
      <c r="Q373" s="32"/>
      <c r="R373" s="4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12"/>
      <c r="AD373" s="2"/>
      <c r="AE373" s="2"/>
      <c r="AF373" s="2"/>
      <c r="AG373" s="2"/>
      <c r="AH373" s="1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2.75" customHeight="1" x14ac:dyDescent="0.25">
      <c r="A374" s="2"/>
      <c r="B374" s="2"/>
      <c r="C374" s="10"/>
      <c r="D374" s="2"/>
      <c r="E374" s="2"/>
      <c r="F374" s="42"/>
      <c r="G374" s="2"/>
      <c r="H374" s="2"/>
      <c r="I374" s="2"/>
      <c r="J374" s="22"/>
      <c r="K374" s="22"/>
      <c r="L374" s="22"/>
      <c r="M374" s="22"/>
      <c r="N374" s="2"/>
      <c r="O374" s="3"/>
      <c r="Q374" s="32"/>
      <c r="R374" s="28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12"/>
      <c r="AD374" s="2"/>
      <c r="AE374" s="2"/>
      <c r="AF374" s="2"/>
      <c r="AG374" s="2"/>
      <c r="AH374" s="1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2.75" customHeight="1" x14ac:dyDescent="0.25">
      <c r="A375" s="2"/>
      <c r="B375" s="2"/>
      <c r="C375" s="12"/>
      <c r="D375" s="2"/>
      <c r="E375" s="2"/>
      <c r="F375" s="10"/>
      <c r="G375" s="2"/>
      <c r="H375" s="2"/>
      <c r="I375" s="2"/>
      <c r="J375" s="2"/>
      <c r="K375" s="2"/>
      <c r="L375" s="2"/>
      <c r="M375" s="2"/>
      <c r="N375" s="2"/>
      <c r="O375" s="3"/>
      <c r="Q375" s="32"/>
      <c r="R375" s="4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12"/>
      <c r="AD375" s="2"/>
      <c r="AE375" s="2"/>
      <c r="AF375" s="2"/>
      <c r="AG375" s="2"/>
      <c r="AH375" s="1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2.75" customHeight="1" x14ac:dyDescent="0.25">
      <c r="A376" s="2"/>
      <c r="B376" s="2"/>
      <c r="C376" s="2"/>
      <c r="D376" s="2"/>
      <c r="E376" s="2"/>
      <c r="F376" s="10"/>
      <c r="G376" s="2"/>
      <c r="H376" s="2"/>
      <c r="I376" s="2"/>
      <c r="J376" s="2"/>
      <c r="K376" s="2"/>
      <c r="L376" s="2"/>
      <c r="M376" s="2"/>
      <c r="N376" s="2"/>
      <c r="O376" s="3"/>
      <c r="Q376" s="32"/>
      <c r="R376" s="4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12"/>
      <c r="AD376" s="2"/>
      <c r="AE376" s="2"/>
      <c r="AF376" s="2"/>
      <c r="AG376" s="2"/>
      <c r="AH376" s="1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Q377" s="32"/>
      <c r="R377" s="4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12"/>
      <c r="AD377" s="2"/>
      <c r="AE377" s="2"/>
      <c r="AF377" s="2"/>
      <c r="AG377" s="2"/>
      <c r="AH377" s="12"/>
      <c r="AI377" s="2"/>
      <c r="AJ377" s="1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2.75" customHeight="1" x14ac:dyDescent="0.25">
      <c r="A378" s="2"/>
      <c r="B378" s="2"/>
      <c r="C378" s="2"/>
      <c r="D378" s="2"/>
      <c r="E378" s="2"/>
      <c r="F378" s="10"/>
      <c r="G378" s="2"/>
      <c r="H378" s="2"/>
      <c r="I378" s="2"/>
      <c r="J378" s="2"/>
      <c r="K378" s="2"/>
      <c r="L378" s="2"/>
      <c r="M378" s="2"/>
      <c r="N378" s="2"/>
      <c r="O378" s="3"/>
      <c r="Q378" s="32"/>
      <c r="R378" s="4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12"/>
      <c r="AD378" s="2"/>
      <c r="AE378" s="2"/>
      <c r="AF378" s="2"/>
      <c r="AG378" s="2"/>
      <c r="AH378" s="1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2.75" customHeight="1" x14ac:dyDescent="0.25">
      <c r="A379" s="2"/>
      <c r="B379" s="2"/>
      <c r="C379" s="2"/>
      <c r="D379" s="2"/>
      <c r="E379" s="2"/>
      <c r="F379" s="10"/>
      <c r="G379" s="2"/>
      <c r="H379" s="2"/>
      <c r="I379" s="2"/>
      <c r="J379" s="2"/>
      <c r="K379" s="2"/>
      <c r="L379" s="2"/>
      <c r="M379" s="2"/>
      <c r="N379" s="2"/>
      <c r="O379" s="3"/>
      <c r="Q379" s="32"/>
      <c r="R379" s="4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12"/>
      <c r="AD379" s="2"/>
      <c r="AE379" s="2"/>
      <c r="AF379" s="2"/>
      <c r="AG379" s="2"/>
      <c r="AH379" s="1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2.75" customHeight="1" x14ac:dyDescent="0.25">
      <c r="A380" s="2"/>
      <c r="B380" s="2"/>
      <c r="C380" s="2"/>
      <c r="D380" s="2"/>
      <c r="E380" s="2"/>
      <c r="F380" s="10"/>
      <c r="G380" s="10"/>
      <c r="H380" s="2"/>
      <c r="I380" s="2"/>
      <c r="J380" s="2"/>
      <c r="K380" s="2"/>
      <c r="L380" s="2"/>
      <c r="M380" s="2"/>
      <c r="N380" s="2"/>
      <c r="O380" s="3"/>
      <c r="Q380" s="32"/>
      <c r="R380" s="4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12"/>
      <c r="AD380" s="2"/>
      <c r="AE380" s="2"/>
      <c r="AF380" s="2"/>
      <c r="AG380" s="2"/>
      <c r="AH380" s="1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2.75" customHeight="1" x14ac:dyDescent="0.25">
      <c r="A381" s="2"/>
      <c r="B381" s="2"/>
      <c r="C381" s="2"/>
      <c r="D381" s="2"/>
      <c r="E381" s="2"/>
      <c r="F381" s="68"/>
      <c r="G381" s="2"/>
      <c r="H381" s="10"/>
      <c r="I381" s="2"/>
      <c r="J381" s="2"/>
      <c r="K381" s="2"/>
      <c r="L381" s="32"/>
      <c r="M381" s="4"/>
      <c r="N381" s="45"/>
      <c r="O381" s="3"/>
      <c r="Q381" s="2"/>
      <c r="R381" s="2"/>
      <c r="S381" s="2"/>
      <c r="T381" s="2"/>
      <c r="U381" s="2"/>
      <c r="V381" s="2"/>
      <c r="W381" s="2"/>
      <c r="X381" s="12"/>
      <c r="Y381" s="2"/>
      <c r="Z381" s="2"/>
      <c r="AA381" s="2"/>
      <c r="AB381" s="2"/>
      <c r="AC381" s="12"/>
      <c r="AD381" s="12"/>
      <c r="AE381" s="12"/>
      <c r="AF381" s="12"/>
      <c r="AG381" s="12"/>
      <c r="AH381" s="2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2.75" customHeight="1" x14ac:dyDescent="0.25">
      <c r="A382" s="2"/>
      <c r="B382" s="2"/>
      <c r="C382" s="2"/>
      <c r="D382" s="2"/>
      <c r="E382" s="2"/>
      <c r="F382" s="68"/>
      <c r="G382" s="2"/>
      <c r="H382" s="10"/>
      <c r="I382" s="2"/>
      <c r="J382" s="2"/>
      <c r="K382" s="2"/>
      <c r="L382" s="32"/>
      <c r="M382" s="4"/>
      <c r="N382" s="45"/>
      <c r="O382" s="3"/>
      <c r="Q382" s="2"/>
      <c r="R382" s="2"/>
      <c r="S382" s="2"/>
      <c r="T382" s="2"/>
      <c r="U382" s="2"/>
      <c r="V382" s="2"/>
      <c r="W382" s="2"/>
      <c r="X382" s="12"/>
      <c r="Y382" s="2"/>
      <c r="Z382" s="2"/>
      <c r="AA382" s="2"/>
      <c r="AB382" s="2"/>
      <c r="AC382" s="12"/>
      <c r="AD382" s="12"/>
      <c r="AE382" s="12"/>
      <c r="AF382" s="12"/>
      <c r="AG382" s="12"/>
      <c r="AH382" s="2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2.75" customHeight="1" x14ac:dyDescent="0.25">
      <c r="A383" s="2"/>
      <c r="B383" s="2"/>
      <c r="C383" s="2"/>
      <c r="D383" s="2"/>
      <c r="E383" s="2"/>
      <c r="F383" s="28"/>
      <c r="G383" s="28"/>
      <c r="H383" s="28"/>
      <c r="I383" s="2"/>
      <c r="J383" s="28"/>
      <c r="K383" s="28"/>
      <c r="L383" s="28"/>
      <c r="M383" s="28"/>
      <c r="N383" s="2"/>
      <c r="O383" s="69"/>
      <c r="Q383" s="2"/>
      <c r="R383" s="2"/>
      <c r="S383" s="2"/>
      <c r="T383" s="2"/>
      <c r="U383" s="2"/>
      <c r="V383" s="2"/>
      <c r="W383" s="2"/>
      <c r="X383" s="12"/>
      <c r="Y383" s="2"/>
      <c r="Z383" s="2"/>
      <c r="AA383" s="2"/>
      <c r="AB383" s="2"/>
      <c r="AC383" s="12"/>
      <c r="AD383" s="12"/>
      <c r="AE383" s="12"/>
      <c r="AF383" s="12"/>
      <c r="AG383" s="12"/>
      <c r="AH383" s="2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2.75" customHeight="1" x14ac:dyDescent="0.25">
      <c r="A384" s="2"/>
      <c r="B384" s="2"/>
      <c r="C384" s="2"/>
      <c r="D384" s="2"/>
      <c r="E384" s="2"/>
      <c r="F384" s="2"/>
      <c r="G384" s="2"/>
      <c r="H384" s="10"/>
      <c r="I384" s="2"/>
      <c r="J384" s="2"/>
      <c r="K384" s="2"/>
      <c r="L384" s="32"/>
      <c r="M384" s="4"/>
      <c r="N384" s="2"/>
      <c r="O384" s="3"/>
      <c r="Q384" s="2"/>
      <c r="R384" s="21"/>
      <c r="S384" s="2"/>
      <c r="T384" s="2"/>
      <c r="U384" s="2"/>
      <c r="V384" s="2"/>
      <c r="W384" s="2"/>
      <c r="X384" s="12"/>
      <c r="Y384" s="2"/>
      <c r="Z384" s="2"/>
      <c r="AA384" s="2"/>
      <c r="AB384" s="2"/>
      <c r="AC384" s="12"/>
      <c r="AD384" s="12"/>
      <c r="AE384" s="12"/>
      <c r="AF384" s="12"/>
      <c r="AG384" s="12"/>
      <c r="AH384" s="2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2.75" customHeight="1" x14ac:dyDescent="0.25">
      <c r="A385" s="2"/>
      <c r="B385" s="2"/>
      <c r="C385" s="2"/>
      <c r="D385" s="2"/>
      <c r="E385" s="2"/>
      <c r="F385" s="2"/>
      <c r="G385" s="2"/>
      <c r="H385" s="10"/>
      <c r="I385" s="2"/>
      <c r="J385" s="2"/>
      <c r="K385" s="2"/>
      <c r="L385" s="32"/>
      <c r="M385" s="4"/>
      <c r="N385" s="2"/>
      <c r="O385" s="3"/>
      <c r="Q385" s="2"/>
      <c r="R385" s="2"/>
      <c r="S385" s="2"/>
      <c r="T385" s="2"/>
      <c r="U385" s="2"/>
      <c r="V385" s="2"/>
      <c r="W385" s="2"/>
      <c r="X385" s="12"/>
      <c r="Y385" s="2"/>
      <c r="Z385" s="2"/>
      <c r="AA385" s="2"/>
      <c r="AB385" s="2"/>
      <c r="AC385" s="12"/>
      <c r="AD385" s="12"/>
      <c r="AE385" s="12"/>
      <c r="AF385" s="12"/>
      <c r="AG385" s="22"/>
      <c r="AH385" s="2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2.75" customHeight="1" x14ac:dyDescent="0.3">
      <c r="A386" s="2"/>
      <c r="B386" s="2"/>
      <c r="C386" s="2"/>
      <c r="D386" s="2"/>
      <c r="E386" s="2"/>
      <c r="F386" s="2"/>
      <c r="G386" s="2"/>
      <c r="H386" s="10"/>
      <c r="I386" s="2"/>
      <c r="J386" s="12"/>
      <c r="K386" s="2"/>
      <c r="L386" s="32"/>
      <c r="M386" s="4"/>
      <c r="N386" s="2"/>
      <c r="O386" s="3"/>
      <c r="Q386" s="2"/>
      <c r="R386" s="70"/>
      <c r="S386" s="2"/>
      <c r="T386" s="2"/>
      <c r="U386" s="2"/>
      <c r="V386" s="2"/>
      <c r="W386" s="2"/>
      <c r="X386" s="12"/>
      <c r="Y386" s="2"/>
      <c r="Z386" s="2"/>
      <c r="AA386" s="2"/>
      <c r="AB386" s="2"/>
      <c r="AC386" s="12"/>
      <c r="AD386" s="12"/>
      <c r="AE386" s="12"/>
      <c r="AF386" s="12"/>
      <c r="AG386" s="12"/>
      <c r="AH386" s="2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2.75" customHeight="1" x14ac:dyDescent="0.25">
      <c r="A387" s="2"/>
      <c r="B387" s="2"/>
      <c r="C387" s="2"/>
      <c r="D387" s="2"/>
      <c r="E387" s="2"/>
      <c r="F387" s="68"/>
      <c r="G387" s="12"/>
      <c r="H387" s="32"/>
      <c r="I387" s="2"/>
      <c r="J387" s="71"/>
      <c r="K387" s="12"/>
      <c r="L387" s="32"/>
      <c r="M387" s="4"/>
      <c r="N387" s="2"/>
      <c r="O387" s="3"/>
      <c r="Q387" s="56"/>
      <c r="R387" s="2"/>
      <c r="S387" s="2"/>
      <c r="T387" s="2"/>
      <c r="U387" s="2"/>
      <c r="V387" s="2"/>
      <c r="W387" s="2"/>
      <c r="X387" s="12"/>
      <c r="Y387" s="2"/>
      <c r="Z387" s="2"/>
      <c r="AA387" s="2"/>
      <c r="AB387" s="2"/>
      <c r="AC387" s="12"/>
      <c r="AD387" s="12"/>
      <c r="AE387" s="12"/>
      <c r="AF387" s="12"/>
      <c r="AG387" s="12"/>
      <c r="AH387" s="2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2.75" customHeight="1" x14ac:dyDescent="0.25">
      <c r="A388" s="2"/>
      <c r="B388" s="2"/>
      <c r="C388" s="2"/>
      <c r="D388" s="2"/>
      <c r="E388" s="2"/>
      <c r="F388" s="68"/>
      <c r="G388" s="12"/>
      <c r="H388" s="32"/>
      <c r="I388" s="2"/>
      <c r="J388" s="71"/>
      <c r="K388" s="12"/>
      <c r="L388" s="32"/>
      <c r="M388" s="4"/>
      <c r="N388" s="2"/>
      <c r="O388" s="3"/>
      <c r="Q388" s="49"/>
      <c r="R388" s="2"/>
      <c r="S388" s="2"/>
      <c r="T388" s="2"/>
      <c r="U388" s="2"/>
      <c r="V388" s="2"/>
      <c r="W388" s="2"/>
      <c r="X388" s="12"/>
      <c r="Y388" s="2"/>
      <c r="Z388" s="2"/>
      <c r="AA388" s="2"/>
      <c r="AB388" s="2"/>
      <c r="AC388" s="12"/>
      <c r="AD388" s="12"/>
      <c r="AE388" s="12"/>
      <c r="AF388" s="12"/>
      <c r="AG388" s="12"/>
      <c r="AH388" s="2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2.75" customHeight="1" x14ac:dyDescent="0.25">
      <c r="A389" s="2"/>
      <c r="B389" s="2"/>
      <c r="C389" s="3"/>
      <c r="D389" s="12"/>
      <c r="E389" s="12"/>
      <c r="F389" s="68"/>
      <c r="G389" s="12"/>
      <c r="H389" s="32"/>
      <c r="I389" s="2"/>
      <c r="J389" s="71"/>
      <c r="K389" s="12"/>
      <c r="L389" s="32"/>
      <c r="M389" s="4"/>
      <c r="N389" s="2"/>
      <c r="O389" s="3"/>
      <c r="Q389" s="49"/>
      <c r="R389" s="2"/>
      <c r="S389" s="2"/>
      <c r="T389" s="2"/>
      <c r="U389" s="2"/>
      <c r="V389" s="2"/>
      <c r="W389" s="2"/>
      <c r="X389" s="12"/>
      <c r="Y389" s="2"/>
      <c r="Z389" s="2"/>
      <c r="AA389" s="2"/>
      <c r="AB389" s="2"/>
      <c r="AC389" s="12"/>
      <c r="AD389" s="12"/>
      <c r="AE389" s="12"/>
      <c r="AF389" s="12"/>
      <c r="AG389" s="12"/>
      <c r="AH389" s="2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2.75" customHeight="1" x14ac:dyDescent="0.25">
      <c r="A390" s="2" t="s">
        <v>50</v>
      </c>
      <c r="B390" s="2"/>
      <c r="C390" s="2"/>
      <c r="D390" s="2"/>
      <c r="E390" s="2"/>
      <c r="F390" s="2"/>
      <c r="G390" s="2"/>
      <c r="H390" s="32"/>
      <c r="I390" s="2"/>
      <c r="J390" s="71"/>
      <c r="K390" s="12"/>
      <c r="L390" s="32"/>
      <c r="M390" s="4"/>
      <c r="N390" s="2"/>
      <c r="O390" s="3"/>
      <c r="Q390" s="49"/>
      <c r="R390" s="2"/>
      <c r="S390" s="2"/>
      <c r="T390" s="2"/>
      <c r="U390" s="2"/>
      <c r="V390" s="2"/>
      <c r="W390" s="2"/>
      <c r="X390" s="12"/>
      <c r="Y390" s="2"/>
      <c r="Z390" s="2"/>
      <c r="AA390" s="2"/>
      <c r="AB390" s="2"/>
      <c r="AC390" s="12"/>
      <c r="AD390" s="12"/>
      <c r="AE390" s="12"/>
      <c r="AF390" s="12"/>
      <c r="AG390" s="12"/>
      <c r="AH390" s="2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32"/>
      <c r="J391" s="2"/>
      <c r="K391" s="2"/>
      <c r="L391" s="3"/>
      <c r="M391" s="32"/>
      <c r="N391" s="71"/>
      <c r="O391" s="3"/>
      <c r="Q391" s="4"/>
      <c r="R391" s="2"/>
      <c r="S391" s="2"/>
      <c r="T391" s="2"/>
      <c r="U391" s="2"/>
      <c r="V391" s="2"/>
      <c r="W391" s="2"/>
      <c r="X391" s="2"/>
      <c r="Y391" s="49"/>
      <c r="Z391" s="2"/>
      <c r="AA391" s="2"/>
      <c r="AB391" s="12"/>
      <c r="AC391" s="12"/>
      <c r="AD391" s="12"/>
      <c r="AE391" s="12"/>
      <c r="AF391" s="12"/>
      <c r="AG391" s="12"/>
      <c r="AH391" s="2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32"/>
      <c r="J392" s="2"/>
      <c r="K392" s="2"/>
      <c r="L392" s="3"/>
      <c r="M392" s="32"/>
      <c r="N392" s="71"/>
      <c r="O392" s="3"/>
      <c r="Q392" s="4"/>
      <c r="R392" s="2"/>
      <c r="S392" s="2"/>
      <c r="T392" s="2"/>
      <c r="U392" s="2"/>
      <c r="V392" s="2"/>
      <c r="W392" s="2"/>
      <c r="X392" s="2"/>
      <c r="Y392" s="49"/>
      <c r="Z392" s="2"/>
      <c r="AA392" s="2"/>
      <c r="AB392" s="12"/>
      <c r="AC392" s="12"/>
      <c r="AD392" s="12"/>
      <c r="AE392" s="12"/>
      <c r="AF392" s="12"/>
      <c r="AG392" s="12"/>
      <c r="AH392" s="2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2.75" customHeight="1" x14ac:dyDescent="0.25">
      <c r="A393" s="2"/>
      <c r="B393" s="2"/>
      <c r="C393" s="12"/>
      <c r="D393" s="2"/>
      <c r="E393" s="2"/>
      <c r="F393" s="2"/>
      <c r="G393" s="2"/>
      <c r="H393" s="2"/>
      <c r="I393" s="32"/>
      <c r="J393" s="2"/>
      <c r="K393" s="2"/>
      <c r="L393" s="3"/>
      <c r="M393" s="32"/>
      <c r="N393" s="71"/>
      <c r="O393" s="3"/>
      <c r="Q393" s="4"/>
      <c r="R393" s="2"/>
      <c r="S393" s="2"/>
      <c r="T393" s="2"/>
      <c r="U393" s="2"/>
      <c r="V393" s="2"/>
      <c r="W393" s="2"/>
      <c r="X393" s="2"/>
      <c r="Y393" s="49"/>
      <c r="Z393" s="2"/>
      <c r="AA393" s="2"/>
      <c r="AB393" s="12"/>
      <c r="AC393" s="12"/>
      <c r="AD393" s="12"/>
      <c r="AE393" s="12"/>
      <c r="AF393" s="12"/>
      <c r="AG393" s="12"/>
      <c r="AH393" s="2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2.75" customHeight="1" x14ac:dyDescent="0.25">
      <c r="A394" s="2"/>
      <c r="B394" s="2"/>
      <c r="C394" s="12"/>
      <c r="D394" s="2"/>
      <c r="E394" s="2"/>
      <c r="F394" s="2"/>
      <c r="G394" s="2"/>
      <c r="H394" s="2"/>
      <c r="I394" s="32"/>
      <c r="J394" s="2"/>
      <c r="K394" s="2"/>
      <c r="L394" s="3"/>
      <c r="M394" s="32"/>
      <c r="N394" s="71"/>
      <c r="O394" s="3"/>
      <c r="Q394" s="4"/>
      <c r="R394" s="2"/>
      <c r="S394" s="2"/>
      <c r="T394" s="2"/>
      <c r="U394" s="2"/>
      <c r="V394" s="2"/>
      <c r="W394" s="2"/>
      <c r="X394" s="2"/>
      <c r="Y394" s="49"/>
      <c r="Z394" s="2"/>
      <c r="AA394" s="2"/>
      <c r="AB394" s="12"/>
      <c r="AC394" s="12"/>
      <c r="AD394" s="12"/>
      <c r="AE394" s="12"/>
      <c r="AF394" s="12"/>
      <c r="AG394" s="2"/>
      <c r="AH394" s="2"/>
      <c r="AI394" s="7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2.75" customHeight="1" x14ac:dyDescent="0.25">
      <c r="A395" s="2"/>
      <c r="B395" s="2"/>
      <c r="C395" s="12"/>
      <c r="D395" s="2"/>
      <c r="E395" s="2"/>
      <c r="F395" s="2"/>
      <c r="G395" s="2"/>
      <c r="H395" s="2"/>
      <c r="I395" s="32"/>
      <c r="J395" s="2"/>
      <c r="K395" s="2"/>
      <c r="L395" s="3"/>
      <c r="M395" s="32"/>
      <c r="N395" s="71"/>
      <c r="O395" s="3"/>
      <c r="Q395" s="4"/>
      <c r="R395" s="2"/>
      <c r="S395" s="2"/>
      <c r="T395" s="2"/>
      <c r="U395" s="2"/>
      <c r="V395" s="2"/>
      <c r="W395" s="2"/>
      <c r="X395" s="2"/>
      <c r="Y395" s="49"/>
      <c r="Z395" s="2"/>
      <c r="AA395" s="2"/>
      <c r="AB395" s="12"/>
      <c r="AC395" s="12"/>
      <c r="AD395" s="12"/>
      <c r="AE395" s="12"/>
      <c r="AF395" s="12"/>
      <c r="AG395" s="12"/>
      <c r="AH395" s="2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2.75" customHeight="1" x14ac:dyDescent="0.25">
      <c r="A396" s="2"/>
      <c r="B396" s="2"/>
      <c r="C396" s="12"/>
      <c r="D396" s="2"/>
      <c r="E396" s="2"/>
      <c r="F396" s="2"/>
      <c r="G396" s="2"/>
      <c r="H396" s="2"/>
      <c r="I396" s="32"/>
      <c r="J396" s="2"/>
      <c r="K396" s="2"/>
      <c r="L396" s="3"/>
      <c r="M396" s="32"/>
      <c r="N396" s="71"/>
      <c r="O396" s="3"/>
      <c r="Q396" s="4"/>
      <c r="R396" s="2"/>
      <c r="S396" s="2"/>
      <c r="T396" s="2"/>
      <c r="U396" s="2"/>
      <c r="V396" s="2"/>
      <c r="W396" s="2"/>
      <c r="X396" s="2"/>
      <c r="Y396" s="49"/>
      <c r="Z396" s="2"/>
      <c r="AA396" s="2"/>
      <c r="AB396" s="12"/>
      <c r="AC396" s="12"/>
      <c r="AD396" s="12"/>
      <c r="AE396" s="12"/>
      <c r="AF396" s="12"/>
      <c r="AG396" s="12"/>
      <c r="AH396" s="2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2.75" customHeight="1" x14ac:dyDescent="0.25">
      <c r="A397" s="2"/>
      <c r="B397" s="2"/>
      <c r="C397" s="12"/>
      <c r="D397" s="2"/>
      <c r="E397" s="2"/>
      <c r="F397" s="2"/>
      <c r="G397" s="2"/>
      <c r="H397" s="2"/>
      <c r="I397" s="32"/>
      <c r="J397" s="2"/>
      <c r="K397" s="2"/>
      <c r="L397" s="3"/>
      <c r="M397" s="32"/>
      <c r="N397" s="71"/>
      <c r="O397" s="3"/>
      <c r="Q397" s="4"/>
      <c r="R397" s="2"/>
      <c r="S397" s="2"/>
      <c r="T397" s="2"/>
      <c r="U397" s="2"/>
      <c r="V397" s="2"/>
      <c r="W397" s="2"/>
      <c r="X397" s="2"/>
      <c r="Y397" s="49"/>
      <c r="Z397" s="2"/>
      <c r="AA397" s="2"/>
      <c r="AB397" s="12"/>
      <c r="AC397" s="12"/>
      <c r="AD397" s="12"/>
      <c r="AE397" s="12"/>
      <c r="AF397" s="12"/>
      <c r="AG397" s="12"/>
      <c r="AH397" s="2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2.75" customHeight="1" x14ac:dyDescent="0.25">
      <c r="A398" s="2"/>
      <c r="B398" s="2"/>
      <c r="C398" s="12"/>
      <c r="D398" s="2"/>
      <c r="E398" s="2"/>
      <c r="F398" s="2"/>
      <c r="G398" s="2"/>
      <c r="H398" s="2"/>
      <c r="I398" s="32"/>
      <c r="J398" s="2"/>
      <c r="K398" s="2"/>
      <c r="L398" s="2"/>
      <c r="M398" s="32"/>
      <c r="N398" s="71"/>
      <c r="O398" s="3"/>
      <c r="Q398" s="4"/>
      <c r="R398" s="2"/>
      <c r="S398" s="2"/>
      <c r="T398" s="2"/>
      <c r="U398" s="2"/>
      <c r="V398" s="2"/>
      <c r="W398" s="2"/>
      <c r="X398" s="2"/>
      <c r="Y398" s="49"/>
      <c r="Z398" s="2"/>
      <c r="AA398" s="2"/>
      <c r="AB398" s="12"/>
      <c r="AC398" s="12"/>
      <c r="AD398" s="12"/>
      <c r="AE398" s="12"/>
      <c r="AF398" s="12"/>
      <c r="AG398" s="12"/>
      <c r="AH398" s="2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2.75" customHeight="1" x14ac:dyDescent="0.25">
      <c r="A399" s="2"/>
      <c r="B399" s="2"/>
      <c r="C399" s="25"/>
      <c r="D399" s="2"/>
      <c r="E399" s="2"/>
      <c r="F399" s="2"/>
      <c r="G399" s="2"/>
      <c r="H399" s="12"/>
      <c r="I399" s="32"/>
      <c r="J399" s="12"/>
      <c r="K399" s="12"/>
      <c r="L399" s="23"/>
      <c r="M399" s="32"/>
      <c r="N399" s="71"/>
      <c r="O399" s="3"/>
      <c r="Q399" s="4"/>
      <c r="R399" s="2"/>
      <c r="S399" s="2"/>
      <c r="T399" s="2"/>
      <c r="U399" s="2"/>
      <c r="V399" s="2"/>
      <c r="W399" s="2"/>
      <c r="X399" s="2"/>
      <c r="Y399" s="49"/>
      <c r="Z399" s="2"/>
      <c r="AA399" s="2"/>
      <c r="AB399" s="12"/>
      <c r="AC399" s="12"/>
      <c r="AD399" s="12"/>
      <c r="AE399" s="12"/>
      <c r="AF399" s="12"/>
      <c r="AG399" s="12"/>
      <c r="AH399" s="2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2.75" customHeight="1" x14ac:dyDescent="0.25">
      <c r="A400" s="2"/>
      <c r="B400" s="2"/>
      <c r="C400" s="12"/>
      <c r="D400" s="2"/>
      <c r="E400" s="2"/>
      <c r="F400" s="2"/>
      <c r="G400" s="2"/>
      <c r="H400" s="12"/>
      <c r="I400" s="32"/>
      <c r="J400" s="12"/>
      <c r="K400" s="12"/>
      <c r="L400" s="23"/>
      <c r="M400" s="32"/>
      <c r="N400" s="71"/>
      <c r="O400" s="3"/>
      <c r="Q400" s="4"/>
      <c r="R400" s="2"/>
      <c r="S400" s="2"/>
      <c r="T400" s="2"/>
      <c r="U400" s="2"/>
      <c r="V400" s="2"/>
      <c r="W400" s="2"/>
      <c r="X400" s="2"/>
      <c r="Y400" s="49"/>
      <c r="Z400" s="2"/>
      <c r="AA400" s="2"/>
      <c r="AB400" s="12"/>
      <c r="AC400" s="12"/>
      <c r="AD400" s="12"/>
      <c r="AE400" s="12"/>
      <c r="AF400" s="12"/>
      <c r="AG400" s="12"/>
      <c r="AH400" s="2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2.75" customHeight="1" x14ac:dyDescent="0.25">
      <c r="A401" s="2"/>
      <c r="B401" s="2"/>
      <c r="C401" s="12"/>
      <c r="D401" s="2"/>
      <c r="E401" s="2"/>
      <c r="F401" s="2"/>
      <c r="G401" s="2"/>
      <c r="H401" s="12"/>
      <c r="I401" s="32"/>
      <c r="J401" s="12"/>
      <c r="K401" s="12"/>
      <c r="L401" s="23"/>
      <c r="M401" s="32"/>
      <c r="N401" s="71"/>
      <c r="O401" s="3"/>
      <c r="Q401" s="4"/>
      <c r="R401" s="2"/>
      <c r="S401" s="2"/>
      <c r="T401" s="2"/>
      <c r="U401" s="2"/>
      <c r="V401" s="2"/>
      <c r="W401" s="2"/>
      <c r="X401" s="2"/>
      <c r="Y401" s="49"/>
      <c r="Z401" s="2"/>
      <c r="AA401" s="2"/>
      <c r="AB401" s="12"/>
      <c r="AC401" s="12"/>
      <c r="AD401" s="12"/>
      <c r="AE401" s="12"/>
      <c r="AF401" s="12"/>
      <c r="AG401" s="12"/>
      <c r="AH401" s="2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2.75" customHeight="1" x14ac:dyDescent="0.25">
      <c r="A402" s="2"/>
      <c r="B402" s="2"/>
      <c r="C402" s="73"/>
      <c r="D402" s="2"/>
      <c r="E402" s="2"/>
      <c r="F402" s="2"/>
      <c r="G402" s="2"/>
      <c r="H402" s="12"/>
      <c r="I402" s="32"/>
      <c r="J402" s="12"/>
      <c r="K402" s="12"/>
      <c r="L402" s="23"/>
      <c r="M402" s="32"/>
      <c r="N402" s="71"/>
      <c r="O402" s="3"/>
      <c r="Q402" s="4"/>
      <c r="R402" s="2"/>
      <c r="S402" s="2"/>
      <c r="T402" s="2"/>
      <c r="U402" s="2"/>
      <c r="V402" s="2"/>
      <c r="W402" s="2"/>
      <c r="X402" s="2"/>
      <c r="Y402" s="49"/>
      <c r="Z402" s="2"/>
      <c r="AA402" s="2"/>
      <c r="AB402" s="12"/>
      <c r="AC402" s="12"/>
      <c r="AD402" s="12"/>
      <c r="AE402" s="12"/>
      <c r="AF402" s="12"/>
      <c r="AG402" s="12"/>
      <c r="AH402" s="2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2.75" customHeight="1" x14ac:dyDescent="0.25">
      <c r="A403" s="2"/>
      <c r="B403" s="2"/>
      <c r="C403" s="2"/>
      <c r="D403" s="2"/>
      <c r="E403" s="2"/>
      <c r="F403" s="2"/>
      <c r="G403" s="2"/>
      <c r="H403" s="12"/>
      <c r="I403" s="32"/>
      <c r="J403" s="12"/>
      <c r="K403" s="12"/>
      <c r="L403" s="23"/>
      <c r="M403" s="32"/>
      <c r="N403" s="71"/>
      <c r="O403" s="3"/>
      <c r="Q403" s="4"/>
      <c r="R403" s="2"/>
      <c r="S403" s="2"/>
      <c r="T403" s="2"/>
      <c r="U403" s="2"/>
      <c r="V403" s="2"/>
      <c r="W403" s="2"/>
      <c r="X403" s="2"/>
      <c r="Y403" s="49"/>
      <c r="Z403" s="2"/>
      <c r="AA403" s="2"/>
      <c r="AB403" s="12"/>
      <c r="AC403" s="12"/>
      <c r="AD403" s="12"/>
      <c r="AE403" s="12"/>
      <c r="AF403" s="12"/>
      <c r="AG403" s="12"/>
      <c r="AH403" s="2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2.75" customHeight="1" x14ac:dyDescent="0.25">
      <c r="A404" s="2"/>
      <c r="B404" s="2"/>
      <c r="C404" s="2"/>
      <c r="D404" s="2"/>
      <c r="E404" s="2"/>
      <c r="F404" s="2"/>
      <c r="G404" s="2"/>
      <c r="H404" s="12"/>
      <c r="I404" s="32"/>
      <c r="J404" s="12"/>
      <c r="K404" s="12"/>
      <c r="L404" s="23"/>
      <c r="M404" s="32"/>
      <c r="N404" s="71"/>
      <c r="O404" s="3"/>
      <c r="Q404" s="4"/>
      <c r="R404" s="2"/>
      <c r="S404" s="2"/>
      <c r="T404" s="2"/>
      <c r="U404" s="2"/>
      <c r="V404" s="2"/>
      <c r="W404" s="2"/>
      <c r="X404" s="2"/>
      <c r="Y404" s="49"/>
      <c r="Z404" s="2"/>
      <c r="AA404" s="2"/>
      <c r="AB404" s="12"/>
      <c r="AC404" s="12"/>
      <c r="AD404" s="12"/>
      <c r="AE404" s="12"/>
      <c r="AF404" s="12"/>
      <c r="AG404" s="12"/>
      <c r="AH404" s="2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2.75" customHeight="1" x14ac:dyDescent="0.25">
      <c r="A405" s="2"/>
      <c r="B405" s="2"/>
      <c r="C405" s="2"/>
      <c r="D405" s="2"/>
      <c r="E405" s="2"/>
      <c r="F405" s="2"/>
      <c r="G405" s="2"/>
      <c r="H405" s="12"/>
      <c r="I405" s="32"/>
      <c r="J405" s="12"/>
      <c r="K405" s="12"/>
      <c r="L405" s="23"/>
      <c r="M405" s="32"/>
      <c r="N405" s="71"/>
      <c r="O405" s="3"/>
      <c r="Q405" s="4"/>
      <c r="R405" s="2"/>
      <c r="S405" s="2"/>
      <c r="T405" s="2"/>
      <c r="U405" s="2"/>
      <c r="V405" s="2"/>
      <c r="W405" s="2"/>
      <c r="X405" s="2"/>
      <c r="Y405" s="49"/>
      <c r="Z405" s="2"/>
      <c r="AA405" s="2"/>
      <c r="AB405" s="12"/>
      <c r="AC405" s="12"/>
      <c r="AD405" s="12"/>
      <c r="AE405" s="12"/>
      <c r="AF405" s="12"/>
      <c r="AG405" s="12"/>
      <c r="AH405" s="2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2.75" customHeight="1" x14ac:dyDescent="0.25">
      <c r="A406" s="2"/>
      <c r="B406" s="2"/>
      <c r="C406" s="2"/>
      <c r="D406" s="2"/>
      <c r="E406" s="2"/>
      <c r="F406" s="2"/>
      <c r="G406" s="2"/>
      <c r="H406" s="12"/>
      <c r="I406" s="32"/>
      <c r="J406" s="12"/>
      <c r="K406" s="12"/>
      <c r="L406" s="23"/>
      <c r="M406" s="32"/>
      <c r="N406" s="71"/>
      <c r="O406" s="3"/>
      <c r="Q406" s="4"/>
      <c r="R406" s="2"/>
      <c r="S406" s="2"/>
      <c r="T406" s="2"/>
      <c r="U406" s="2"/>
      <c r="V406" s="2"/>
      <c r="W406" s="2"/>
      <c r="X406" s="2"/>
      <c r="Y406" s="49"/>
      <c r="Z406" s="2"/>
      <c r="AA406" s="2"/>
      <c r="AB406" s="12"/>
      <c r="AC406" s="12"/>
      <c r="AD406" s="12"/>
      <c r="AE406" s="12"/>
      <c r="AF406" s="12"/>
      <c r="AG406" s="12"/>
      <c r="AH406" s="2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32"/>
      <c r="J407" s="2"/>
      <c r="K407" s="2"/>
      <c r="L407" s="3"/>
      <c r="M407" s="32"/>
      <c r="N407" s="2"/>
      <c r="O407" s="3"/>
      <c r="Q407" s="4"/>
      <c r="R407" s="2"/>
      <c r="S407" s="2"/>
      <c r="T407" s="2"/>
      <c r="U407" s="2"/>
      <c r="V407" s="2"/>
      <c r="W407" s="2"/>
      <c r="X407" s="2"/>
      <c r="Y407" s="49"/>
      <c r="Z407" s="2"/>
      <c r="AA407" s="2"/>
      <c r="AB407" s="12"/>
      <c r="AC407" s="12"/>
      <c r="AD407" s="12"/>
      <c r="AE407" s="12"/>
      <c r="AF407" s="1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Q408" s="4"/>
      <c r="R408" s="49"/>
      <c r="S408" s="2"/>
      <c r="T408" s="2"/>
      <c r="U408" s="2"/>
      <c r="V408" s="2"/>
      <c r="W408" s="2"/>
      <c r="X408" s="2"/>
      <c r="Y408" s="2"/>
      <c r="Z408" s="2"/>
      <c r="AA408" s="2"/>
      <c r="AB408" s="12"/>
      <c r="AC408" s="12"/>
      <c r="AD408" s="1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Q409" s="4"/>
      <c r="R409" s="49"/>
      <c r="S409" s="2"/>
      <c r="T409" s="2"/>
      <c r="U409" s="2"/>
      <c r="V409" s="2"/>
      <c r="W409" s="2"/>
      <c r="X409" s="2"/>
      <c r="Y409" s="2"/>
      <c r="Z409" s="2"/>
      <c r="AA409" s="2"/>
      <c r="AB409" s="12"/>
      <c r="AC409" s="12"/>
      <c r="AD409" s="12"/>
      <c r="AE409" s="2"/>
      <c r="AF409" s="2"/>
      <c r="AG409" s="2"/>
      <c r="AH409" s="2"/>
      <c r="AI409" s="64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2.75" customHeight="1" x14ac:dyDescent="0.25">
      <c r="A410" s="74"/>
      <c r="B410" s="74"/>
      <c r="C410" s="19"/>
      <c r="D410" s="12"/>
      <c r="E410" s="12"/>
      <c r="F410" s="12"/>
      <c r="G410" s="12"/>
      <c r="H410" s="12"/>
      <c r="I410" s="2"/>
      <c r="J410" s="12"/>
      <c r="K410" s="12"/>
      <c r="L410" s="23"/>
      <c r="M410" s="2"/>
      <c r="N410" s="2"/>
      <c r="O410" s="3"/>
      <c r="Q410" s="4"/>
      <c r="R410" s="49"/>
      <c r="S410" s="2"/>
      <c r="T410" s="2"/>
      <c r="U410" s="2"/>
      <c r="V410" s="2"/>
      <c r="W410" s="2"/>
      <c r="X410" s="2"/>
      <c r="Y410" s="2"/>
      <c r="Z410" s="2"/>
      <c r="AA410" s="2"/>
      <c r="AB410" s="12"/>
      <c r="AC410" s="12"/>
      <c r="AD410" s="12"/>
      <c r="AE410" s="2"/>
      <c r="AF410" s="2"/>
      <c r="AG410" s="2"/>
      <c r="AH410" s="2"/>
      <c r="AI410" s="64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2.75" customHeight="1" x14ac:dyDescent="0.25">
      <c r="A411" s="74"/>
      <c r="B411" s="74"/>
      <c r="C411" s="19"/>
      <c r="D411" s="12"/>
      <c r="E411" s="12"/>
      <c r="F411" s="12"/>
      <c r="G411" s="12"/>
      <c r="H411" s="12"/>
      <c r="I411" s="2"/>
      <c r="J411" s="12"/>
      <c r="K411" s="12"/>
      <c r="L411" s="23"/>
      <c r="M411" s="2"/>
      <c r="N411" s="2"/>
      <c r="O411" s="3"/>
      <c r="Q411" s="4"/>
      <c r="R411" s="49"/>
      <c r="S411" s="2"/>
      <c r="T411" s="2"/>
      <c r="U411" s="2"/>
      <c r="V411" s="2"/>
      <c r="W411" s="2"/>
      <c r="X411" s="2"/>
      <c r="Y411" s="2"/>
      <c r="Z411" s="2"/>
      <c r="AA411" s="2"/>
      <c r="AB411" s="12"/>
      <c r="AC411" s="12"/>
      <c r="AD411" s="12"/>
      <c r="AE411" s="2"/>
      <c r="AF411" s="2"/>
      <c r="AG411" s="2"/>
      <c r="AH411" s="2"/>
      <c r="AI411" s="64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2.75" customHeight="1" x14ac:dyDescent="0.25">
      <c r="A412" s="74"/>
      <c r="B412" s="74"/>
      <c r="C412" s="19"/>
      <c r="D412" s="12"/>
      <c r="E412" s="12"/>
      <c r="F412" s="12"/>
      <c r="G412" s="12"/>
      <c r="H412" s="12"/>
      <c r="I412" s="2"/>
      <c r="J412" s="12"/>
      <c r="K412" s="12"/>
      <c r="L412" s="23"/>
      <c r="M412" s="2"/>
      <c r="N412" s="2"/>
      <c r="O412" s="3"/>
      <c r="Q412" s="4"/>
      <c r="R412" s="49"/>
      <c r="S412" s="2"/>
      <c r="T412" s="2"/>
      <c r="U412" s="2"/>
      <c r="V412" s="2"/>
      <c r="W412" s="2"/>
      <c r="X412" s="2"/>
      <c r="Y412" s="2"/>
      <c r="Z412" s="2"/>
      <c r="AA412" s="2"/>
      <c r="AB412" s="12"/>
      <c r="AC412" s="12"/>
      <c r="AD412" s="12"/>
      <c r="AE412" s="2"/>
      <c r="AF412" s="2"/>
      <c r="AG412" s="2"/>
      <c r="AH412" s="2"/>
      <c r="AI412" s="64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2.75" customHeight="1" x14ac:dyDescent="0.25">
      <c r="A413" s="74"/>
      <c r="B413" s="74"/>
      <c r="C413" s="19"/>
      <c r="D413" s="12"/>
      <c r="E413" s="12"/>
      <c r="F413" s="12"/>
      <c r="G413" s="12"/>
      <c r="H413" s="12"/>
      <c r="I413" s="2"/>
      <c r="J413" s="12"/>
      <c r="K413" s="12"/>
      <c r="L413" s="23"/>
      <c r="M413" s="2"/>
      <c r="N413" s="2"/>
      <c r="O413" s="3"/>
      <c r="Q413" s="4"/>
      <c r="R413" s="49"/>
      <c r="S413" s="2"/>
      <c r="T413" s="2"/>
      <c r="U413" s="2"/>
      <c r="V413" s="2"/>
      <c r="W413" s="2"/>
      <c r="X413" s="2"/>
      <c r="Y413" s="2"/>
      <c r="Z413" s="2"/>
      <c r="AA413" s="2"/>
      <c r="AB413" s="12"/>
      <c r="AC413" s="12"/>
      <c r="AD413" s="12"/>
      <c r="AE413" s="2"/>
      <c r="AF413" s="2"/>
      <c r="AG413" s="2"/>
      <c r="AH413" s="2"/>
      <c r="AI413" s="64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2.75" customHeight="1" x14ac:dyDescent="0.25">
      <c r="A414" s="74"/>
      <c r="B414" s="74"/>
      <c r="C414" s="19"/>
      <c r="D414" s="2"/>
      <c r="E414" s="2"/>
      <c r="F414" s="2"/>
      <c r="G414" s="2"/>
      <c r="H414" s="2"/>
      <c r="I414" s="2"/>
      <c r="J414" s="2"/>
      <c r="K414" s="2"/>
      <c r="L414" s="23"/>
      <c r="M414" s="2"/>
      <c r="N414" s="2"/>
      <c r="O414" s="3"/>
      <c r="Q414" s="4"/>
      <c r="R414" s="49"/>
      <c r="S414" s="2"/>
      <c r="T414" s="2"/>
      <c r="U414" s="2"/>
      <c r="V414" s="2"/>
      <c r="W414" s="2"/>
      <c r="X414" s="2"/>
      <c r="Y414" s="2"/>
      <c r="Z414" s="2"/>
      <c r="AA414" s="2"/>
      <c r="AB414" s="12"/>
      <c r="AC414" s="12"/>
      <c r="AD414" s="12"/>
      <c r="AE414" s="2"/>
      <c r="AF414" s="2"/>
      <c r="AG414" s="2"/>
      <c r="AH414" s="2"/>
      <c r="AI414" s="64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2.75" customHeight="1" x14ac:dyDescent="0.25">
      <c r="A415" s="74"/>
      <c r="B415" s="74"/>
      <c r="C415" s="19"/>
      <c r="D415" s="2"/>
      <c r="E415" s="2"/>
      <c r="F415" s="2"/>
      <c r="G415" s="2"/>
      <c r="H415" s="2"/>
      <c r="I415" s="2"/>
      <c r="J415" s="2"/>
      <c r="K415" s="2"/>
      <c r="L415" s="23"/>
      <c r="M415" s="2"/>
      <c r="N415" s="2"/>
      <c r="O415" s="3"/>
      <c r="Q415" s="4"/>
      <c r="R415" s="49"/>
      <c r="S415" s="2"/>
      <c r="T415" s="2"/>
      <c r="U415" s="2"/>
      <c r="V415" s="2"/>
      <c r="W415" s="2"/>
      <c r="X415" s="2"/>
      <c r="Y415" s="2"/>
      <c r="Z415" s="2"/>
      <c r="AA415" s="2"/>
      <c r="AB415" s="12"/>
      <c r="AC415" s="12"/>
      <c r="AD415" s="12"/>
      <c r="AE415" s="2"/>
      <c r="AF415" s="2"/>
      <c r="AG415" s="2"/>
      <c r="AH415" s="2"/>
      <c r="AI415" s="64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2.75" customHeight="1" x14ac:dyDescent="0.25">
      <c r="A416" s="2"/>
      <c r="B416" s="2"/>
      <c r="C416" s="2"/>
      <c r="D416" s="2"/>
      <c r="E416" s="2"/>
      <c r="F416" s="12"/>
      <c r="G416" s="12"/>
      <c r="H416" s="12"/>
      <c r="I416" s="2"/>
      <c r="J416" s="12"/>
      <c r="K416" s="12"/>
      <c r="L416" s="23"/>
      <c r="M416" s="2"/>
      <c r="N416" s="2"/>
      <c r="O416" s="3"/>
      <c r="Q416" s="4"/>
      <c r="R416" s="49"/>
      <c r="S416" s="2"/>
      <c r="T416" s="2"/>
      <c r="U416" s="2"/>
      <c r="V416" s="2"/>
      <c r="W416" s="2"/>
      <c r="X416" s="2"/>
      <c r="Y416" s="2"/>
      <c r="Z416" s="2"/>
      <c r="AA416" s="2"/>
      <c r="AB416" s="12"/>
      <c r="AC416" s="12"/>
      <c r="AD416" s="12"/>
      <c r="AE416" s="2"/>
      <c r="AF416" s="2"/>
      <c r="AG416" s="2"/>
      <c r="AH416" s="1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Q417" s="4"/>
      <c r="R417" s="49"/>
      <c r="S417" s="2"/>
      <c r="T417" s="2"/>
      <c r="U417" s="2"/>
      <c r="V417" s="2"/>
      <c r="W417" s="2"/>
      <c r="X417" s="2"/>
      <c r="Y417" s="2"/>
      <c r="Z417" s="2"/>
      <c r="AA417" s="2"/>
      <c r="AB417" s="12"/>
      <c r="AC417" s="12"/>
      <c r="AD417" s="12"/>
      <c r="AE417" s="2"/>
      <c r="AF417" s="2"/>
      <c r="AG417" s="2"/>
      <c r="AH417" s="1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Q418" s="4"/>
      <c r="R418" s="2"/>
      <c r="S418" s="2"/>
      <c r="T418" s="2"/>
      <c r="U418" s="2"/>
      <c r="V418" s="2"/>
      <c r="W418" s="2"/>
      <c r="X418" s="2"/>
      <c r="Y418" s="2"/>
      <c r="Z418" s="2"/>
      <c r="AA418" s="12"/>
      <c r="AB418" s="5"/>
      <c r="AC418" s="5"/>
      <c r="AD418" s="5"/>
      <c r="AE418" s="5"/>
      <c r="AF418" s="5"/>
      <c r="AG418" s="2"/>
      <c r="AH418" s="12"/>
      <c r="AI418" s="12"/>
      <c r="AJ418" s="5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Q419" s="4"/>
      <c r="R419" s="49"/>
      <c r="S419" s="2"/>
      <c r="T419" s="2"/>
      <c r="U419" s="2"/>
      <c r="V419" s="2"/>
      <c r="W419" s="2"/>
      <c r="X419" s="12"/>
      <c r="Y419" s="2"/>
      <c r="Z419" s="2"/>
      <c r="AA419" s="12"/>
      <c r="AB419" s="12"/>
      <c r="AC419" s="12"/>
      <c r="AD419" s="12"/>
      <c r="AE419" s="12"/>
      <c r="AF419" s="12"/>
      <c r="AG419" s="2"/>
      <c r="AH419" s="12"/>
      <c r="AI419" s="1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Q420" s="4"/>
      <c r="R420" s="49"/>
      <c r="S420" s="2"/>
      <c r="T420" s="2"/>
      <c r="U420" s="2"/>
      <c r="V420" s="2"/>
      <c r="W420" s="2"/>
      <c r="X420" s="2"/>
      <c r="Y420" s="2"/>
      <c r="Z420" s="2"/>
      <c r="AA420" s="12"/>
      <c r="AB420" s="2"/>
      <c r="AC420" s="2"/>
      <c r="AD420" s="2"/>
      <c r="AE420" s="2"/>
      <c r="AF420" s="2"/>
      <c r="AG420" s="2"/>
      <c r="AH420" s="12"/>
      <c r="AI420" s="1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Q421" s="4"/>
      <c r="R421" s="49"/>
      <c r="S421" s="2"/>
      <c r="T421" s="2"/>
      <c r="U421" s="2"/>
      <c r="V421" s="2"/>
      <c r="W421" s="2"/>
      <c r="X421" s="2"/>
      <c r="Y421" s="2"/>
      <c r="Z421" s="2"/>
      <c r="AA421" s="12"/>
      <c r="AB421" s="12"/>
      <c r="AC421" s="12"/>
      <c r="AD421" s="12"/>
      <c r="AE421" s="12"/>
      <c r="AF421" s="12"/>
      <c r="AG421" s="2"/>
      <c r="AH421" s="73"/>
      <c r="AI421" s="73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2.75" customHeight="1" x14ac:dyDescent="0.25">
      <c r="A422" s="2"/>
      <c r="B422" s="2"/>
      <c r="C422" s="3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Q422" s="4"/>
      <c r="R422" s="49"/>
      <c r="S422" s="2"/>
      <c r="T422" s="2"/>
      <c r="U422" s="2"/>
      <c r="V422" s="2"/>
      <c r="W422" s="2"/>
      <c r="X422" s="2"/>
      <c r="Y422" s="2"/>
      <c r="Z422" s="2"/>
      <c r="AA422" s="75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2.75" customHeight="1" x14ac:dyDescent="0.25">
      <c r="A423" s="2"/>
      <c r="B423" s="2"/>
      <c r="C423" s="3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Q423" s="4"/>
      <c r="R423" s="49"/>
      <c r="S423" s="2"/>
      <c r="T423" s="2"/>
      <c r="U423" s="2"/>
      <c r="V423" s="2"/>
      <c r="W423" s="2"/>
      <c r="X423" s="2"/>
      <c r="Y423" s="31"/>
      <c r="Z423" s="31"/>
      <c r="AA423" s="25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Q424" s="4"/>
      <c r="R424" s="49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Q425" s="4"/>
      <c r="R425" s="49"/>
      <c r="S425" s="2"/>
      <c r="T425" s="2"/>
      <c r="U425" s="2"/>
      <c r="V425" s="2"/>
      <c r="W425" s="2"/>
      <c r="X425" s="2"/>
      <c r="Y425" s="2"/>
      <c r="Z425" s="2"/>
      <c r="AA425" s="2"/>
      <c r="AB425" s="73"/>
      <c r="AC425" s="73"/>
      <c r="AD425" s="73"/>
      <c r="AE425" s="73"/>
      <c r="AF425" s="73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2.75" customHeight="1" x14ac:dyDescent="0.25">
      <c r="A426" s="2"/>
      <c r="B426" s="2"/>
      <c r="C426" s="3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Q426" s="4"/>
      <c r="R426" s="49"/>
      <c r="S426" s="2"/>
      <c r="T426" s="2"/>
      <c r="U426" s="2"/>
      <c r="V426" s="2"/>
      <c r="W426" s="2"/>
      <c r="X426" s="2"/>
      <c r="Y426" s="2"/>
      <c r="Z426" s="73"/>
      <c r="AA426" s="49"/>
      <c r="AB426" s="12"/>
      <c r="AC426" s="12"/>
      <c r="AD426" s="12"/>
      <c r="AE426" s="12"/>
      <c r="AF426" s="1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2.75" customHeight="1" x14ac:dyDescent="0.25">
      <c r="A427" s="2"/>
      <c r="B427" s="2"/>
      <c r="C427" s="3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Q427" s="4"/>
      <c r="R427" s="49"/>
      <c r="S427" s="2"/>
      <c r="T427" s="2"/>
      <c r="U427" s="2"/>
      <c r="V427" s="2"/>
      <c r="W427" s="2"/>
      <c r="X427" s="31"/>
      <c r="Y427" s="31"/>
      <c r="Z427" s="31"/>
      <c r="AA427" s="2"/>
      <c r="AB427" s="25"/>
      <c r="AC427" s="25"/>
      <c r="AD427" s="25"/>
      <c r="AE427" s="25"/>
      <c r="AF427" s="25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2.75" customHeight="1" x14ac:dyDescent="0.25">
      <c r="A428" s="2"/>
      <c r="B428" s="2"/>
      <c r="C428" s="3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Q428" s="4"/>
      <c r="R428" s="49"/>
      <c r="S428" s="2"/>
      <c r="T428" s="2"/>
      <c r="U428" s="2"/>
      <c r="V428" s="2"/>
      <c r="W428" s="2"/>
      <c r="X428" s="2"/>
      <c r="Y428" s="2"/>
      <c r="Z428" s="2"/>
      <c r="AA428" s="2"/>
      <c r="AB428" s="12"/>
      <c r="AC428" s="12"/>
      <c r="AD428" s="12"/>
      <c r="AE428" s="2"/>
      <c r="AF428" s="2"/>
      <c r="AG428" s="2"/>
      <c r="AH428" s="1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2.75" customHeight="1" x14ac:dyDescent="0.25">
      <c r="A429" s="2"/>
      <c r="B429" s="2"/>
      <c r="C429" s="3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Q429" s="4"/>
      <c r="R429" s="49"/>
      <c r="S429" s="2"/>
      <c r="T429" s="2"/>
      <c r="U429" s="2"/>
      <c r="V429" s="2"/>
      <c r="W429" s="2"/>
      <c r="X429" s="2"/>
      <c r="Y429" s="2"/>
      <c r="Z429" s="2"/>
      <c r="AA429" s="2"/>
      <c r="AB429" s="12"/>
      <c r="AC429" s="12"/>
      <c r="AD429" s="12"/>
      <c r="AE429" s="2"/>
      <c r="AF429" s="2"/>
      <c r="AG429" s="2"/>
      <c r="AH429" s="1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2.75" customHeight="1" x14ac:dyDescent="0.25">
      <c r="A430" s="2"/>
      <c r="B430" s="2"/>
      <c r="C430" s="3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Q430" s="4"/>
      <c r="R430" s="49"/>
      <c r="S430" s="2"/>
      <c r="T430" s="2"/>
      <c r="U430" s="2"/>
      <c r="V430" s="2"/>
      <c r="W430" s="2"/>
      <c r="X430" s="2"/>
      <c r="Y430" s="2"/>
      <c r="Z430" s="2"/>
      <c r="AA430" s="2"/>
      <c r="AB430" s="12"/>
      <c r="AC430" s="12"/>
      <c r="AD430" s="12"/>
      <c r="AE430" s="2"/>
      <c r="AF430" s="2"/>
      <c r="AG430" s="2"/>
      <c r="AH430" s="1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Q431" s="4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Q432" s="4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Q433" s="4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Q434" s="4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Q435" s="4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Q436" s="4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Q437" s="4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Q438" s="4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Q439" s="4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Q440" s="4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Q441" s="4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Q442" s="4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Q443" s="4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Q444" s="4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Q445" s="4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Q446" s="4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Q447" s="4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Q448" s="4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Q449" s="4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Q450" s="4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Q451" s="4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Q452" s="4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Q453" s="4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Q454" s="4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Q455" s="4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Q456" s="4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Q457" s="4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Q458" s="4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Q459" s="4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Q460" s="4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Q461" s="4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Q462" s="4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Q463" s="4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Q464" s="4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Q465" s="4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Q466" s="4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Q467" s="4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Q468" s="4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Q469" s="4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Q470" s="4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Q471" s="4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Q472" s="4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Q473" s="4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Q474" s="4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Q475" s="4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Q476" s="4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Q477" s="4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Q478" s="4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Q479" s="4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Q480" s="4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Q481" s="4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Q482" s="4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Q483" s="4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Q484" s="4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Q485" s="4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Q486" s="4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Q487" s="4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Q488" s="4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Q489" s="4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Q490" s="4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Q491" s="4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Q492" s="4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Q493" s="4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Q494" s="4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Q495" s="4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Q496" s="4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Q497" s="4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Q498" s="4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Q499" s="4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Q500" s="4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Q501" s="4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Q502" s="4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Q503" s="4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Q504" s="4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Q505" s="4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Q506" s="4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Q507" s="4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Q508" s="4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Q509" s="4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Q510" s="4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Q511" s="4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Q512" s="4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Q513" s="4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Q514" s="4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Q515" s="4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Q516" s="4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Q517" s="4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Q518" s="4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Q519" s="4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Q520" s="4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Q521" s="4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Q522" s="4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Q523" s="4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Q524" s="4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Q525" s="4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Q526" s="4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Q527" s="4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Q528" s="4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Q529" s="4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Q530" s="4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Q531" s="4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Q532" s="4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Q533" s="4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Q534" s="4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Q535" s="4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Q536" s="4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Q537" s="4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Q538" s="4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Q539" s="4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Q540" s="4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Q541" s="4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Q542" s="4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Q543" s="4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Q544" s="4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Q545" s="4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Q546" s="4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Q547" s="4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Q548" s="4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Q549" s="4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Q550" s="4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Q551" s="4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Q552" s="4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Q553" s="4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Q554" s="4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Q555" s="4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Q556" s="4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Q557" s="4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Q558" s="4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Q559" s="4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Q560" s="4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Q561" s="4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Q562" s="4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Q563" s="4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Q564" s="4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Q565" s="4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Q566" s="4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Q567" s="4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Q568" s="4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Q569" s="4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Q570" s="4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Q571" s="4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Q572" s="4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Q573" s="4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Q574" s="4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Q575" s="4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Q576" s="4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Q577" s="4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Q578" s="4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Q579" s="4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Q580" s="4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Q581" s="4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Q582" s="4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Q583" s="4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Q584" s="4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Q585" s="4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Q586" s="4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Q587" s="4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Q588" s="4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Q589" s="4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Q590" s="4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Q591" s="4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Q592" s="4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Q593" s="4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Q594" s="4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Q595" s="4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Q596" s="4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Q597" s="4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Q598" s="4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Q599" s="4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Q600" s="4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Q601" s="4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Q602" s="4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Q603" s="4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Q604" s="4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Q605" s="4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Q606" s="4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Q607" s="4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Q608" s="4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Q609" s="4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Q610" s="4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Q611" s="4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Q612" s="4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Q613" s="4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Q614" s="4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Q615" s="4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Q616" s="4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Q617" s="4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Q618" s="4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Q619" s="4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Q620" s="4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Q621" s="4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Q622" s="4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Q623" s="4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Q624" s="4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Q625" s="4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Q626" s="4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Q627" s="4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Q628" s="4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Q629" s="4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Q630" s="4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Q631" s="4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Q632" s="4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Q633" s="4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Q634" s="4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Q635" s="4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Q636" s="4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Q637" s="4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Q638" s="4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Q639" s="4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Q640" s="4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Q641" s="4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Q642" s="4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Q643" s="4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Q644" s="4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Q645" s="4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Q646" s="4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Q647" s="4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Q648" s="4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Q649" s="4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Q650" s="4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Q651" s="4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Q652" s="4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Q653" s="4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Q654" s="4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Q655" s="4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Q656" s="4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Q657" s="4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Q658" s="4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Q659" s="4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Q660" s="4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Q661" s="4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Q662" s="4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Q663" s="4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Q664" s="4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Q665" s="4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Q666" s="4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Q667" s="4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Q668" s="4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Q669" s="4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Q670" s="4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Q671" s="4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Q672" s="4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Q673" s="4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Q674" s="4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Q675" s="4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Q676" s="4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Q677" s="4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Q678" s="4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Q679" s="4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Q680" s="4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Q681" s="4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Q682" s="4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Q683" s="4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Q684" s="4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Q685" s="4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Q686" s="4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Q687" s="4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Q688" s="4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Q689" s="4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Q690" s="4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Q691" s="4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Q692" s="4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Q693" s="4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Q694" s="4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Q695" s="4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Q696" s="4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Q697" s="4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Q698" s="4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Q699" s="4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Q700" s="4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Q701" s="4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Q702" s="4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Q703" s="4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Q704" s="4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Q705" s="4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Q706" s="4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Q707" s="4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Q708" s="4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Q709" s="4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Q710" s="4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Q711" s="4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Q712" s="4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Q713" s="4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Q714" s="4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Q715" s="4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Q716" s="4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Q717" s="4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Q718" s="4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Q719" s="4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Q720" s="4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Q721" s="4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Q722" s="4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Q723" s="4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Q724" s="4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Q725" s="4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Q726" s="4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Q727" s="4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Q728" s="4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Q729" s="4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Q730" s="4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Q731" s="4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Q732" s="4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Q733" s="4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Q734" s="4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Q735" s="4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Q736" s="4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Q737" s="4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Q738" s="4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Q739" s="4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Q740" s="4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Q741" s="4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Q742" s="4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Q743" s="4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Q744" s="4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Q745" s="4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Q746" s="4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Q747" s="4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Q748" s="4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Q749" s="4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Q750" s="4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Q751" s="4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Q752" s="4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Q753" s="4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Q754" s="4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Q755" s="4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Q756" s="4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Q757" s="4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Q758" s="4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Q759" s="4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Q760" s="4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Q761" s="4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Q762" s="4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Q763" s="4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Q764" s="4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Q765" s="4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Q766" s="4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Q767" s="4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Q768" s="4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Q769" s="4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Q770" s="4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Q771" s="4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Q772" s="4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Q773" s="4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Q774" s="4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Q775" s="4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Q776" s="4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Q777" s="4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Q778" s="4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Q779" s="4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Q780" s="4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Q781" s="4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Q782" s="4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Q783" s="4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Q784" s="4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Q785" s="4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Q786" s="4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Q787" s="4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Q788" s="4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Q789" s="4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Q790" s="4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Q791" s="4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Q792" s="4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Q793" s="4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Q794" s="4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Q795" s="4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Q796" s="4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Q797" s="4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Q798" s="4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Q799" s="4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Q800" s="4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Q801" s="4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Q802" s="4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Q803" s="4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Q804" s="4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Q805" s="4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Q806" s="4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Q807" s="4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Q808" s="4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Q809" s="4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Q810" s="4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Q811" s="4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Q812" s="4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Q813" s="4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Q814" s="4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Q815" s="4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Q816" s="4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Q817" s="4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Q818" s="4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Q819" s="4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Q820" s="4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Q821" s="4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Q822" s="4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Q823" s="4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Q824" s="4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Q825" s="4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Q826" s="4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Q827" s="4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Q828" s="4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Q829" s="4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Q830" s="4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Q831" s="4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Q832" s="4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Q833" s="4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Q834" s="4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Q835" s="4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Q836" s="4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Q837" s="4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Q838" s="4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Q839" s="4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Q840" s="4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Q841" s="4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Q842" s="4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Q843" s="4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Q844" s="4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Q845" s="4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Q846" s="4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Q847" s="4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Q848" s="4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Q849" s="4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Q850" s="4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Q851" s="4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Q852" s="4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Q853" s="4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Q854" s="4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Q855" s="4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Q856" s="4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Q857" s="4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Q858" s="4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Q859" s="4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Q860" s="4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Q861" s="4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Q862" s="4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Q863" s="4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Q864" s="4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Q865" s="4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Q866" s="4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Q867" s="4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Q868" s="4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Q869" s="4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Q870" s="4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Q871" s="4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Q872" s="4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Q873" s="4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Q874" s="4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Q875" s="4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Q876" s="4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Q877" s="4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Q878" s="4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Q879" s="4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Q880" s="4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Q881" s="4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Q882" s="4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Q883" s="4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Q884" s="4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Q885" s="4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Q886" s="4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Q887" s="4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Q888" s="4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Q889" s="4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Q890" s="4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Q891" s="4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Q892" s="4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Q893" s="4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Q894" s="4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Q895" s="4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Q896" s="4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Q897" s="4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Q898" s="4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Q899" s="4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Q900" s="4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Q901" s="4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Q902" s="4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Q903" s="4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Q904" s="4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Q905" s="4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Q906" s="4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Q907" s="4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Q908" s="4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Q909" s="4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Q910" s="4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Q911" s="4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Q912" s="4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Q913" s="4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Q914" s="4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Q915" s="4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Q916" s="4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Q917" s="4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Q918" s="4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Q919" s="4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Q920" s="4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Q921" s="4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Q922" s="4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Q923" s="4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Q924" s="4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Q925" s="4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Q926" s="4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Q927" s="4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Q928" s="4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Q929" s="4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Q930" s="4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Q931" s="4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Q932" s="4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Q933" s="4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Q934" s="4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Q935" s="4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Q936" s="4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Q937" s="4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Q938" s="4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Q939" s="4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Q940" s="4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Q941" s="4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Q942" s="4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Q943" s="4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Q944" s="4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Q945" s="4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Q946" s="4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Q947" s="4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Q948" s="4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Q949" s="4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Q950" s="4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Q951" s="4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Q952" s="4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Q953" s="4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Q954" s="4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Q955" s="4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Q956" s="4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Q957" s="4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Q958" s="4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Q959" s="4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Q960" s="4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Q961" s="4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Q962" s="4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Q963" s="4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Q964" s="4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Q965" s="4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Q966" s="4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Q967" s="4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Q968" s="4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Q969" s="4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Q970" s="4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Q971" s="4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Q972" s="4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Q973" s="4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Q974" s="4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Q975" s="4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Q976" s="4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Q977" s="4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Q978" s="4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Q979" s="4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Q980" s="4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Q981" s="4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Q982" s="4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Q983" s="4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Q984" s="4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Q985" s="4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Q986" s="4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Q987" s="4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Q988" s="4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Q989" s="4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Q990" s="4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Q991" s="4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Q992" s="4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Q993" s="4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Q994" s="4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Q995" s="4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Q996" s="4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  <row r="997" spans="1:48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Q997" s="4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</row>
    <row r="998" spans="1:48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Q998" s="4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</row>
    <row r="999" spans="1:48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Q999" s="4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</row>
    <row r="1000" spans="1:48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Q1000" s="4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</row>
    <row r="1001" spans="1:48" ht="12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3"/>
      <c r="Q1001" s="4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</row>
    <row r="1002" spans="1:48" ht="12.7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3"/>
      <c r="Q1002" s="4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</row>
    <row r="1003" spans="1:48" ht="12.7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3"/>
      <c r="Q1003" s="4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</row>
  </sheetData>
  <sheetProtection sheet="1" objects="1" scenarios="1" selectLockedCells="1"/>
  <sortState xmlns:xlrd2="http://schemas.microsoft.com/office/spreadsheetml/2017/richdata2" ref="A30:O45">
    <sortCondition ref="B30:B45"/>
    <sortCondition ref="A30:A45"/>
  </sortState>
  <dataValidations count="2">
    <dataValidation type="list" allowBlank="1" showErrorMessage="1" sqref="AP106:AP109 AM110:AM111" xr:uid="{00000000-0002-0000-0000-000002000000}">
      <formula1>"HBF,Switzer,Spanjer,Knode,Meyer,Potter,Youngs N. Dryland,North Range"</formula1>
    </dataValidation>
    <dataValidation allowBlank="1" showInputMessage="1" showErrorMessage="1" prompt="Rounding error correction" sqref="N31" xr:uid="{864A7DC0-0CF5-41B3-85DC-8D76F7626565}"/>
  </dataValidations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C36" r:id="rId4" display="Corn 2023\Contracts\32519.pdf" xr:uid="{00000000-0004-0000-0000-000004000000}"/>
    <hyperlink ref="C37" r:id="rId5" display="Corn 2023\Contracts\32820.pdf" xr:uid="{00000000-0004-0000-0000-000005000000}"/>
    <hyperlink ref="C38" r:id="rId6" display="Corn 2023\Contracts\32864.pdf" xr:uid="{00000000-0004-0000-0000-000006000000}"/>
    <hyperlink ref="C39" r:id="rId7" display="Corn 2023\Contracts\33686.pdf" xr:uid="{00000000-0004-0000-0000-000007000000}"/>
    <hyperlink ref="C40" r:id="rId8" display="Corn 2023\Contracts\33687.pdf" xr:uid="{00000000-0004-0000-0000-000008000000}"/>
    <hyperlink ref="C41" r:id="rId9" display="Corn 2023\Contracts\33826.pdf" xr:uid="{00000000-0004-0000-0000-000009000000}"/>
    <hyperlink ref="C42" r:id="rId10" display="Corn 2023\Contracts\15608 HTA 34570.pdf" xr:uid="{00000000-0004-0000-0000-00000A000000}"/>
    <hyperlink ref="C43" r:id="rId11" display="Corn 2023\Contracts\15609 HTA 34571.pdf" xr:uid="{00000000-0004-0000-0000-00000B000000}"/>
    <hyperlink ref="C34" r:id="rId12" display="Corn 2023\Shipping docs\Scale Tickets\253186 Custom weigh To 4S Feed 12-22-23.pdf" xr:uid="{00000000-0004-0000-0000-00000C000000}"/>
    <hyperlink ref="C30" r:id="rId13" xr:uid="{00000000-0004-0000-0000-00000D000000}"/>
    <hyperlink ref="C31" r:id="rId14" xr:uid="{00000000-0004-0000-0000-00000E000000}"/>
    <hyperlink ref="C35" r:id="rId15" xr:uid="{00000000-0004-0000-0000-00000F000000}"/>
    <hyperlink ref="C44" r:id="rId16" display="Corn 2023\Contracts\34442.pdf" xr:uid="{00000000-0004-0000-0000-000010000000}"/>
    <hyperlink ref="C45" r:id="rId17" display="Corn 2023\Contracts\34742.pdf" xr:uid="{00000000-0004-0000-0000-000011000000}"/>
    <hyperlink ref="C32" r:id="rId18" xr:uid="{00000000-0004-0000-0000-000012000000}"/>
    <hyperlink ref="C33" r:id="rId19" xr:uid="{00000000-0004-0000-0000-000013000000}"/>
    <hyperlink ref="A11" r:id="rId20" xr:uid="{DA7ADED8-1F7A-46C2-AFA2-D0192AC8B165}"/>
  </hyperlinks>
  <pageMargins left="0.7" right="0.7" top="0.75" bottom="0.75" header="0" footer="0"/>
  <pageSetup orientation="portrait"/>
  <drawing r:id="rId2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'Drop Lists'!$C$36:$C$40</xm:f>
          </x14:formula1>
          <xm:sqref>B39:B40</xm:sqref>
        </x14:dataValidation>
        <x14:dataValidation type="list" allowBlank="1" showErrorMessage="1" xr:uid="{00000000-0002-0000-0000-000001000000}">
          <x14:formula1>
            <xm:f>'Drop Lists'!$C$3:$C$7</xm:f>
          </x14:formula1>
          <xm:sqref>B30:B38 I19:I20 B41:B62</xm:sqref>
        </x14:dataValidation>
        <x14:dataValidation type="list" allowBlank="1" showInputMessage="1" showErrorMessage="1" xr:uid="{8B6D6766-D6A0-444C-A881-ECF773AD0A44}">
          <x14:formula1>
            <xm:f>'Drop Lists'!$C$3:$C$8</xm:f>
          </x14:formula1>
          <xm:sqref>B19</xm:sqref>
        </x14:dataValidation>
        <x14:dataValidation type="list" allowBlank="1" showInputMessage="1" showErrorMessage="1" xr:uid="{CECC930E-ABC5-4962-AAA8-5FB4A2D821E7}">
          <x14:formula1>
            <xm:f>'Drop Lists'!$C$10:$C$11</xm:f>
          </x14:formula1>
          <xm:sqref>E30:E63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178C-4DD1-4EC0-9FB1-D28DB9957772}">
  <dimension ref="A1:L46"/>
  <sheetViews>
    <sheetView workbookViewId="0">
      <selection activeCell="A2" sqref="A2"/>
    </sheetView>
  </sheetViews>
  <sheetFormatPr defaultRowHeight="13.2" x14ac:dyDescent="0.25"/>
  <cols>
    <col min="1" max="1" width="13.21875" customWidth="1"/>
    <col min="3" max="3" width="13.77734375" customWidth="1"/>
    <col min="5" max="6" width="13.5546875" customWidth="1"/>
    <col min="7" max="7" width="12.44140625" customWidth="1"/>
    <col min="8" max="8" width="10.77734375" customWidth="1"/>
    <col min="9" max="9" width="11.5546875" customWidth="1"/>
    <col min="11" max="11" width="13.109375" customWidth="1"/>
  </cols>
  <sheetData>
    <row r="1" spans="1:12" ht="18" x14ac:dyDescent="0.25">
      <c r="A1" s="107" t="s">
        <v>191</v>
      </c>
    </row>
    <row r="2" spans="1:12" x14ac:dyDescent="0.25">
      <c r="A2" s="151"/>
      <c r="G2" t="s">
        <v>199</v>
      </c>
    </row>
    <row r="3" spans="1:12" x14ac:dyDescent="0.25">
      <c r="A3" t="s">
        <v>198</v>
      </c>
    </row>
    <row r="4" spans="1:12" x14ac:dyDescent="0.25">
      <c r="A4" s="31"/>
      <c r="B4" s="10"/>
      <c r="C4" s="2"/>
      <c r="D4" s="2"/>
      <c r="E4" s="30"/>
      <c r="G4" s="22"/>
      <c r="H4" s="22"/>
      <c r="I4" s="35"/>
      <c r="J4" s="22"/>
      <c r="K4" s="2"/>
      <c r="L4" s="10"/>
    </row>
    <row r="5" spans="1:12" x14ac:dyDescent="0.25">
      <c r="A5" s="2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31" t="s">
        <v>52</v>
      </c>
      <c r="B6" s="31"/>
      <c r="C6" s="42"/>
      <c r="D6" s="5" t="s">
        <v>53</v>
      </c>
      <c r="E6" s="43" t="s">
        <v>54</v>
      </c>
      <c r="F6" s="43" t="s">
        <v>186</v>
      </c>
      <c r="G6" s="43" t="s">
        <v>187</v>
      </c>
      <c r="H6" s="43" t="s">
        <v>55</v>
      </c>
      <c r="I6" s="43" t="s">
        <v>22</v>
      </c>
      <c r="J6" s="5" t="s">
        <v>40</v>
      </c>
      <c r="K6" s="5" t="s">
        <v>56</v>
      </c>
      <c r="L6" s="2"/>
    </row>
    <row r="7" spans="1:12" x14ac:dyDescent="0.25">
      <c r="A7" s="20" t="s">
        <v>32</v>
      </c>
      <c r="B7" s="20" t="s">
        <v>33</v>
      </c>
      <c r="C7" s="43" t="s">
        <v>57</v>
      </c>
      <c r="D7" s="5" t="s">
        <v>57</v>
      </c>
      <c r="E7" s="43" t="s">
        <v>58</v>
      </c>
      <c r="F7" s="43" t="s">
        <v>188</v>
      </c>
      <c r="G7" s="43" t="s">
        <v>192</v>
      </c>
      <c r="H7" s="43" t="s">
        <v>40</v>
      </c>
      <c r="I7" s="43" t="s">
        <v>25</v>
      </c>
      <c r="J7" s="5" t="s">
        <v>59</v>
      </c>
      <c r="K7" s="5" t="s">
        <v>60</v>
      </c>
      <c r="L7" s="2"/>
    </row>
    <row r="8" spans="1:12" x14ac:dyDescent="0.25">
      <c r="A8" s="129">
        <v>45456</v>
      </c>
      <c r="B8" s="130" t="s">
        <v>44</v>
      </c>
      <c r="C8" s="131" t="s">
        <v>61</v>
      </c>
      <c r="D8" s="19">
        <f>SUMIF('Transaction Entry'!G$10:G$192,C8,'Transaction Entry'!H$10:H$192)</f>
        <v>0</v>
      </c>
      <c r="E8" s="140">
        <v>22365.14</v>
      </c>
      <c r="F8" s="140">
        <v>22365.14</v>
      </c>
      <c r="G8" s="136"/>
      <c r="H8" s="141">
        <v>47.81</v>
      </c>
      <c r="I8" s="141"/>
      <c r="J8" s="36">
        <f>IF(D8=0,0,+H8/D8)</f>
        <v>0</v>
      </c>
      <c r="K8" s="10" t="str">
        <f t="shared" ref="K8:K26" si="0">+IF(D8&lt;=0," ",E8/D8)</f>
        <v xml:space="preserve"> </v>
      </c>
      <c r="L8" s="2"/>
    </row>
    <row r="9" spans="1:12" x14ac:dyDescent="0.25">
      <c r="A9" s="129">
        <v>45456</v>
      </c>
      <c r="B9" s="130" t="s">
        <v>44</v>
      </c>
      <c r="C9" s="131" t="s">
        <v>62</v>
      </c>
      <c r="D9" s="19">
        <f>SUMIF('Transaction Entry'!G$10:G$192,C9,'Transaction Entry'!H$10:H$192)</f>
        <v>0</v>
      </c>
      <c r="E9" s="140">
        <v>23118.54</v>
      </c>
      <c r="F9" s="140"/>
      <c r="G9" s="140">
        <v>23118.54</v>
      </c>
      <c r="H9" s="141">
        <v>49.43</v>
      </c>
      <c r="I9" s="141"/>
      <c r="J9" s="36">
        <f>IF(D9=0,0,+H9/D9)</f>
        <v>0</v>
      </c>
      <c r="K9" s="10" t="str">
        <f t="shared" si="0"/>
        <v xml:space="preserve"> </v>
      </c>
      <c r="L9" s="2"/>
    </row>
    <row r="10" spans="1:12" x14ac:dyDescent="0.25">
      <c r="A10" s="129">
        <v>45519</v>
      </c>
      <c r="B10" s="130" t="s">
        <v>44</v>
      </c>
      <c r="C10" s="131" t="s">
        <v>173</v>
      </c>
      <c r="D10" s="19">
        <f>SUMIF('Transaction Entry'!G$10:G$192,C10,'Transaction Entry'!H$10:H$192)</f>
        <v>0</v>
      </c>
      <c r="E10" s="140">
        <v>5830.98</v>
      </c>
      <c r="F10" s="140">
        <f>+E10</f>
        <v>5830.98</v>
      </c>
      <c r="G10" s="140"/>
      <c r="H10" s="141">
        <v>11.8</v>
      </c>
      <c r="I10" s="141"/>
      <c r="J10" s="36">
        <f>IF(D10=0,0,+H10/D10)</f>
        <v>0</v>
      </c>
      <c r="K10" s="10" t="str">
        <f t="shared" si="0"/>
        <v xml:space="preserve"> </v>
      </c>
      <c r="L10" s="2"/>
    </row>
    <row r="11" spans="1:12" x14ac:dyDescent="0.25">
      <c r="A11" s="129">
        <v>45519</v>
      </c>
      <c r="B11" s="130" t="s">
        <v>44</v>
      </c>
      <c r="C11" s="131" t="s">
        <v>174</v>
      </c>
      <c r="D11" s="19">
        <f>SUMIF('Transaction Entry'!G$10:G$192,C11,'Transaction Entry'!H$10:H$192)</f>
        <v>0</v>
      </c>
      <c r="E11" s="140">
        <v>26547.15</v>
      </c>
      <c r="F11" s="140"/>
      <c r="G11" s="140">
        <f>+E11</f>
        <v>26547.15</v>
      </c>
      <c r="H11" s="141">
        <v>53.74</v>
      </c>
      <c r="I11" s="141"/>
      <c r="J11" s="36">
        <f>IF(D11=0,0,+H11/D11)</f>
        <v>0</v>
      </c>
      <c r="K11" s="10" t="str">
        <f t="shared" si="0"/>
        <v xml:space="preserve"> </v>
      </c>
      <c r="L11" s="2"/>
    </row>
    <row r="12" spans="1:12" x14ac:dyDescent="0.25">
      <c r="A12" s="129">
        <v>45526</v>
      </c>
      <c r="B12" s="130" t="s">
        <v>44</v>
      </c>
      <c r="C12" s="138" t="s">
        <v>190</v>
      </c>
      <c r="D12" s="19">
        <f>SUMIF('Transaction Entry'!G$10:G$192,C12,'Transaction Entry'!H$10:H$192)</f>
        <v>0</v>
      </c>
      <c r="E12" s="140">
        <v>16690.18</v>
      </c>
      <c r="F12" s="140">
        <f>+E12</f>
        <v>16690.18</v>
      </c>
      <c r="G12" s="140"/>
      <c r="H12" s="141">
        <v>33.79</v>
      </c>
      <c r="I12" s="141"/>
      <c r="J12" s="36">
        <f>IF(D12=0,0,+H12/D12)</f>
        <v>0</v>
      </c>
      <c r="K12" s="10" t="str">
        <f t="shared" si="0"/>
        <v xml:space="preserve"> </v>
      </c>
      <c r="L12" s="2"/>
    </row>
    <row r="13" spans="1:12" x14ac:dyDescent="0.25">
      <c r="A13" s="129">
        <v>45369</v>
      </c>
      <c r="B13" s="130" t="s">
        <v>43</v>
      </c>
      <c r="C13" s="131">
        <v>6049</v>
      </c>
      <c r="D13" s="19">
        <f>SUMIF('Transaction Entry'!G$10:G$192,C13,'Transaction Entry'!H$10:H$192)</f>
        <v>0</v>
      </c>
      <c r="E13" s="140">
        <v>4797.8</v>
      </c>
      <c r="F13" s="140">
        <v>4797.8</v>
      </c>
      <c r="G13" s="136"/>
      <c r="H13" s="141">
        <v>0</v>
      </c>
      <c r="I13" s="141"/>
      <c r="J13" s="36">
        <v>0</v>
      </c>
      <c r="K13" s="10" t="str">
        <f t="shared" si="0"/>
        <v xml:space="preserve"> </v>
      </c>
      <c r="L13" s="2"/>
    </row>
    <row r="14" spans="1:12" x14ac:dyDescent="0.25">
      <c r="A14" s="129">
        <v>45459</v>
      </c>
      <c r="B14" s="130" t="s">
        <v>43</v>
      </c>
      <c r="C14" s="131">
        <v>6102</v>
      </c>
      <c r="D14" s="19">
        <f>SUMIF('Transaction Entry'!G$10:G$192,C14,'Transaction Entry'!H$10:H$192)</f>
        <v>0</v>
      </c>
      <c r="E14" s="140">
        <v>4605.12</v>
      </c>
      <c r="F14" s="140">
        <v>4605.12</v>
      </c>
      <c r="G14" s="136"/>
      <c r="H14" s="141">
        <v>0</v>
      </c>
      <c r="I14" s="141"/>
      <c r="J14" s="36">
        <f t="shared" ref="J14:J26" si="1">IF(D14=0,0,+H14/D14)</f>
        <v>0</v>
      </c>
      <c r="K14" s="10" t="str">
        <f t="shared" si="0"/>
        <v xml:space="preserve"> </v>
      </c>
      <c r="L14" s="22"/>
    </row>
    <row r="15" spans="1:12" x14ac:dyDescent="0.25">
      <c r="A15" s="129">
        <v>45459</v>
      </c>
      <c r="B15" s="130" t="s">
        <v>43</v>
      </c>
      <c r="C15" s="131">
        <v>6103</v>
      </c>
      <c r="D15" s="19">
        <f>SUMIF('Transaction Entry'!G$10:G$192,C15,'Transaction Entry'!H$10:H$192)</f>
        <v>0</v>
      </c>
      <c r="E15" s="140">
        <v>5662</v>
      </c>
      <c r="F15" s="140"/>
      <c r="G15" s="140">
        <v>5662</v>
      </c>
      <c r="H15" s="141">
        <v>0</v>
      </c>
      <c r="I15" s="141"/>
      <c r="J15" s="36">
        <f t="shared" si="1"/>
        <v>0</v>
      </c>
      <c r="K15" s="10" t="str">
        <f t="shared" si="0"/>
        <v xml:space="preserve"> </v>
      </c>
      <c r="L15" s="2"/>
    </row>
    <row r="16" spans="1:12" x14ac:dyDescent="0.25">
      <c r="A16" s="129">
        <v>45554</v>
      </c>
      <c r="B16" s="130" t="s">
        <v>43</v>
      </c>
      <c r="C16" s="131">
        <v>6154</v>
      </c>
      <c r="D16" s="19">
        <v>3217.5</v>
      </c>
      <c r="E16" s="140">
        <v>14478.75</v>
      </c>
      <c r="F16" s="140">
        <f>+E16</f>
        <v>14478.75</v>
      </c>
      <c r="G16" s="140"/>
      <c r="H16" s="141">
        <v>0</v>
      </c>
      <c r="I16" s="141"/>
      <c r="J16" s="36">
        <f t="shared" si="1"/>
        <v>0</v>
      </c>
      <c r="K16" s="10">
        <f t="shared" si="0"/>
        <v>4.5</v>
      </c>
      <c r="L16" s="2"/>
    </row>
    <row r="17" spans="1:12" x14ac:dyDescent="0.25">
      <c r="A17" s="129">
        <v>45293</v>
      </c>
      <c r="B17" s="130" t="s">
        <v>42</v>
      </c>
      <c r="C17" s="131">
        <v>53653</v>
      </c>
      <c r="D17" s="19">
        <f>SUMIF('Transaction Entry'!G$10:G$192,C17,'Transaction Entry'!H$10:H$192)</f>
        <v>0</v>
      </c>
      <c r="E17" s="140">
        <v>28437.5</v>
      </c>
      <c r="F17" s="140">
        <v>28437.5</v>
      </c>
      <c r="G17" s="136"/>
      <c r="H17" s="141">
        <v>50</v>
      </c>
      <c r="I17" s="141"/>
      <c r="J17" s="36">
        <f t="shared" si="1"/>
        <v>0</v>
      </c>
      <c r="K17" s="10" t="str">
        <f t="shared" si="0"/>
        <v xml:space="preserve"> </v>
      </c>
      <c r="L17" s="2"/>
    </row>
    <row r="18" spans="1:12" x14ac:dyDescent="0.25">
      <c r="A18" s="129">
        <v>45293</v>
      </c>
      <c r="B18" s="130" t="s">
        <v>42</v>
      </c>
      <c r="C18" s="131">
        <v>53654</v>
      </c>
      <c r="D18" s="19">
        <f>SUMIF('Transaction Entry'!G$10:G$192,C18,'Transaction Entry'!H$10:H$192)</f>
        <v>3683.5630000000001</v>
      </c>
      <c r="E18" s="140">
        <v>80624.98</v>
      </c>
      <c r="F18" s="140">
        <v>80624.98</v>
      </c>
      <c r="G18" s="136"/>
      <c r="H18" s="141">
        <v>150</v>
      </c>
      <c r="I18" s="141"/>
      <c r="J18" s="36">
        <f t="shared" si="1"/>
        <v>4.0721442798725041E-2</v>
      </c>
      <c r="K18" s="10">
        <f t="shared" si="0"/>
        <v>21.887770074789</v>
      </c>
      <c r="L18" s="2"/>
    </row>
    <row r="19" spans="1:12" x14ac:dyDescent="0.25">
      <c r="A19" s="129">
        <v>45293</v>
      </c>
      <c r="B19" s="130" t="s">
        <v>42</v>
      </c>
      <c r="C19" s="131">
        <v>53655</v>
      </c>
      <c r="D19" s="19">
        <f>SUMIF('Transaction Entry'!G$10:G$192,C19,'Transaction Entry'!H$10:H$192)</f>
        <v>0</v>
      </c>
      <c r="E19" s="140">
        <v>54150</v>
      </c>
      <c r="F19" s="140">
        <v>54150</v>
      </c>
      <c r="G19" s="136"/>
      <c r="H19" s="141">
        <v>100</v>
      </c>
      <c r="I19" s="141"/>
      <c r="J19" s="36">
        <f t="shared" si="1"/>
        <v>0</v>
      </c>
      <c r="K19" s="10" t="str">
        <f t="shared" si="0"/>
        <v xml:space="preserve"> </v>
      </c>
      <c r="L19" s="2"/>
    </row>
    <row r="20" spans="1:12" x14ac:dyDescent="0.25">
      <c r="A20" s="129">
        <v>45293</v>
      </c>
      <c r="B20" s="130" t="s">
        <v>42</v>
      </c>
      <c r="C20" s="131">
        <v>53657</v>
      </c>
      <c r="D20" s="19">
        <f>SUMIF('Transaction Entry'!G$10:G$192,C20,'Transaction Entry'!H$10:H$192)</f>
        <v>1231.0709999999999</v>
      </c>
      <c r="E20" s="140">
        <v>29562.51</v>
      </c>
      <c r="F20" s="140">
        <v>29562.51</v>
      </c>
      <c r="G20" s="136"/>
      <c r="H20" s="141">
        <v>49.99</v>
      </c>
      <c r="I20" s="141">
        <v>400</v>
      </c>
      <c r="J20" s="36">
        <f t="shared" si="1"/>
        <v>4.0606918691123428E-2</v>
      </c>
      <c r="K20" s="10">
        <f t="shared" si="0"/>
        <v>24.013651527816023</v>
      </c>
      <c r="L20" s="2"/>
    </row>
    <row r="21" spans="1:12" x14ac:dyDescent="0.25">
      <c r="A21" s="129">
        <v>45293</v>
      </c>
      <c r="B21" s="130" t="s">
        <v>42</v>
      </c>
      <c r="C21" s="131">
        <v>53658</v>
      </c>
      <c r="D21" s="19">
        <f>SUMIF('Transaction Entry'!G$10:G$192,C21,'Transaction Entry'!H$10:H$192)</f>
        <v>2446.1589999999997</v>
      </c>
      <c r="E21" s="140">
        <v>16749.669999999998</v>
      </c>
      <c r="F21" s="140">
        <v>16749.669999999998</v>
      </c>
      <c r="G21" s="136"/>
      <c r="H21" s="141">
        <v>36.119999999999997</v>
      </c>
      <c r="I21" s="141"/>
      <c r="J21" s="36">
        <f t="shared" si="1"/>
        <v>1.4766006625080381E-2</v>
      </c>
      <c r="K21" s="10">
        <f t="shared" si="0"/>
        <v>6.8473349442942997</v>
      </c>
      <c r="L21" s="2"/>
    </row>
    <row r="22" spans="1:12" x14ac:dyDescent="0.25">
      <c r="A22" s="129">
        <v>45293</v>
      </c>
      <c r="B22" s="130" t="s">
        <v>42</v>
      </c>
      <c r="C22" s="131">
        <v>53660</v>
      </c>
      <c r="D22" s="19">
        <f>SUMIF('Transaction Entry'!G$10:G$192,C22,'Transaction Entry'!H$10:H$192)</f>
        <v>0</v>
      </c>
      <c r="E22" s="140">
        <v>59875.02</v>
      </c>
      <c r="F22" s="140">
        <v>59875.02</v>
      </c>
      <c r="G22" s="136"/>
      <c r="H22" s="141">
        <v>100</v>
      </c>
      <c r="I22" s="141">
        <v>1200.01</v>
      </c>
      <c r="J22" s="36">
        <f t="shared" si="1"/>
        <v>0</v>
      </c>
      <c r="K22" s="10" t="str">
        <f t="shared" si="0"/>
        <v xml:space="preserve"> </v>
      </c>
      <c r="L22" s="2"/>
    </row>
    <row r="23" spans="1:12" x14ac:dyDescent="0.25">
      <c r="A23" s="129">
        <v>45478</v>
      </c>
      <c r="B23" s="130" t="s">
        <v>42</v>
      </c>
      <c r="C23" s="131">
        <v>56069</v>
      </c>
      <c r="D23" s="19">
        <f>SUMIF('Transaction Entry'!G$10:G$192,C23,'Transaction Entry'!H$10:H$192)</f>
        <v>0</v>
      </c>
      <c r="E23" s="140">
        <v>26200</v>
      </c>
      <c r="F23" s="140">
        <v>13100</v>
      </c>
      <c r="G23" s="140">
        <v>13100</v>
      </c>
      <c r="H23" s="141">
        <v>50.01</v>
      </c>
      <c r="I23" s="141"/>
      <c r="J23" s="36">
        <f t="shared" si="1"/>
        <v>0</v>
      </c>
      <c r="K23" s="10" t="str">
        <f t="shared" si="0"/>
        <v xml:space="preserve"> </v>
      </c>
      <c r="L23" s="2"/>
    </row>
    <row r="24" spans="1:12" x14ac:dyDescent="0.25">
      <c r="A24" s="129">
        <v>45478</v>
      </c>
      <c r="B24" s="130" t="s">
        <v>42</v>
      </c>
      <c r="C24" s="131">
        <v>56070</v>
      </c>
      <c r="D24" s="19">
        <f>SUMIF('Transaction Entry'!G$10:G$192,C24,'Transaction Entry'!H$10:H$192)</f>
        <v>0</v>
      </c>
      <c r="E24" s="140">
        <v>5151.96</v>
      </c>
      <c r="F24" s="140">
        <v>2575.98</v>
      </c>
      <c r="G24" s="140">
        <v>2575.98</v>
      </c>
      <c r="H24" s="141">
        <v>10.58</v>
      </c>
      <c r="I24" s="141"/>
      <c r="J24" s="36">
        <f t="shared" si="1"/>
        <v>0</v>
      </c>
      <c r="K24" s="10" t="str">
        <f t="shared" si="0"/>
        <v xml:space="preserve"> </v>
      </c>
      <c r="L24" s="2"/>
    </row>
    <row r="25" spans="1:12" x14ac:dyDescent="0.25">
      <c r="A25" s="129">
        <v>45478</v>
      </c>
      <c r="B25" s="130" t="s">
        <v>42</v>
      </c>
      <c r="C25" s="131">
        <v>56065</v>
      </c>
      <c r="D25" s="19">
        <f>SUMIF('Transaction Entry'!G$10:G$192,C25,'Transaction Entry'!H$10:H$192)</f>
        <v>0</v>
      </c>
      <c r="E25" s="140">
        <v>25327.5</v>
      </c>
      <c r="F25" s="140">
        <v>12663.75</v>
      </c>
      <c r="G25" s="140">
        <v>12663.75</v>
      </c>
      <c r="H25" s="141">
        <v>55</v>
      </c>
      <c r="I25" s="141"/>
      <c r="J25" s="36">
        <f t="shared" si="1"/>
        <v>0</v>
      </c>
      <c r="K25" s="10" t="str">
        <f t="shared" si="0"/>
        <v xml:space="preserve"> </v>
      </c>
      <c r="L25" s="2"/>
    </row>
    <row r="26" spans="1:12" x14ac:dyDescent="0.25">
      <c r="A26" s="129">
        <v>45478</v>
      </c>
      <c r="B26" s="130" t="s">
        <v>42</v>
      </c>
      <c r="C26" s="131">
        <v>56066</v>
      </c>
      <c r="D26" s="19">
        <f>SUMIF('Transaction Entry'!G$10:G$192,C26,'Transaction Entry'!H$10:H$192)</f>
        <v>0</v>
      </c>
      <c r="E26" s="140">
        <v>52600.02</v>
      </c>
      <c r="F26" s="140">
        <v>26300.01</v>
      </c>
      <c r="G26" s="140">
        <v>26300.01</v>
      </c>
      <c r="H26" s="141">
        <v>99.99</v>
      </c>
      <c r="I26" s="141">
        <v>-299.9870900000189</v>
      </c>
      <c r="J26" s="36">
        <f t="shared" si="1"/>
        <v>0</v>
      </c>
      <c r="K26" s="10" t="str">
        <f t="shared" si="0"/>
        <v xml:space="preserve"> </v>
      </c>
      <c r="L26" s="2"/>
    </row>
    <row r="27" spans="1:12" x14ac:dyDescent="0.25">
      <c r="A27" s="129"/>
      <c r="B27" s="130"/>
      <c r="C27" s="135"/>
      <c r="D27" s="19">
        <f>SUMIF('Transaction Entry'!G$10:G$192,C27,'Transaction Entry'!H$10:H$192)</f>
        <v>0</v>
      </c>
      <c r="E27" s="140"/>
      <c r="F27" s="140"/>
      <c r="G27" s="140"/>
      <c r="H27" s="141"/>
      <c r="I27" s="141"/>
      <c r="J27" s="36">
        <f t="shared" ref="J27:J41" si="2">IF(D27=0,0,+H27/D27)</f>
        <v>0</v>
      </c>
      <c r="K27" s="10" t="str">
        <f t="shared" ref="K27:K43" si="3">+IF(D27&lt;=0," ",E27/D27)</f>
        <v xml:space="preserve"> </v>
      </c>
      <c r="L27" s="2"/>
    </row>
    <row r="28" spans="1:12" x14ac:dyDescent="0.25">
      <c r="A28" s="129"/>
      <c r="B28" s="130"/>
      <c r="C28" s="135"/>
      <c r="D28" s="19">
        <f>SUMIF('Transaction Entry'!G$10:G$192,C28,'Transaction Entry'!H$10:H$192)</f>
        <v>0</v>
      </c>
      <c r="E28" s="140"/>
      <c r="F28" s="140"/>
      <c r="G28" s="140"/>
      <c r="H28" s="141"/>
      <c r="I28" s="141"/>
      <c r="J28" s="36">
        <f t="shared" si="2"/>
        <v>0</v>
      </c>
      <c r="K28" s="10" t="str">
        <f t="shared" si="3"/>
        <v xml:space="preserve"> </v>
      </c>
      <c r="L28" s="2"/>
    </row>
    <row r="29" spans="1:12" x14ac:dyDescent="0.25">
      <c r="A29" s="129"/>
      <c r="B29" s="130"/>
      <c r="C29" s="135"/>
      <c r="D29" s="19">
        <f>SUMIF('Transaction Entry'!G$10:G$192,C29,'Transaction Entry'!H$10:H$192)</f>
        <v>0</v>
      </c>
      <c r="E29" s="140"/>
      <c r="F29" s="140"/>
      <c r="G29" s="140"/>
      <c r="H29" s="141"/>
      <c r="I29" s="141"/>
      <c r="J29" s="36">
        <f t="shared" si="2"/>
        <v>0</v>
      </c>
      <c r="K29" s="10" t="str">
        <f t="shared" si="3"/>
        <v xml:space="preserve"> </v>
      </c>
      <c r="L29" s="2"/>
    </row>
    <row r="30" spans="1:12" x14ac:dyDescent="0.25">
      <c r="A30" s="129"/>
      <c r="B30" s="130"/>
      <c r="C30" s="135"/>
      <c r="D30" s="19">
        <f>SUMIF('Transaction Entry'!G$10:G$192,C30,'Transaction Entry'!H$10:H$192)</f>
        <v>0</v>
      </c>
      <c r="E30" s="140"/>
      <c r="F30" s="140"/>
      <c r="G30" s="140"/>
      <c r="H30" s="141"/>
      <c r="I30" s="141"/>
      <c r="J30" s="36">
        <f t="shared" si="2"/>
        <v>0</v>
      </c>
      <c r="K30" s="10" t="str">
        <f t="shared" si="3"/>
        <v xml:space="preserve"> </v>
      </c>
      <c r="L30" s="2"/>
    </row>
    <row r="31" spans="1:12" x14ac:dyDescent="0.25">
      <c r="A31" s="129"/>
      <c r="B31" s="130"/>
      <c r="C31" s="135"/>
      <c r="D31" s="19">
        <f>SUMIF('Transaction Entry'!G$10:G$192,C31,'Transaction Entry'!H$10:H$192)</f>
        <v>0</v>
      </c>
      <c r="E31" s="140"/>
      <c r="F31" s="140"/>
      <c r="G31" s="140"/>
      <c r="H31" s="141"/>
      <c r="I31" s="141"/>
      <c r="J31" s="36">
        <f t="shared" si="2"/>
        <v>0</v>
      </c>
      <c r="K31" s="10" t="str">
        <f t="shared" si="3"/>
        <v xml:space="preserve"> </v>
      </c>
      <c r="L31" s="2"/>
    </row>
    <row r="32" spans="1:12" x14ac:dyDescent="0.25">
      <c r="A32" s="129"/>
      <c r="B32" s="130"/>
      <c r="C32" s="135"/>
      <c r="D32" s="19">
        <f>SUMIF('Transaction Entry'!G$10:G$192,C32,'Transaction Entry'!H$10:H$192)</f>
        <v>0</v>
      </c>
      <c r="E32" s="140"/>
      <c r="F32" s="140"/>
      <c r="G32" s="140"/>
      <c r="H32" s="141"/>
      <c r="I32" s="141"/>
      <c r="J32" s="36">
        <f t="shared" si="2"/>
        <v>0</v>
      </c>
      <c r="K32" s="10" t="str">
        <f t="shared" si="3"/>
        <v xml:space="preserve"> </v>
      </c>
      <c r="L32" s="2"/>
    </row>
    <row r="33" spans="1:12" x14ac:dyDescent="0.25">
      <c r="A33" s="129"/>
      <c r="B33" s="130"/>
      <c r="C33" s="135"/>
      <c r="D33" s="19">
        <f>SUMIF('Transaction Entry'!G$10:G$192,C33,'Transaction Entry'!H$10:H$192)</f>
        <v>0</v>
      </c>
      <c r="E33" s="140"/>
      <c r="F33" s="140"/>
      <c r="G33" s="140"/>
      <c r="H33" s="141"/>
      <c r="I33" s="141"/>
      <c r="J33" s="36">
        <f t="shared" si="2"/>
        <v>0</v>
      </c>
      <c r="K33" s="10" t="str">
        <f t="shared" si="3"/>
        <v xml:space="preserve"> </v>
      </c>
      <c r="L33" s="2"/>
    </row>
    <row r="34" spans="1:12" x14ac:dyDescent="0.25">
      <c r="A34" s="129"/>
      <c r="B34" s="130"/>
      <c r="C34" s="135"/>
      <c r="D34" s="19">
        <f>SUMIF('Transaction Entry'!G$10:G$192,C34,'Transaction Entry'!H$10:H$192)</f>
        <v>0</v>
      </c>
      <c r="E34" s="140"/>
      <c r="F34" s="140"/>
      <c r="G34" s="140"/>
      <c r="H34" s="141"/>
      <c r="I34" s="141"/>
      <c r="J34" s="36">
        <f t="shared" si="2"/>
        <v>0</v>
      </c>
      <c r="K34" s="10" t="str">
        <f t="shared" si="3"/>
        <v xml:space="preserve"> </v>
      </c>
      <c r="L34" s="2"/>
    </row>
    <row r="35" spans="1:12" x14ac:dyDescent="0.25">
      <c r="A35" s="129"/>
      <c r="B35" s="130"/>
      <c r="C35" s="135"/>
      <c r="D35" s="19">
        <f>SUMIF('Transaction Entry'!G$10:G$192,C35,'Transaction Entry'!H$10:H$192)</f>
        <v>0</v>
      </c>
      <c r="E35" s="140"/>
      <c r="F35" s="140"/>
      <c r="G35" s="140"/>
      <c r="H35" s="141"/>
      <c r="I35" s="141"/>
      <c r="J35" s="36">
        <f t="shared" si="2"/>
        <v>0</v>
      </c>
      <c r="K35" s="10" t="str">
        <f t="shared" si="3"/>
        <v xml:space="preserve"> </v>
      </c>
      <c r="L35" s="2"/>
    </row>
    <row r="36" spans="1:12" x14ac:dyDescent="0.25">
      <c r="A36" s="129"/>
      <c r="B36" s="130"/>
      <c r="C36" s="135"/>
      <c r="D36" s="19">
        <f>SUMIF('Transaction Entry'!G$10:G$192,C36,'Transaction Entry'!H$10:H$192)</f>
        <v>0</v>
      </c>
      <c r="E36" s="140"/>
      <c r="F36" s="140"/>
      <c r="G36" s="140"/>
      <c r="H36" s="141"/>
      <c r="I36" s="141"/>
      <c r="J36" s="36">
        <f t="shared" si="2"/>
        <v>0</v>
      </c>
      <c r="K36" s="10" t="str">
        <f t="shared" si="3"/>
        <v xml:space="preserve"> </v>
      </c>
      <c r="L36" s="2"/>
    </row>
    <row r="37" spans="1:12" x14ac:dyDescent="0.25">
      <c r="A37" s="129"/>
      <c r="B37" s="130"/>
      <c r="C37" s="135"/>
      <c r="D37" s="19">
        <f>SUMIF('Transaction Entry'!G$10:G$192,C37,'Transaction Entry'!H$10:H$192)</f>
        <v>0</v>
      </c>
      <c r="E37" s="140"/>
      <c r="F37" s="140"/>
      <c r="G37" s="140"/>
      <c r="H37" s="141"/>
      <c r="I37" s="141"/>
      <c r="J37" s="36">
        <f t="shared" si="2"/>
        <v>0</v>
      </c>
      <c r="K37" s="10" t="str">
        <f t="shared" si="3"/>
        <v xml:space="preserve"> </v>
      </c>
      <c r="L37" s="2"/>
    </row>
    <row r="38" spans="1:12" x14ac:dyDescent="0.25">
      <c r="A38" s="129"/>
      <c r="B38" s="130"/>
      <c r="C38" s="135"/>
      <c r="D38" s="19">
        <f>SUMIF('Transaction Entry'!G$10:G$192,C38,'Transaction Entry'!H$10:H$192)</f>
        <v>0</v>
      </c>
      <c r="E38" s="140"/>
      <c r="F38" s="140"/>
      <c r="G38" s="140"/>
      <c r="H38" s="141"/>
      <c r="I38" s="141"/>
      <c r="J38" s="36">
        <f t="shared" si="2"/>
        <v>0</v>
      </c>
      <c r="K38" s="10" t="str">
        <f t="shared" si="3"/>
        <v xml:space="preserve"> </v>
      </c>
      <c r="L38" s="2"/>
    </row>
    <row r="39" spans="1:12" x14ac:dyDescent="0.25">
      <c r="A39" s="129"/>
      <c r="B39" s="130"/>
      <c r="C39" s="135"/>
      <c r="D39" s="19">
        <f>SUMIF('Transaction Entry'!G$10:G$192,C39,'Transaction Entry'!H$10:H$192)</f>
        <v>0</v>
      </c>
      <c r="E39" s="140"/>
      <c r="F39" s="140"/>
      <c r="G39" s="140"/>
      <c r="H39" s="141"/>
      <c r="I39" s="141"/>
      <c r="J39" s="36">
        <f t="shared" si="2"/>
        <v>0</v>
      </c>
      <c r="K39" s="10" t="str">
        <f t="shared" si="3"/>
        <v xml:space="preserve"> </v>
      </c>
      <c r="L39" s="2"/>
    </row>
    <row r="40" spans="1:12" x14ac:dyDescent="0.25">
      <c r="A40" s="129"/>
      <c r="B40" s="130"/>
      <c r="C40" s="135"/>
      <c r="D40" s="19">
        <f>SUMIF('Transaction Entry'!G$10:G$192,C40,'Transaction Entry'!H$10:H$192)</f>
        <v>0</v>
      </c>
      <c r="E40" s="140"/>
      <c r="F40" s="140"/>
      <c r="G40" s="140"/>
      <c r="H40" s="141"/>
      <c r="I40" s="141"/>
      <c r="J40" s="36">
        <f t="shared" si="2"/>
        <v>0</v>
      </c>
      <c r="K40" s="10" t="str">
        <f t="shared" si="3"/>
        <v xml:space="preserve"> </v>
      </c>
      <c r="L40" s="2"/>
    </row>
    <row r="41" spans="1:12" x14ac:dyDescent="0.25">
      <c r="A41" s="129"/>
      <c r="B41" s="130"/>
      <c r="C41" s="135"/>
      <c r="D41" s="19">
        <f>SUMIF('Transaction Entry'!G$10:G$192,C41,'Transaction Entry'!H$10:H$192)</f>
        <v>0</v>
      </c>
      <c r="E41" s="140"/>
      <c r="F41" s="140"/>
      <c r="G41" s="140"/>
      <c r="H41" s="141"/>
      <c r="I41" s="141"/>
      <c r="J41" s="36">
        <f t="shared" si="2"/>
        <v>0</v>
      </c>
      <c r="K41" s="10" t="str">
        <f t="shared" si="3"/>
        <v xml:space="preserve"> </v>
      </c>
      <c r="L41" s="2"/>
    </row>
    <row r="42" spans="1:12" x14ac:dyDescent="0.25">
      <c r="A42" s="129"/>
      <c r="B42" s="130"/>
      <c r="C42" s="139"/>
      <c r="D42" s="19"/>
      <c r="E42" s="140"/>
      <c r="F42" s="140"/>
      <c r="G42" s="136"/>
      <c r="H42" s="141"/>
      <c r="I42" s="141"/>
      <c r="K42" s="10" t="str">
        <f t="shared" si="3"/>
        <v xml:space="preserve"> </v>
      </c>
      <c r="L42" s="2"/>
    </row>
    <row r="43" spans="1:12" x14ac:dyDescent="0.25">
      <c r="A43" s="136"/>
      <c r="B43" s="129"/>
      <c r="C43" s="139"/>
      <c r="D43" s="19"/>
      <c r="E43" s="140"/>
      <c r="F43" s="140"/>
      <c r="G43" s="136"/>
      <c r="H43" s="141"/>
      <c r="I43" s="141"/>
      <c r="K43" s="10" t="str">
        <f t="shared" si="3"/>
        <v xml:space="preserve"> </v>
      </c>
      <c r="L43" s="2"/>
    </row>
    <row r="44" spans="1:12" x14ac:dyDescent="0.25">
      <c r="A44" s="2"/>
      <c r="B44" s="2"/>
      <c r="C44" s="3"/>
      <c r="D44" s="40">
        <f t="shared" ref="D44:I44" si="4">+SUM(D8:D43)</f>
        <v>10578.293</v>
      </c>
      <c r="E44" s="18">
        <f t="shared" si="4"/>
        <v>502774.82</v>
      </c>
      <c r="F44" s="18">
        <f t="shared" si="4"/>
        <v>392807.39</v>
      </c>
      <c r="G44" s="18">
        <f t="shared" si="4"/>
        <v>109967.43</v>
      </c>
      <c r="H44" s="18">
        <f t="shared" si="4"/>
        <v>898.26</v>
      </c>
      <c r="I44" s="18">
        <f t="shared" si="4"/>
        <v>1300.022909999981</v>
      </c>
      <c r="J44" s="2"/>
      <c r="K44" s="2"/>
      <c r="L44" s="2"/>
    </row>
    <row r="45" spans="1:12" x14ac:dyDescent="0.25">
      <c r="A45" s="2"/>
      <c r="B45" s="2"/>
      <c r="C45" s="45"/>
      <c r="D45" s="45"/>
      <c r="E45" s="45"/>
      <c r="F45" s="45"/>
      <c r="G45" s="45"/>
      <c r="H45" s="10"/>
      <c r="I45" s="45"/>
      <c r="J45" s="45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</sheetData>
  <sheetProtection sheet="1" objects="1" scenarios="1" selectLockedCells="1"/>
  <sortState xmlns:xlrd2="http://schemas.microsoft.com/office/spreadsheetml/2017/richdata2" ref="A8:K26">
    <sortCondition ref="B8:B26"/>
    <sortCondition ref="A8:A26"/>
  </sortState>
  <hyperlinks>
    <hyperlink ref="C17" r:id="rId1" display="Corn 2023\Shipping docs\Payments &amp; SS\53653.pdf" xr:uid="{00000000-0004-0000-0000-000014000000}"/>
    <hyperlink ref="C18" r:id="rId2" display="Corn 2023\Shipping docs\Payments &amp; SS\53654.pdf" xr:uid="{00000000-0004-0000-0000-000015000000}"/>
    <hyperlink ref="C19" r:id="rId3" display="Corn 2023\Shipping docs\Payments &amp; SS\53655.pdf" xr:uid="{00000000-0004-0000-0000-000016000000}"/>
    <hyperlink ref="C20" r:id="rId4" display="Corn 2023\Shipping docs\Payments &amp; SS\53657.pdf" xr:uid="{00000000-0004-0000-0000-000017000000}"/>
    <hyperlink ref="C21" r:id="rId5" display="Corn 2023\Shipping docs\Payments &amp; SS\53658.pdf" xr:uid="{00000000-0004-0000-0000-000018000000}"/>
    <hyperlink ref="C22" r:id="rId6" display="Corn 2023\Shipping docs\Payments &amp; SS\53660.pdf" xr:uid="{00000000-0004-0000-0000-000019000000}"/>
    <hyperlink ref="C13" r:id="rId7" display="Corn 2023\Shipping docs\Payments &amp; SS\6049 Ken Ham Corn.pdf" xr:uid="{00000000-0004-0000-0000-00001A000000}"/>
    <hyperlink ref="C14" r:id="rId8" display="Corn 2023\Shipping docs\Payments &amp; SS\6102 Ken Ham Corn.pdf" xr:uid="{00000000-0004-0000-0000-00001B000000}"/>
    <hyperlink ref="C15" r:id="rId9" display="Corn 2023\Shipping docs\Payments &amp; SS\6103 Ken Ham Corn.pdf" xr:uid="{00000000-0004-0000-0000-00001C000000}"/>
    <hyperlink ref="C8" r:id="rId10" xr:uid="{00000000-0004-0000-0000-00001D000000}"/>
    <hyperlink ref="C9" r:id="rId11" xr:uid="{00000000-0004-0000-0000-00001E000000}"/>
    <hyperlink ref="C23" r:id="rId12" display="Corn 2023\Shipping docs\Payments &amp; SS\56069.pdf" xr:uid="{00000000-0004-0000-0000-00001F000000}"/>
    <hyperlink ref="C24" r:id="rId13" display="Corn 2023\Shipping docs\Payments &amp; SS\56070.pdf" xr:uid="{00000000-0004-0000-0000-000020000000}"/>
    <hyperlink ref="C25" r:id="rId14" display="Corn 2023\Shipping docs\Payments &amp; SS\56065.pdf" xr:uid="{00000000-0004-0000-0000-000021000000}"/>
    <hyperlink ref="C26" r:id="rId15" display="Corn 2023\Shipping docs\Payments &amp; SS\56066.pdf" xr:uid="{00000000-0004-0000-0000-000022000000}"/>
    <hyperlink ref="C10" r:id="rId16" xr:uid="{C7E06E97-02EE-43AA-AECD-2B402F148D01}"/>
    <hyperlink ref="C11" r:id="rId17" xr:uid="{BA52F14A-0F9C-4BB8-8ECC-ECDDC230D8AD}"/>
    <hyperlink ref="C16" r:id="rId18" display="Corn 2023\Shipping docs\Payments &amp; SS\6154 Ken Ham Corn.pdf" xr:uid="{53F45CF9-B357-42D2-B99A-E4E96A726D1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1000000}">
          <x14:formula1>
            <xm:f>'Drop Lists'!$C$3:$C$7</xm:f>
          </x14:formula1>
          <xm:sqref>B8:B41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60"/>
  <sheetViews>
    <sheetView tabSelected="1" workbookViewId="0">
      <pane ySplit="9" topLeftCell="A10" activePane="bottomLeft" state="frozenSplit"/>
      <selection pane="bottomLeft" activeCell="D21" sqref="D21"/>
    </sheetView>
  </sheetViews>
  <sheetFormatPr defaultColWidth="12.6640625" defaultRowHeight="15" customHeight="1" x14ac:dyDescent="0.25"/>
  <cols>
    <col min="1" max="1" width="17.77734375" customWidth="1"/>
    <col min="2" max="2" width="10.44140625" customWidth="1"/>
    <col min="3" max="3" width="11.88671875" customWidth="1"/>
    <col min="4" max="4" width="14.77734375" customWidth="1"/>
    <col min="5" max="5" width="14.33203125" customWidth="1"/>
    <col min="6" max="6" width="13.33203125" customWidth="1"/>
    <col min="7" max="7" width="14" style="122" customWidth="1"/>
    <col min="8" max="8" width="14.33203125" customWidth="1"/>
    <col min="9" max="9" width="15.109375" customWidth="1"/>
    <col min="10" max="10" width="14.44140625" customWidth="1"/>
    <col min="11" max="11" width="12.33203125" customWidth="1"/>
    <col min="12" max="12" width="13" customWidth="1"/>
    <col min="13" max="13" width="10.109375" customWidth="1"/>
    <col min="14" max="26" width="8.6640625" customWidth="1"/>
  </cols>
  <sheetData>
    <row r="1" spans="1:12" ht="18" customHeight="1" x14ac:dyDescent="0.25">
      <c r="A1" s="107" t="s">
        <v>197</v>
      </c>
      <c r="B1" s="2"/>
      <c r="C1" s="45"/>
      <c r="D1" s="45"/>
      <c r="E1" s="45"/>
      <c r="F1" s="45"/>
      <c r="G1" s="121"/>
      <c r="H1" s="45"/>
      <c r="I1" s="45"/>
      <c r="J1" s="45"/>
      <c r="K1" s="2"/>
      <c r="L1" s="2"/>
    </row>
    <row r="2" spans="1:12" ht="12.75" customHeight="1" x14ac:dyDescent="0.25">
      <c r="A2" s="136"/>
      <c r="B2" s="2"/>
      <c r="C2" s="45"/>
      <c r="D2" s="45"/>
      <c r="E2" s="45"/>
      <c r="F2" s="45"/>
      <c r="G2" s="121"/>
      <c r="H2" s="45"/>
      <c r="I2" s="45"/>
      <c r="J2" s="45"/>
      <c r="K2" s="2"/>
      <c r="L2" s="2"/>
    </row>
    <row r="3" spans="1:12" ht="12.75" customHeight="1" x14ac:dyDescent="0.25">
      <c r="A3" s="2"/>
      <c r="B3" s="2"/>
      <c r="C3" s="45"/>
      <c r="D3" s="45"/>
      <c r="E3" s="45"/>
      <c r="F3" s="45"/>
      <c r="G3" s="121"/>
      <c r="H3" s="45"/>
      <c r="I3" s="45"/>
      <c r="J3" s="45"/>
      <c r="K3" s="2"/>
      <c r="L3" s="2"/>
    </row>
    <row r="4" spans="1:12" ht="12.75" customHeight="1" x14ac:dyDescent="0.25">
      <c r="A4" s="105" t="s">
        <v>8</v>
      </c>
      <c r="B4" s="2"/>
      <c r="C4" s="2"/>
      <c r="D4" s="2"/>
      <c r="E4" s="28"/>
      <c r="F4" s="2"/>
      <c r="G4" s="5"/>
      <c r="H4" s="58"/>
      <c r="I4" s="2"/>
      <c r="J4" s="2"/>
      <c r="K4" s="2"/>
      <c r="L4" s="5"/>
    </row>
    <row r="5" spans="1:12" ht="12.75" customHeight="1" x14ac:dyDescent="0.25">
      <c r="A5" s="76" t="s">
        <v>63</v>
      </c>
      <c r="B5" s="2"/>
      <c r="C5" s="2"/>
      <c r="D5" s="2"/>
      <c r="E5" s="28"/>
      <c r="F5" s="2"/>
      <c r="G5" s="5"/>
      <c r="H5" s="10"/>
      <c r="I5" s="2"/>
      <c r="J5" s="2"/>
      <c r="K5" s="2"/>
      <c r="L5" s="5"/>
    </row>
    <row r="6" spans="1:12" ht="12.75" customHeight="1" x14ac:dyDescent="0.25">
      <c r="A6" s="76" t="s">
        <v>64</v>
      </c>
      <c r="B6" s="28"/>
      <c r="C6" s="32"/>
      <c r="D6" s="109" t="s">
        <v>171</v>
      </c>
      <c r="E6" s="28"/>
      <c r="F6" s="28"/>
      <c r="G6" s="28"/>
      <c r="H6" s="77"/>
      <c r="I6" s="28"/>
      <c r="J6" s="2"/>
      <c r="K6" s="46"/>
      <c r="L6" s="5"/>
    </row>
    <row r="7" spans="1:12" ht="12.75" customHeight="1" x14ac:dyDescent="0.25">
      <c r="A7" s="76" t="s">
        <v>65</v>
      </c>
      <c r="B7" s="28"/>
      <c r="C7" s="32"/>
      <c r="D7" s="109" t="s">
        <v>172</v>
      </c>
      <c r="E7" s="28"/>
      <c r="F7" s="28"/>
      <c r="G7" s="5"/>
      <c r="H7" s="50">
        <v>1194.48</v>
      </c>
      <c r="I7" s="78" t="s">
        <v>66</v>
      </c>
      <c r="J7" s="2"/>
      <c r="K7" s="2"/>
      <c r="L7" s="20" t="s">
        <v>67</v>
      </c>
    </row>
    <row r="8" spans="1:12" ht="12.75" customHeight="1" x14ac:dyDescent="0.25">
      <c r="A8" s="44"/>
      <c r="B8" s="20" t="s">
        <v>68</v>
      </c>
      <c r="C8" s="79"/>
      <c r="D8" s="20" t="s">
        <v>69</v>
      </c>
      <c r="E8" s="20"/>
      <c r="F8" s="2"/>
      <c r="G8" s="20"/>
      <c r="H8" s="20"/>
      <c r="I8" s="20"/>
      <c r="J8" s="20"/>
      <c r="K8" s="44"/>
      <c r="L8" s="20" t="s">
        <v>70</v>
      </c>
    </row>
    <row r="9" spans="1:12" ht="12.75" customHeight="1" x14ac:dyDescent="0.25">
      <c r="A9" s="20" t="s">
        <v>71</v>
      </c>
      <c r="B9" s="20" t="s">
        <v>72</v>
      </c>
      <c r="C9" s="20" t="s">
        <v>73</v>
      </c>
      <c r="D9" s="20" t="s">
        <v>74</v>
      </c>
      <c r="E9" s="20" t="s">
        <v>75</v>
      </c>
      <c r="F9" s="28" t="s">
        <v>36</v>
      </c>
      <c r="G9" s="20" t="s">
        <v>76</v>
      </c>
      <c r="H9" s="20" t="s">
        <v>77</v>
      </c>
      <c r="I9" s="20" t="s">
        <v>78</v>
      </c>
      <c r="J9" s="20" t="s">
        <v>79</v>
      </c>
      <c r="K9" s="20" t="s">
        <v>80</v>
      </c>
      <c r="L9" s="20" t="s">
        <v>81</v>
      </c>
    </row>
    <row r="10" spans="1:12" ht="12.75" customHeight="1" x14ac:dyDescent="0.25">
      <c r="A10" s="136">
        <v>20</v>
      </c>
      <c r="B10" s="130" t="s">
        <v>80</v>
      </c>
      <c r="C10" s="146">
        <v>45223</v>
      </c>
      <c r="D10" s="134">
        <v>443230</v>
      </c>
      <c r="E10" s="142">
        <v>32820</v>
      </c>
      <c r="F10" s="30">
        <f>VLOOKUP(E10,'Summary-Contracts'!$C$30:$G$62,4,0)</f>
        <v>5.3849999999999998</v>
      </c>
      <c r="G10" s="142">
        <v>53654</v>
      </c>
      <c r="H10" s="143">
        <v>1232.143</v>
      </c>
      <c r="I10" s="144"/>
      <c r="J10" s="145">
        <v>15.5</v>
      </c>
      <c r="K10" s="136" t="s">
        <v>86</v>
      </c>
      <c r="L10" s="136"/>
    </row>
    <row r="11" spans="1:12" ht="12.75" customHeight="1" x14ac:dyDescent="0.25">
      <c r="A11" s="136">
        <v>21</v>
      </c>
      <c r="B11" s="130" t="s">
        <v>80</v>
      </c>
      <c r="C11" s="146">
        <v>45223</v>
      </c>
      <c r="D11" s="134">
        <v>443232</v>
      </c>
      <c r="E11" s="142">
        <v>33687</v>
      </c>
      <c r="F11" s="30">
        <f>VLOOKUP(E11,'Summary-Contracts'!$C$30:$G$62,4,0)</f>
        <v>5.8425000000000002</v>
      </c>
      <c r="G11" s="142">
        <v>53657</v>
      </c>
      <c r="H11" s="143">
        <v>1231.0709999999999</v>
      </c>
      <c r="I11" s="144"/>
      <c r="J11" s="145">
        <v>15.4</v>
      </c>
      <c r="K11" s="136" t="s">
        <v>86</v>
      </c>
      <c r="L11" s="136"/>
    </row>
    <row r="12" spans="1:12" ht="12.75" customHeight="1" x14ac:dyDescent="0.25">
      <c r="A12" s="136">
        <v>22</v>
      </c>
      <c r="B12" s="130" t="s">
        <v>80</v>
      </c>
      <c r="C12" s="146">
        <v>45222</v>
      </c>
      <c r="D12" s="134">
        <v>443233</v>
      </c>
      <c r="E12" s="142">
        <v>32820</v>
      </c>
      <c r="F12" s="30">
        <f>VLOOKUP(E12,'Summary-Contracts'!$C$30:$G$62,4,0)</f>
        <v>5.3849999999999998</v>
      </c>
      <c r="G12" s="142">
        <v>53654</v>
      </c>
      <c r="H12" s="143">
        <v>1254.29</v>
      </c>
      <c r="I12" s="144"/>
      <c r="J12" s="145">
        <v>15.2</v>
      </c>
      <c r="K12" s="136" t="s">
        <v>86</v>
      </c>
      <c r="L12" s="136"/>
    </row>
    <row r="13" spans="1:12" ht="12.75" customHeight="1" x14ac:dyDescent="0.25">
      <c r="A13" s="136">
        <v>23</v>
      </c>
      <c r="B13" s="130" t="s">
        <v>80</v>
      </c>
      <c r="C13" s="146">
        <v>45226</v>
      </c>
      <c r="D13" s="134">
        <v>443234</v>
      </c>
      <c r="E13" s="142">
        <v>33826</v>
      </c>
      <c r="F13" s="30">
        <f>VLOOKUP(E13,'Summary-Contracts'!$C$30:$G$62,4,0)</f>
        <v>4.6475</v>
      </c>
      <c r="G13" s="142">
        <v>53658</v>
      </c>
      <c r="H13" s="143">
        <v>1206.348</v>
      </c>
      <c r="I13" s="144"/>
      <c r="J13" s="145">
        <v>16.399999999999999</v>
      </c>
      <c r="K13" s="136" t="s">
        <v>86</v>
      </c>
      <c r="L13" s="136"/>
    </row>
    <row r="14" spans="1:12" ht="12.75" customHeight="1" x14ac:dyDescent="0.25">
      <c r="A14" s="136">
        <v>24</v>
      </c>
      <c r="B14" s="130" t="s">
        <v>80</v>
      </c>
      <c r="C14" s="146">
        <v>45226</v>
      </c>
      <c r="D14" s="134">
        <v>443235</v>
      </c>
      <c r="E14" s="142">
        <v>33826</v>
      </c>
      <c r="F14" s="30">
        <f>VLOOKUP(E14,'Summary-Contracts'!$C$30:$G$62,4,0)</f>
        <v>4.6475</v>
      </c>
      <c r="G14" s="142">
        <v>53658</v>
      </c>
      <c r="H14" s="143">
        <v>1239.8109999999999</v>
      </c>
      <c r="I14" s="144"/>
      <c r="J14" s="145">
        <v>16.100000000000001</v>
      </c>
      <c r="K14" s="136" t="s">
        <v>86</v>
      </c>
      <c r="L14" s="136"/>
    </row>
    <row r="15" spans="1:12" ht="12.75" customHeight="1" x14ac:dyDescent="0.25">
      <c r="A15" s="136">
        <v>25</v>
      </c>
      <c r="B15" s="130" t="s">
        <v>80</v>
      </c>
      <c r="C15" s="146">
        <v>45223</v>
      </c>
      <c r="D15" s="134">
        <v>443245</v>
      </c>
      <c r="E15" s="142">
        <v>32820</v>
      </c>
      <c r="F15" s="30">
        <f>VLOOKUP(E15,'Summary-Contracts'!$C$30:$G$62,4,0)</f>
        <v>5.3849999999999998</v>
      </c>
      <c r="G15" s="142">
        <v>53654</v>
      </c>
      <c r="H15" s="143">
        <v>1197.1300000000001</v>
      </c>
      <c r="I15" s="144"/>
      <c r="J15" s="145">
        <v>15.6</v>
      </c>
      <c r="K15" s="136" t="s">
        <v>86</v>
      </c>
      <c r="L15" s="136"/>
    </row>
    <row r="16" spans="1:12" ht="12.75" customHeight="1" x14ac:dyDescent="0.25">
      <c r="A16" s="136"/>
      <c r="B16" s="130"/>
      <c r="C16" s="146"/>
      <c r="D16" s="134"/>
      <c r="E16" s="142"/>
      <c r="F16" s="30"/>
      <c r="G16" s="142"/>
      <c r="H16" s="143"/>
      <c r="I16" s="136"/>
      <c r="J16" s="136"/>
      <c r="K16" s="136"/>
      <c r="L16" s="136"/>
    </row>
    <row r="17" spans="1:12" ht="12.75" customHeight="1" x14ac:dyDescent="0.25">
      <c r="A17" s="136"/>
      <c r="B17" s="130"/>
      <c r="C17" s="146"/>
      <c r="D17" s="134"/>
      <c r="E17" s="142"/>
      <c r="F17" s="30"/>
      <c r="G17" s="142"/>
      <c r="H17" s="143"/>
      <c r="I17" s="136"/>
      <c r="J17" s="136"/>
      <c r="K17" s="136"/>
      <c r="L17" s="136"/>
    </row>
    <row r="18" spans="1:12" ht="12.75" customHeight="1" x14ac:dyDescent="0.25">
      <c r="A18" s="136"/>
      <c r="B18" s="130"/>
      <c r="C18" s="146"/>
      <c r="D18" s="134"/>
      <c r="E18" s="142"/>
      <c r="F18" s="30"/>
      <c r="G18" s="142"/>
      <c r="H18" s="143"/>
      <c r="I18" s="136"/>
      <c r="J18" s="136"/>
      <c r="K18" s="136"/>
      <c r="L18" s="136"/>
    </row>
    <row r="19" spans="1:12" ht="12.75" customHeight="1" x14ac:dyDescent="0.25">
      <c r="A19" s="136"/>
      <c r="B19" s="130"/>
      <c r="C19" s="146"/>
      <c r="D19" s="134"/>
      <c r="E19" s="142"/>
      <c r="F19" s="30"/>
      <c r="G19" s="142"/>
      <c r="H19" s="143"/>
      <c r="I19" s="129"/>
      <c r="J19" s="136"/>
      <c r="K19" s="136"/>
      <c r="L19" s="136"/>
    </row>
    <row r="20" spans="1:12" ht="12.75" customHeight="1" x14ac:dyDescent="0.25">
      <c r="A20" s="136"/>
      <c r="B20" s="130"/>
      <c r="C20" s="146"/>
      <c r="D20" s="134"/>
      <c r="E20" s="142"/>
      <c r="F20" s="30"/>
      <c r="G20" s="142"/>
      <c r="H20" s="143"/>
      <c r="I20" s="136"/>
      <c r="J20" s="136"/>
      <c r="K20" s="136"/>
      <c r="L20" s="136"/>
    </row>
    <row r="21" spans="1:12" ht="12.75" customHeight="1" x14ac:dyDescent="0.25">
      <c r="A21" s="136"/>
      <c r="B21" s="130"/>
      <c r="C21" s="146"/>
      <c r="D21" s="134"/>
      <c r="E21" s="142"/>
      <c r="F21" s="30"/>
      <c r="G21" s="142"/>
      <c r="H21" s="143"/>
      <c r="I21" s="136"/>
      <c r="J21" s="136"/>
      <c r="K21" s="136"/>
      <c r="L21" s="136"/>
    </row>
    <row r="22" spans="1:12" ht="12.75" customHeight="1" x14ac:dyDescent="0.25">
      <c r="A22" s="136"/>
      <c r="B22" s="130"/>
      <c r="C22" s="146"/>
      <c r="D22" s="134"/>
      <c r="E22" s="142"/>
      <c r="F22" s="30"/>
      <c r="G22" s="142"/>
      <c r="H22" s="143"/>
      <c r="I22" s="136"/>
      <c r="J22" s="136"/>
      <c r="K22" s="136"/>
      <c r="L22" s="136"/>
    </row>
    <row r="23" spans="1:12" ht="12.75" customHeight="1" x14ac:dyDescent="0.25">
      <c r="A23" s="136"/>
      <c r="B23" s="130"/>
      <c r="C23" s="146"/>
      <c r="D23" s="134"/>
      <c r="E23" s="142"/>
      <c r="F23" s="30"/>
      <c r="G23" s="142"/>
      <c r="H23" s="143"/>
      <c r="I23" s="136"/>
      <c r="J23" s="136"/>
      <c r="K23" s="136"/>
      <c r="L23" s="136"/>
    </row>
    <row r="24" spans="1:12" ht="12.75" customHeight="1" x14ac:dyDescent="0.25">
      <c r="A24" s="136"/>
      <c r="B24" s="130"/>
      <c r="C24" s="146"/>
      <c r="D24" s="134"/>
      <c r="E24" s="142"/>
      <c r="F24" s="30"/>
      <c r="G24" s="142"/>
      <c r="H24" s="143"/>
      <c r="I24" s="136"/>
      <c r="J24" s="136"/>
      <c r="K24" s="136"/>
      <c r="L24" s="136"/>
    </row>
    <row r="25" spans="1:12" ht="12.75" customHeight="1" x14ac:dyDescent="0.25">
      <c r="A25" s="136"/>
      <c r="B25" s="130"/>
      <c r="C25" s="146"/>
      <c r="D25" s="134"/>
      <c r="E25" s="142"/>
      <c r="F25" s="30"/>
      <c r="G25" s="142"/>
      <c r="H25" s="143"/>
      <c r="I25" s="136"/>
      <c r="J25" s="136"/>
      <c r="K25" s="136"/>
      <c r="L25" s="136"/>
    </row>
    <row r="26" spans="1:12" ht="12.75" customHeight="1" x14ac:dyDescent="0.25">
      <c r="A26" s="136"/>
      <c r="B26" s="130"/>
      <c r="C26" s="146"/>
      <c r="D26" s="134"/>
      <c r="E26" s="142"/>
      <c r="F26" s="30"/>
      <c r="G26" s="142"/>
      <c r="H26" s="143"/>
      <c r="I26" s="136"/>
      <c r="J26" s="145"/>
      <c r="K26" s="136"/>
      <c r="L26" s="136"/>
    </row>
    <row r="27" spans="1:12" ht="12.75" customHeight="1" x14ac:dyDescent="0.25">
      <c r="A27" s="136"/>
      <c r="B27" s="130"/>
      <c r="C27" s="146"/>
      <c r="D27" s="134"/>
      <c r="E27" s="142"/>
      <c r="F27" s="30"/>
      <c r="G27" s="142"/>
      <c r="H27" s="143"/>
      <c r="I27" s="129"/>
      <c r="J27" s="145"/>
      <c r="K27" s="136"/>
      <c r="L27" s="136"/>
    </row>
    <row r="28" spans="1:12" ht="12.75" customHeight="1" x14ac:dyDescent="0.25">
      <c r="A28" s="136"/>
      <c r="B28" s="130"/>
      <c r="C28" s="146"/>
      <c r="D28" s="134"/>
      <c r="E28" s="142"/>
      <c r="F28" s="30"/>
      <c r="G28" s="142"/>
      <c r="H28" s="143"/>
      <c r="I28" s="129"/>
      <c r="J28" s="145"/>
      <c r="K28" s="136"/>
      <c r="L28" s="136"/>
    </row>
    <row r="29" spans="1:12" ht="12.75" customHeight="1" x14ac:dyDescent="0.25">
      <c r="A29" s="136"/>
      <c r="B29" s="130"/>
      <c r="C29" s="146"/>
      <c r="D29" s="134"/>
      <c r="E29" s="142"/>
      <c r="F29" s="30"/>
      <c r="G29" s="142"/>
      <c r="H29" s="143"/>
      <c r="I29" s="129"/>
      <c r="J29" s="145"/>
      <c r="K29" s="136"/>
      <c r="L29" s="136"/>
    </row>
    <row r="30" spans="1:12" ht="12.75" customHeight="1" x14ac:dyDescent="0.25">
      <c r="A30" s="136"/>
      <c r="B30" s="130"/>
      <c r="C30" s="146"/>
      <c r="D30" s="134"/>
      <c r="E30" s="142"/>
      <c r="F30" s="30"/>
      <c r="G30" s="142"/>
      <c r="H30" s="143"/>
      <c r="I30" s="129"/>
      <c r="J30" s="145"/>
      <c r="K30" s="136"/>
      <c r="L30" s="136"/>
    </row>
    <row r="31" spans="1:12" ht="12.75" customHeight="1" x14ac:dyDescent="0.25">
      <c r="A31" s="136"/>
      <c r="B31" s="130"/>
      <c r="C31" s="146"/>
      <c r="D31" s="134"/>
      <c r="E31" s="142"/>
      <c r="F31" s="30"/>
      <c r="G31" s="142"/>
      <c r="H31" s="143"/>
      <c r="I31" s="129"/>
      <c r="J31" s="145"/>
      <c r="K31" s="136"/>
      <c r="L31" s="136"/>
    </row>
    <row r="32" spans="1:12" ht="12.75" customHeight="1" x14ac:dyDescent="0.25">
      <c r="A32" s="136"/>
      <c r="B32" s="130"/>
      <c r="C32" s="146"/>
      <c r="D32" s="134"/>
      <c r="E32" s="142"/>
      <c r="F32" s="30"/>
      <c r="G32" s="142"/>
      <c r="H32" s="143"/>
      <c r="I32" s="136"/>
      <c r="J32" s="145"/>
      <c r="K32" s="136"/>
      <c r="L32" s="136"/>
    </row>
    <row r="33" spans="1:12" ht="12.75" customHeight="1" x14ac:dyDescent="0.25">
      <c r="A33" s="136"/>
      <c r="B33" s="130"/>
      <c r="C33" s="146"/>
      <c r="D33" s="134"/>
      <c r="E33" s="142"/>
      <c r="F33" s="30"/>
      <c r="G33" s="142"/>
      <c r="H33" s="143"/>
      <c r="I33" s="129"/>
      <c r="J33" s="145"/>
      <c r="K33" s="136"/>
      <c r="L33" s="136"/>
    </row>
    <row r="34" spans="1:12" ht="12.75" customHeight="1" x14ac:dyDescent="0.25">
      <c r="A34" s="136"/>
      <c r="B34" s="130"/>
      <c r="C34" s="146"/>
      <c r="D34" s="134"/>
      <c r="E34" s="142"/>
      <c r="F34" s="30"/>
      <c r="G34" s="142"/>
      <c r="H34" s="143"/>
      <c r="I34" s="129"/>
      <c r="J34" s="145"/>
      <c r="K34" s="136"/>
      <c r="L34" s="136"/>
    </row>
    <row r="35" spans="1:12" ht="12.75" customHeight="1" x14ac:dyDescent="0.25">
      <c r="A35" s="136"/>
      <c r="B35" s="130"/>
      <c r="C35" s="146"/>
      <c r="D35" s="134"/>
      <c r="E35" s="142"/>
      <c r="F35" s="30"/>
      <c r="G35" s="142"/>
      <c r="H35" s="143"/>
      <c r="I35" s="129"/>
      <c r="J35" s="145"/>
      <c r="K35" s="136"/>
      <c r="L35" s="136"/>
    </row>
    <row r="36" spans="1:12" ht="12.75" customHeight="1" x14ac:dyDescent="0.25">
      <c r="A36" s="136"/>
      <c r="B36" s="130"/>
      <c r="C36" s="146"/>
      <c r="D36" s="134"/>
      <c r="E36" s="142"/>
      <c r="F36" s="30"/>
      <c r="G36" s="142"/>
      <c r="H36" s="143"/>
      <c r="I36" s="144"/>
      <c r="J36" s="145"/>
      <c r="K36" s="136"/>
      <c r="L36" s="136"/>
    </row>
    <row r="37" spans="1:12" ht="12.75" customHeight="1" x14ac:dyDescent="0.25">
      <c r="A37" s="136"/>
      <c r="B37" s="130"/>
      <c r="C37" s="146"/>
      <c r="D37" s="131"/>
      <c r="E37" s="142"/>
      <c r="F37" s="30"/>
      <c r="G37" s="142"/>
      <c r="H37" s="143"/>
      <c r="I37" s="144"/>
      <c r="J37" s="145"/>
      <c r="K37" s="136"/>
      <c r="L37" s="147"/>
    </row>
    <row r="38" spans="1:12" ht="12.75" customHeight="1" x14ac:dyDescent="0.25">
      <c r="A38" s="136"/>
      <c r="B38" s="130"/>
      <c r="C38" s="146"/>
      <c r="D38" s="131"/>
      <c r="E38" s="142"/>
      <c r="F38" s="30"/>
      <c r="G38" s="142"/>
      <c r="H38" s="143"/>
      <c r="I38" s="144"/>
      <c r="J38" s="145"/>
      <c r="K38" s="136"/>
      <c r="L38" s="147"/>
    </row>
    <row r="39" spans="1:12" ht="12.75" customHeight="1" x14ac:dyDescent="0.25">
      <c r="A39" s="136"/>
      <c r="B39" s="130"/>
      <c r="C39" s="146"/>
      <c r="D39" s="131"/>
      <c r="E39" s="142"/>
      <c r="F39" s="30"/>
      <c r="G39" s="142"/>
      <c r="H39" s="143"/>
      <c r="I39" s="144"/>
      <c r="J39" s="145"/>
      <c r="K39" s="136"/>
      <c r="L39" s="147"/>
    </row>
    <row r="40" spans="1:12" ht="12.75" customHeight="1" x14ac:dyDescent="0.25">
      <c r="A40" s="136"/>
      <c r="B40" s="130"/>
      <c r="C40" s="146"/>
      <c r="D40" s="131"/>
      <c r="E40" s="142"/>
      <c r="F40" s="30"/>
      <c r="G40" s="142"/>
      <c r="H40" s="143"/>
      <c r="I40" s="144"/>
      <c r="J40" s="145"/>
      <c r="K40" s="136"/>
      <c r="L40" s="147"/>
    </row>
    <row r="41" spans="1:12" ht="12.75" customHeight="1" x14ac:dyDescent="0.25">
      <c r="A41" s="136"/>
      <c r="B41" s="130"/>
      <c r="C41" s="146"/>
      <c r="D41" s="131"/>
      <c r="E41" s="142"/>
      <c r="F41" s="30"/>
      <c r="G41" s="142"/>
      <c r="H41" s="143"/>
      <c r="I41" s="144"/>
      <c r="J41" s="145"/>
      <c r="K41" s="136"/>
      <c r="L41" s="147"/>
    </row>
    <row r="42" spans="1:12" ht="12.75" customHeight="1" x14ac:dyDescent="0.25">
      <c r="A42" s="136"/>
      <c r="B42" s="130"/>
      <c r="C42" s="146"/>
      <c r="D42" s="131"/>
      <c r="E42" s="142"/>
      <c r="F42" s="30"/>
      <c r="G42" s="142"/>
      <c r="H42" s="143"/>
      <c r="I42" s="144"/>
      <c r="J42" s="145"/>
      <c r="K42" s="136"/>
      <c r="L42" s="147"/>
    </row>
    <row r="43" spans="1:12" ht="12.75" customHeight="1" x14ac:dyDescent="0.25">
      <c r="A43" s="136"/>
      <c r="B43" s="130"/>
      <c r="C43" s="146"/>
      <c r="D43" s="134"/>
      <c r="E43" s="142"/>
      <c r="F43" s="30"/>
      <c r="G43" s="142"/>
      <c r="H43" s="143"/>
      <c r="I43" s="144"/>
      <c r="J43" s="145"/>
      <c r="K43" s="136"/>
      <c r="L43" s="136"/>
    </row>
    <row r="44" spans="1:12" ht="12.75" customHeight="1" x14ac:dyDescent="0.25">
      <c r="A44" s="136"/>
      <c r="B44" s="130"/>
      <c r="C44" s="146"/>
      <c r="D44" s="134"/>
      <c r="E44" s="142"/>
      <c r="F44" s="30"/>
      <c r="G44" s="142"/>
      <c r="H44" s="143"/>
      <c r="I44" s="144"/>
      <c r="J44" s="145"/>
      <c r="K44" s="136"/>
      <c r="L44" s="136"/>
    </row>
    <row r="45" spans="1:12" ht="12.75" customHeight="1" x14ac:dyDescent="0.25">
      <c r="A45" s="136"/>
      <c r="B45" s="130"/>
      <c r="C45" s="146"/>
      <c r="D45" s="134"/>
      <c r="E45" s="142"/>
      <c r="F45" s="30"/>
      <c r="G45" s="142"/>
      <c r="H45" s="143"/>
      <c r="I45" s="144"/>
      <c r="J45" s="145"/>
      <c r="K45" s="136"/>
      <c r="L45" s="136"/>
    </row>
    <row r="46" spans="1:12" ht="12.75" customHeight="1" x14ac:dyDescent="0.25">
      <c r="A46" s="136"/>
      <c r="B46" s="130"/>
      <c r="C46" s="146"/>
      <c r="D46" s="134"/>
      <c r="E46" s="142"/>
      <c r="F46" s="30"/>
      <c r="G46" s="142"/>
      <c r="H46" s="143"/>
      <c r="I46" s="144"/>
      <c r="J46" s="145"/>
      <c r="K46" s="136"/>
      <c r="L46" s="136"/>
    </row>
    <row r="47" spans="1:12" ht="12.75" customHeight="1" x14ac:dyDescent="0.25">
      <c r="A47" s="136"/>
      <c r="B47" s="130"/>
      <c r="C47" s="146"/>
      <c r="D47" s="134"/>
      <c r="E47" s="142"/>
      <c r="F47" s="30"/>
      <c r="G47" s="142"/>
      <c r="H47" s="143"/>
      <c r="I47" s="144"/>
      <c r="J47" s="145"/>
      <c r="K47" s="136"/>
      <c r="L47" s="136"/>
    </row>
    <row r="48" spans="1:12" ht="12.75" customHeight="1" x14ac:dyDescent="0.25">
      <c r="A48" s="136"/>
      <c r="B48" s="130"/>
      <c r="C48" s="146"/>
      <c r="D48" s="134"/>
      <c r="E48" s="142"/>
      <c r="F48" s="30"/>
      <c r="G48" s="142"/>
      <c r="H48" s="143"/>
      <c r="I48" s="144"/>
      <c r="J48" s="145"/>
      <c r="K48" s="136"/>
      <c r="L48" s="136"/>
    </row>
    <row r="49" spans="1:12" ht="12.75" customHeight="1" x14ac:dyDescent="0.25">
      <c r="A49" s="136"/>
      <c r="B49" s="130"/>
      <c r="C49" s="146"/>
      <c r="D49" s="134"/>
      <c r="E49" s="142"/>
      <c r="F49" s="30"/>
      <c r="G49" s="142"/>
      <c r="H49" s="143"/>
      <c r="I49" s="144"/>
      <c r="J49" s="145"/>
      <c r="K49" s="136"/>
      <c r="L49" s="136"/>
    </row>
    <row r="50" spans="1:12" ht="12.75" customHeight="1" x14ac:dyDescent="0.25">
      <c r="A50" s="136"/>
      <c r="B50" s="130"/>
      <c r="C50" s="146"/>
      <c r="D50" s="134"/>
      <c r="E50" s="142"/>
      <c r="F50" s="30"/>
      <c r="G50" s="142"/>
      <c r="H50" s="143"/>
      <c r="I50" s="144"/>
      <c r="J50" s="145"/>
      <c r="K50" s="136"/>
      <c r="L50" s="136"/>
    </row>
    <row r="51" spans="1:12" ht="12.75" customHeight="1" x14ac:dyDescent="0.25">
      <c r="A51" s="136"/>
      <c r="B51" s="130"/>
      <c r="C51" s="146"/>
      <c r="D51" s="134"/>
      <c r="E51" s="142"/>
      <c r="F51" s="30"/>
      <c r="G51" s="142"/>
      <c r="H51" s="143"/>
      <c r="I51" s="144"/>
      <c r="J51" s="145"/>
      <c r="K51" s="136"/>
      <c r="L51" s="136"/>
    </row>
    <row r="52" spans="1:12" ht="12.75" customHeight="1" x14ac:dyDescent="0.25">
      <c r="A52" s="136"/>
      <c r="B52" s="130"/>
      <c r="C52" s="146"/>
      <c r="D52" s="134"/>
      <c r="E52" s="142"/>
      <c r="F52" s="30"/>
      <c r="G52" s="142"/>
      <c r="H52" s="143"/>
      <c r="I52" s="144"/>
      <c r="J52" s="145"/>
      <c r="K52" s="136"/>
      <c r="L52" s="136"/>
    </row>
    <row r="53" spans="1:12" ht="12.75" customHeight="1" x14ac:dyDescent="0.25">
      <c r="A53" s="136"/>
      <c r="B53" s="130"/>
      <c r="C53" s="146"/>
      <c r="D53" s="134"/>
      <c r="E53" s="142"/>
      <c r="F53" s="30"/>
      <c r="G53" s="142"/>
      <c r="H53" s="143"/>
      <c r="I53" s="144"/>
      <c r="J53" s="145"/>
      <c r="K53" s="136"/>
      <c r="L53" s="136"/>
    </row>
    <row r="54" spans="1:12" ht="12.75" customHeight="1" x14ac:dyDescent="0.25">
      <c r="A54" s="136"/>
      <c r="B54" s="130"/>
      <c r="C54" s="146"/>
      <c r="D54" s="134"/>
      <c r="E54" s="142"/>
      <c r="F54" s="30"/>
      <c r="G54" s="142"/>
      <c r="H54" s="143"/>
      <c r="I54" s="144"/>
      <c r="J54" s="145"/>
      <c r="K54" s="136"/>
      <c r="L54" s="136"/>
    </row>
    <row r="55" spans="1:12" ht="12.75" customHeight="1" x14ac:dyDescent="0.25">
      <c r="A55" s="136"/>
      <c r="B55" s="130"/>
      <c r="C55" s="146"/>
      <c r="D55" s="134"/>
      <c r="E55" s="142"/>
      <c r="F55" s="30"/>
      <c r="G55" s="142"/>
      <c r="H55" s="143"/>
      <c r="I55" s="144"/>
      <c r="J55" s="145"/>
      <c r="K55" s="136"/>
      <c r="L55" s="136"/>
    </row>
    <row r="56" spans="1:12" ht="12.75" customHeight="1" x14ac:dyDescent="0.25">
      <c r="A56" s="136"/>
      <c r="B56" s="130"/>
      <c r="C56" s="146"/>
      <c r="D56" s="134"/>
      <c r="E56" s="142"/>
      <c r="F56" s="30"/>
      <c r="G56" s="142"/>
      <c r="H56" s="143"/>
      <c r="I56" s="144"/>
      <c r="J56" s="145"/>
      <c r="K56" s="136"/>
      <c r="L56" s="136"/>
    </row>
    <row r="57" spans="1:12" ht="12.75" customHeight="1" x14ac:dyDescent="0.25">
      <c r="A57" s="136"/>
      <c r="B57" s="130"/>
      <c r="C57" s="146"/>
      <c r="D57" s="134"/>
      <c r="E57" s="142"/>
      <c r="F57" s="30"/>
      <c r="G57" s="142"/>
      <c r="H57" s="143"/>
      <c r="I57" s="144"/>
      <c r="J57" s="145"/>
      <c r="K57" s="136"/>
      <c r="L57" s="136"/>
    </row>
    <row r="58" spans="1:12" ht="12.75" customHeight="1" x14ac:dyDescent="0.25">
      <c r="A58" s="136"/>
      <c r="B58" s="130"/>
      <c r="C58" s="146"/>
      <c r="D58" s="134"/>
      <c r="E58" s="142"/>
      <c r="F58" s="30"/>
      <c r="G58" s="142"/>
      <c r="H58" s="143"/>
      <c r="I58" s="144"/>
      <c r="J58" s="145"/>
      <c r="K58" s="136"/>
      <c r="L58" s="136"/>
    </row>
    <row r="59" spans="1:12" ht="12.75" customHeight="1" x14ac:dyDescent="0.25">
      <c r="A59" s="136"/>
      <c r="B59" s="130"/>
      <c r="C59" s="146"/>
      <c r="D59" s="134"/>
      <c r="E59" s="142"/>
      <c r="F59" s="30"/>
      <c r="G59" s="142"/>
      <c r="H59" s="143"/>
      <c r="I59" s="144"/>
      <c r="J59" s="145"/>
      <c r="K59" s="136"/>
      <c r="L59" s="136"/>
    </row>
    <row r="60" spans="1:12" ht="12.75" customHeight="1" x14ac:dyDescent="0.25">
      <c r="A60" s="136"/>
      <c r="B60" s="130"/>
      <c r="C60" s="146"/>
      <c r="D60" s="134"/>
      <c r="E60" s="142"/>
      <c r="F60" s="30"/>
      <c r="G60" s="142"/>
      <c r="H60" s="143"/>
      <c r="I60" s="144"/>
      <c r="J60" s="145"/>
      <c r="K60" s="136"/>
      <c r="L60" s="136"/>
    </row>
    <row r="61" spans="1:12" ht="12.75" customHeight="1" x14ac:dyDescent="0.25">
      <c r="A61" s="136"/>
      <c r="B61" s="130"/>
      <c r="C61" s="146"/>
      <c r="D61" s="134"/>
      <c r="E61" s="142"/>
      <c r="F61" s="30"/>
      <c r="G61" s="142"/>
      <c r="H61" s="143"/>
      <c r="I61" s="144"/>
      <c r="J61" s="145"/>
      <c r="K61" s="136"/>
      <c r="L61" s="136"/>
    </row>
    <row r="62" spans="1:12" ht="12.75" customHeight="1" x14ac:dyDescent="0.25">
      <c r="A62" s="136"/>
      <c r="B62" s="130"/>
      <c r="C62" s="146"/>
      <c r="D62" s="134"/>
      <c r="E62" s="142"/>
      <c r="F62" s="30"/>
      <c r="G62" s="142"/>
      <c r="H62" s="143"/>
      <c r="I62" s="144"/>
      <c r="J62" s="145"/>
      <c r="K62" s="136"/>
      <c r="L62" s="136"/>
    </row>
    <row r="63" spans="1:12" ht="12.75" customHeight="1" x14ac:dyDescent="0.25">
      <c r="A63" s="136"/>
      <c r="B63" s="130"/>
      <c r="C63" s="146"/>
      <c r="D63" s="134"/>
      <c r="E63" s="142"/>
      <c r="F63" s="30"/>
      <c r="G63" s="142"/>
      <c r="H63" s="143"/>
      <c r="I63" s="144"/>
      <c r="J63" s="145"/>
      <c r="K63" s="136"/>
      <c r="L63" s="136"/>
    </row>
    <row r="64" spans="1:12" ht="12.75" customHeight="1" x14ac:dyDescent="0.25">
      <c r="A64" s="136"/>
      <c r="B64" s="130"/>
      <c r="C64" s="146"/>
      <c r="D64" s="134"/>
      <c r="E64" s="142"/>
      <c r="F64" s="30"/>
      <c r="G64" s="142"/>
      <c r="H64" s="143"/>
      <c r="I64" s="144"/>
      <c r="J64" s="145"/>
      <c r="K64" s="136"/>
      <c r="L64" s="136"/>
    </row>
    <row r="65" spans="1:12" ht="12.75" customHeight="1" x14ac:dyDescent="0.25">
      <c r="A65" s="136"/>
      <c r="B65" s="130"/>
      <c r="C65" s="146"/>
      <c r="D65" s="134"/>
      <c r="E65" s="142"/>
      <c r="F65" s="30"/>
      <c r="G65" s="142"/>
      <c r="H65" s="143"/>
      <c r="I65" s="144"/>
      <c r="J65" s="145"/>
      <c r="K65" s="136"/>
      <c r="L65" s="136"/>
    </row>
    <row r="66" spans="1:12" ht="12.75" customHeight="1" x14ac:dyDescent="0.25">
      <c r="A66" s="136"/>
      <c r="B66" s="130"/>
      <c r="C66" s="146"/>
      <c r="D66" s="134"/>
      <c r="E66" s="142"/>
      <c r="F66" s="30"/>
      <c r="G66" s="142"/>
      <c r="H66" s="143"/>
      <c r="I66" s="144"/>
      <c r="J66" s="145"/>
      <c r="K66" s="136"/>
      <c r="L66" s="136"/>
    </row>
    <row r="67" spans="1:12" ht="12.75" customHeight="1" x14ac:dyDescent="0.25">
      <c r="A67" s="136"/>
      <c r="B67" s="130"/>
      <c r="C67" s="146"/>
      <c r="D67" s="134"/>
      <c r="E67" s="142"/>
      <c r="F67" s="30"/>
      <c r="G67" s="142"/>
      <c r="H67" s="143"/>
      <c r="I67" s="144"/>
      <c r="J67" s="145"/>
      <c r="K67" s="136"/>
      <c r="L67" s="136"/>
    </row>
    <row r="68" spans="1:12" ht="12.75" customHeight="1" x14ac:dyDescent="0.25">
      <c r="A68" s="136"/>
      <c r="B68" s="130"/>
      <c r="C68" s="146"/>
      <c r="D68" s="134"/>
      <c r="E68" s="142"/>
      <c r="F68" s="30"/>
      <c r="G68" s="142"/>
      <c r="H68" s="143"/>
      <c r="I68" s="144"/>
      <c r="J68" s="145"/>
      <c r="K68" s="136"/>
      <c r="L68" s="136"/>
    </row>
    <row r="69" spans="1:12" ht="12.75" customHeight="1" x14ac:dyDescent="0.25">
      <c r="A69" s="136"/>
      <c r="B69" s="130"/>
      <c r="C69" s="146"/>
      <c r="D69" s="134"/>
      <c r="E69" s="142"/>
      <c r="F69" s="30"/>
      <c r="G69" s="142"/>
      <c r="H69" s="143"/>
      <c r="I69" s="144"/>
      <c r="J69" s="145"/>
      <c r="K69" s="136"/>
      <c r="L69" s="136"/>
    </row>
    <row r="70" spans="1:12" ht="12.75" customHeight="1" x14ac:dyDescent="0.25">
      <c r="A70" s="136"/>
      <c r="B70" s="130"/>
      <c r="C70" s="146"/>
      <c r="D70" s="134"/>
      <c r="E70" s="142"/>
      <c r="F70" s="30"/>
      <c r="G70" s="142"/>
      <c r="H70" s="143"/>
      <c r="I70" s="144"/>
      <c r="J70" s="145"/>
      <c r="K70" s="136"/>
      <c r="L70" s="136"/>
    </row>
    <row r="71" spans="1:12" ht="12.75" customHeight="1" x14ac:dyDescent="0.25">
      <c r="A71" s="136"/>
      <c r="B71" s="130"/>
      <c r="C71" s="146"/>
      <c r="D71" s="134"/>
      <c r="E71" s="142"/>
      <c r="F71" s="30"/>
      <c r="G71" s="142"/>
      <c r="H71" s="143"/>
      <c r="I71" s="144"/>
      <c r="J71" s="145"/>
      <c r="K71" s="136"/>
      <c r="L71" s="136"/>
    </row>
    <row r="72" spans="1:12" ht="12.75" customHeight="1" x14ac:dyDescent="0.25">
      <c r="A72" s="136"/>
      <c r="B72" s="130"/>
      <c r="C72" s="146"/>
      <c r="D72" s="134"/>
      <c r="E72" s="142"/>
      <c r="F72" s="30"/>
      <c r="G72" s="142"/>
      <c r="H72" s="143"/>
      <c r="I72" s="144"/>
      <c r="J72" s="145"/>
      <c r="K72" s="136"/>
      <c r="L72" s="136"/>
    </row>
    <row r="73" spans="1:12" ht="12.75" customHeight="1" x14ac:dyDescent="0.25">
      <c r="A73" s="136"/>
      <c r="B73" s="130"/>
      <c r="C73" s="146"/>
      <c r="D73" s="134"/>
      <c r="E73" s="142"/>
      <c r="F73" s="30"/>
      <c r="G73" s="142"/>
      <c r="H73" s="143"/>
      <c r="I73" s="144"/>
      <c r="J73" s="145"/>
      <c r="K73" s="136"/>
      <c r="L73" s="136"/>
    </row>
    <row r="74" spans="1:12" ht="12.75" customHeight="1" x14ac:dyDescent="0.25">
      <c r="A74" s="136"/>
      <c r="B74" s="130"/>
      <c r="C74" s="146"/>
      <c r="D74" s="134"/>
      <c r="E74" s="142"/>
      <c r="F74" s="30"/>
      <c r="G74" s="142"/>
      <c r="H74" s="143"/>
      <c r="I74" s="144"/>
      <c r="J74" s="145"/>
      <c r="K74" s="136"/>
      <c r="L74" s="136"/>
    </row>
    <row r="75" spans="1:12" ht="12.75" customHeight="1" x14ac:dyDescent="0.25">
      <c r="A75" s="136"/>
      <c r="B75" s="130"/>
      <c r="C75" s="146"/>
      <c r="D75" s="134"/>
      <c r="E75" s="142"/>
      <c r="F75" s="30"/>
      <c r="G75" s="142"/>
      <c r="H75" s="143"/>
      <c r="I75" s="144"/>
      <c r="J75" s="145"/>
      <c r="K75" s="136"/>
      <c r="L75" s="136"/>
    </row>
    <row r="76" spans="1:12" ht="12.75" customHeight="1" x14ac:dyDescent="0.25">
      <c r="A76" s="136"/>
      <c r="B76" s="130"/>
      <c r="C76" s="146"/>
      <c r="D76" s="134"/>
      <c r="E76" s="142"/>
      <c r="F76" s="30"/>
      <c r="G76" s="142"/>
      <c r="H76" s="143"/>
      <c r="I76" s="144"/>
      <c r="J76" s="145"/>
      <c r="K76" s="136"/>
      <c r="L76" s="136"/>
    </row>
    <row r="77" spans="1:12" ht="12.75" customHeight="1" x14ac:dyDescent="0.25">
      <c r="A77" s="136"/>
      <c r="B77" s="130"/>
      <c r="C77" s="146"/>
      <c r="D77" s="134"/>
      <c r="E77" s="142"/>
      <c r="F77" s="30"/>
      <c r="G77" s="142"/>
      <c r="H77" s="143"/>
      <c r="I77" s="144"/>
      <c r="J77" s="145"/>
      <c r="K77" s="136"/>
      <c r="L77" s="136"/>
    </row>
    <row r="78" spans="1:12" ht="12.75" customHeight="1" x14ac:dyDescent="0.25">
      <c r="A78" s="136"/>
      <c r="B78" s="130"/>
      <c r="C78" s="146"/>
      <c r="D78" s="134"/>
      <c r="E78" s="142"/>
      <c r="F78" s="30"/>
      <c r="G78" s="142"/>
      <c r="H78" s="143"/>
      <c r="I78" s="144"/>
      <c r="J78" s="145"/>
      <c r="K78" s="136"/>
      <c r="L78" s="136"/>
    </row>
    <row r="79" spans="1:12" ht="12.75" customHeight="1" x14ac:dyDescent="0.25">
      <c r="A79" s="136"/>
      <c r="B79" s="130"/>
      <c r="C79" s="146"/>
      <c r="D79" s="134"/>
      <c r="E79" s="142"/>
      <c r="F79" s="30"/>
      <c r="G79" s="142"/>
      <c r="H79" s="143"/>
      <c r="I79" s="144"/>
      <c r="J79" s="145"/>
      <c r="K79" s="136"/>
      <c r="L79" s="136"/>
    </row>
    <row r="80" spans="1:12" ht="12.75" customHeight="1" x14ac:dyDescent="0.25">
      <c r="A80" s="136"/>
      <c r="B80" s="130"/>
      <c r="C80" s="146"/>
      <c r="D80" s="134"/>
      <c r="E80" s="142"/>
      <c r="F80" s="30"/>
      <c r="G80" s="142"/>
      <c r="H80" s="143"/>
      <c r="I80" s="144"/>
      <c r="J80" s="145"/>
      <c r="K80" s="136"/>
      <c r="L80" s="136"/>
    </row>
    <row r="81" spans="1:13" ht="12.75" customHeight="1" x14ac:dyDescent="0.25">
      <c r="A81" s="136"/>
      <c r="B81" s="130"/>
      <c r="C81" s="146"/>
      <c r="D81" s="134"/>
      <c r="E81" s="142"/>
      <c r="F81" s="30"/>
      <c r="G81" s="142"/>
      <c r="H81" s="143"/>
      <c r="I81" s="144"/>
      <c r="J81" s="145"/>
      <c r="K81" s="136"/>
      <c r="L81" s="136"/>
    </row>
    <row r="82" spans="1:13" ht="12.75" customHeight="1" x14ac:dyDescent="0.25">
      <c r="A82" s="136"/>
      <c r="B82" s="130"/>
      <c r="C82" s="146"/>
      <c r="D82" s="134"/>
      <c r="E82" s="142"/>
      <c r="F82" s="30"/>
      <c r="G82" s="142"/>
      <c r="H82" s="143"/>
      <c r="I82" s="144"/>
      <c r="J82" s="145"/>
      <c r="K82" s="136"/>
      <c r="L82" s="136"/>
    </row>
    <row r="83" spans="1:13" ht="12.75" customHeight="1" x14ac:dyDescent="0.25">
      <c r="A83" s="136"/>
      <c r="B83" s="130"/>
      <c r="C83" s="146"/>
      <c r="D83" s="134"/>
      <c r="E83" s="142"/>
      <c r="F83" s="30"/>
      <c r="G83" s="142"/>
      <c r="H83" s="143"/>
      <c r="I83" s="144"/>
      <c r="J83" s="145"/>
      <c r="K83" s="136"/>
      <c r="L83" s="136"/>
    </row>
    <row r="84" spans="1:13" ht="12.75" customHeight="1" x14ac:dyDescent="0.25">
      <c r="A84" s="136"/>
      <c r="B84" s="130"/>
      <c r="C84" s="146"/>
      <c r="D84" s="134"/>
      <c r="E84" s="142"/>
      <c r="F84" s="30"/>
      <c r="G84" s="142"/>
      <c r="H84" s="143"/>
      <c r="I84" s="144"/>
      <c r="J84" s="145"/>
      <c r="K84" s="136"/>
      <c r="L84" s="136"/>
    </row>
    <row r="85" spans="1:13" ht="12.75" customHeight="1" x14ac:dyDescent="0.25">
      <c r="A85" s="136"/>
      <c r="B85" s="130"/>
      <c r="C85" s="146"/>
      <c r="D85" s="134"/>
      <c r="E85" s="142"/>
      <c r="F85" s="30"/>
      <c r="G85" s="142"/>
      <c r="H85" s="143"/>
      <c r="I85" s="144"/>
      <c r="J85" s="145"/>
      <c r="K85" s="136"/>
      <c r="L85" s="136"/>
      <c r="M85" s="118"/>
    </row>
    <row r="86" spans="1:13" ht="12.75" customHeight="1" x14ac:dyDescent="0.25">
      <c r="A86" s="136"/>
      <c r="B86" s="130"/>
      <c r="C86" s="146"/>
      <c r="D86" s="134"/>
      <c r="E86" s="142"/>
      <c r="F86" s="30"/>
      <c r="G86" s="142"/>
      <c r="H86" s="143"/>
      <c r="I86" s="144"/>
      <c r="J86" s="145"/>
      <c r="K86" s="136"/>
      <c r="L86" s="136"/>
      <c r="M86" s="117"/>
    </row>
    <row r="87" spans="1:13" ht="12.75" customHeight="1" x14ac:dyDescent="0.25">
      <c r="A87" s="136">
        <f t="shared" ref="A87:A192" si="0">+A86+1</f>
        <v>1</v>
      </c>
      <c r="B87" s="130"/>
      <c r="C87" s="146"/>
      <c r="D87" s="147"/>
      <c r="E87" s="142"/>
      <c r="F87" s="30">
        <f>VLOOKUP(E87,'Summary-Contracts'!$C$30:$G$62,4,0)</f>
        <v>0</v>
      </c>
      <c r="G87" s="142"/>
      <c r="H87" s="143">
        <v>0</v>
      </c>
      <c r="I87" s="144"/>
      <c r="J87" s="145"/>
      <c r="K87" s="136"/>
      <c r="L87" s="136"/>
      <c r="M87" s="117"/>
    </row>
    <row r="88" spans="1:13" ht="12.75" customHeight="1" x14ac:dyDescent="0.25">
      <c r="A88" s="136">
        <f t="shared" si="0"/>
        <v>2</v>
      </c>
      <c r="B88" s="130"/>
      <c r="C88" s="146"/>
      <c r="D88" s="147"/>
      <c r="E88" s="142"/>
      <c r="F88" s="30">
        <f>VLOOKUP(E88,'Summary-Contracts'!$C$30:$G$62,4,0)</f>
        <v>0</v>
      </c>
      <c r="G88" s="142"/>
      <c r="H88" s="143">
        <v>0</v>
      </c>
      <c r="I88" s="144"/>
      <c r="J88" s="145"/>
      <c r="K88" s="136"/>
      <c r="L88" s="136"/>
    </row>
    <row r="89" spans="1:13" ht="12.75" customHeight="1" x14ac:dyDescent="0.25">
      <c r="A89" s="136">
        <f t="shared" si="0"/>
        <v>3</v>
      </c>
      <c r="B89" s="130"/>
      <c r="C89" s="146"/>
      <c r="D89" s="147"/>
      <c r="E89" s="142"/>
      <c r="F89" s="30">
        <f>VLOOKUP(E89,'Summary-Contracts'!$C$30:$G$62,4,0)</f>
        <v>0</v>
      </c>
      <c r="G89" s="142"/>
      <c r="H89" s="143">
        <v>0</v>
      </c>
      <c r="I89" s="144"/>
      <c r="J89" s="145"/>
      <c r="K89" s="136"/>
      <c r="L89" s="136"/>
    </row>
    <row r="90" spans="1:13" ht="12.75" customHeight="1" x14ac:dyDescent="0.25">
      <c r="A90" s="136">
        <f t="shared" si="0"/>
        <v>4</v>
      </c>
      <c r="B90" s="130"/>
      <c r="C90" s="146"/>
      <c r="D90" s="147"/>
      <c r="E90" s="142"/>
      <c r="F90" s="30">
        <f>VLOOKUP(E90,'Summary-Contracts'!$C$30:$G$62,4,0)</f>
        <v>0</v>
      </c>
      <c r="G90" s="142"/>
      <c r="H90" s="143">
        <v>0</v>
      </c>
      <c r="I90" s="144"/>
      <c r="J90" s="145"/>
      <c r="K90" s="136"/>
      <c r="L90" s="136"/>
    </row>
    <row r="91" spans="1:13" ht="12.75" customHeight="1" x14ac:dyDescent="0.25">
      <c r="A91" s="136">
        <f t="shared" si="0"/>
        <v>5</v>
      </c>
      <c r="B91" s="130"/>
      <c r="C91" s="146"/>
      <c r="D91" s="147"/>
      <c r="E91" s="142"/>
      <c r="F91" s="30">
        <f>VLOOKUP(E91,'Summary-Contracts'!$C$30:$G$62,4,0)</f>
        <v>0</v>
      </c>
      <c r="G91" s="142"/>
      <c r="H91" s="143">
        <v>0</v>
      </c>
      <c r="I91" s="144"/>
      <c r="J91" s="145"/>
      <c r="K91" s="136"/>
      <c r="L91" s="136"/>
    </row>
    <row r="92" spans="1:13" ht="12.75" customHeight="1" x14ac:dyDescent="0.25">
      <c r="A92" s="136">
        <f t="shared" si="0"/>
        <v>6</v>
      </c>
      <c r="B92" s="130"/>
      <c r="C92" s="146"/>
      <c r="D92" s="147"/>
      <c r="E92" s="142"/>
      <c r="F92" s="30">
        <f>VLOOKUP(E92,'Summary-Contracts'!$C$30:$G$62,4,0)</f>
        <v>0</v>
      </c>
      <c r="G92" s="142"/>
      <c r="H92" s="143">
        <v>0</v>
      </c>
      <c r="I92" s="144"/>
      <c r="J92" s="145"/>
      <c r="K92" s="136"/>
      <c r="L92" s="136"/>
    </row>
    <row r="93" spans="1:13" ht="12.75" customHeight="1" x14ac:dyDescent="0.25">
      <c r="A93" s="136">
        <f t="shared" si="0"/>
        <v>7</v>
      </c>
      <c r="B93" s="130"/>
      <c r="C93" s="146"/>
      <c r="D93" s="147"/>
      <c r="E93" s="142"/>
      <c r="F93" s="30">
        <f>VLOOKUP(E93,'Summary-Contracts'!$C$30:$G$62,4,0)</f>
        <v>0</v>
      </c>
      <c r="G93" s="142"/>
      <c r="H93" s="143">
        <v>0</v>
      </c>
      <c r="I93" s="144"/>
      <c r="J93" s="145"/>
      <c r="K93" s="136"/>
      <c r="L93" s="136"/>
    </row>
    <row r="94" spans="1:13" ht="12.75" customHeight="1" x14ac:dyDescent="0.25">
      <c r="A94" s="136">
        <f t="shared" si="0"/>
        <v>8</v>
      </c>
      <c r="B94" s="130"/>
      <c r="C94" s="146"/>
      <c r="D94" s="147"/>
      <c r="E94" s="142"/>
      <c r="F94" s="30">
        <f>VLOOKUP(E94,'Summary-Contracts'!$C$30:$G$62,4,0)</f>
        <v>0</v>
      </c>
      <c r="G94" s="142"/>
      <c r="H94" s="143">
        <v>0</v>
      </c>
      <c r="I94" s="144"/>
      <c r="J94" s="145"/>
      <c r="K94" s="136"/>
      <c r="L94" s="136"/>
    </row>
    <row r="95" spans="1:13" ht="12.75" customHeight="1" x14ac:dyDescent="0.25">
      <c r="A95" s="136">
        <f t="shared" si="0"/>
        <v>9</v>
      </c>
      <c r="B95" s="130"/>
      <c r="C95" s="146"/>
      <c r="D95" s="147"/>
      <c r="E95" s="142"/>
      <c r="F95" s="30">
        <f>VLOOKUP(E95,'Summary-Contracts'!$C$30:$G$62,4,0)</f>
        <v>0</v>
      </c>
      <c r="G95" s="142"/>
      <c r="H95" s="143">
        <v>0</v>
      </c>
      <c r="I95" s="144"/>
      <c r="J95" s="145"/>
      <c r="K95" s="136"/>
      <c r="L95" s="136"/>
    </row>
    <row r="96" spans="1:13" ht="12.75" customHeight="1" x14ac:dyDescent="0.25">
      <c r="A96" s="136">
        <f t="shared" si="0"/>
        <v>10</v>
      </c>
      <c r="B96" s="130"/>
      <c r="C96" s="146"/>
      <c r="D96" s="147"/>
      <c r="E96" s="142"/>
      <c r="F96" s="30">
        <f>VLOOKUP(E96,'Summary-Contracts'!$C$30:$G$62,4,0)</f>
        <v>0</v>
      </c>
      <c r="G96" s="142"/>
      <c r="H96" s="143">
        <v>0</v>
      </c>
      <c r="I96" s="144"/>
      <c r="J96" s="145"/>
      <c r="K96" s="136"/>
      <c r="L96" s="136"/>
    </row>
    <row r="97" spans="1:12" ht="12.75" customHeight="1" x14ac:dyDescent="0.25">
      <c r="A97" s="136">
        <f t="shared" si="0"/>
        <v>11</v>
      </c>
      <c r="B97" s="130"/>
      <c r="C97" s="146"/>
      <c r="D97" s="147"/>
      <c r="E97" s="142"/>
      <c r="F97" s="30">
        <f>VLOOKUP(E97,'Summary-Contracts'!$C$30:$G$62,4,0)</f>
        <v>0</v>
      </c>
      <c r="G97" s="142"/>
      <c r="H97" s="143">
        <v>0</v>
      </c>
      <c r="I97" s="144"/>
      <c r="J97" s="145"/>
      <c r="K97" s="136"/>
      <c r="L97" s="136"/>
    </row>
    <row r="98" spans="1:12" ht="12.75" customHeight="1" x14ac:dyDescent="0.25">
      <c r="A98" s="136">
        <f t="shared" si="0"/>
        <v>12</v>
      </c>
      <c r="B98" s="130"/>
      <c r="C98" s="146"/>
      <c r="D98" s="147"/>
      <c r="E98" s="142"/>
      <c r="F98" s="30">
        <f>VLOOKUP(E98,'Summary-Contracts'!$C$30:$G$62,4,0)</f>
        <v>0</v>
      </c>
      <c r="G98" s="142"/>
      <c r="H98" s="143">
        <v>0</v>
      </c>
      <c r="I98" s="144"/>
      <c r="J98" s="145"/>
      <c r="K98" s="136"/>
      <c r="L98" s="136"/>
    </row>
    <row r="99" spans="1:12" ht="12.75" customHeight="1" x14ac:dyDescent="0.25">
      <c r="A99" s="136">
        <f t="shared" si="0"/>
        <v>13</v>
      </c>
      <c r="B99" s="130"/>
      <c r="C99" s="146"/>
      <c r="D99" s="147"/>
      <c r="E99" s="142"/>
      <c r="F99" s="30">
        <f>VLOOKUP(E99,'Summary-Contracts'!$C$30:$G$62,4,0)</f>
        <v>0</v>
      </c>
      <c r="G99" s="142"/>
      <c r="H99" s="143">
        <v>0</v>
      </c>
      <c r="I99" s="144"/>
      <c r="J99" s="145"/>
      <c r="K99" s="136"/>
      <c r="L99" s="136"/>
    </row>
    <row r="100" spans="1:12" ht="12.75" customHeight="1" x14ac:dyDescent="0.25">
      <c r="A100" s="136">
        <f t="shared" si="0"/>
        <v>14</v>
      </c>
      <c r="B100" s="130"/>
      <c r="C100" s="146"/>
      <c r="D100" s="147"/>
      <c r="E100" s="142"/>
      <c r="F100" s="30">
        <f>VLOOKUP(E100,'Summary-Contracts'!$C$30:$G$62,4,0)</f>
        <v>0</v>
      </c>
      <c r="G100" s="142"/>
      <c r="H100" s="143">
        <v>0</v>
      </c>
      <c r="I100" s="144"/>
      <c r="J100" s="145"/>
      <c r="K100" s="136"/>
      <c r="L100" s="136"/>
    </row>
    <row r="101" spans="1:12" ht="12.75" customHeight="1" x14ac:dyDescent="0.25">
      <c r="A101" s="136">
        <f t="shared" si="0"/>
        <v>15</v>
      </c>
      <c r="B101" s="130"/>
      <c r="C101" s="146"/>
      <c r="D101" s="147"/>
      <c r="E101" s="142"/>
      <c r="F101" s="30">
        <f>VLOOKUP(E101,'Summary-Contracts'!$C$30:$G$62,4,0)</f>
        <v>0</v>
      </c>
      <c r="G101" s="142"/>
      <c r="H101" s="143">
        <v>0</v>
      </c>
      <c r="I101" s="144"/>
      <c r="J101" s="145"/>
      <c r="K101" s="136"/>
      <c r="L101" s="136"/>
    </row>
    <row r="102" spans="1:12" ht="12.75" customHeight="1" x14ac:dyDescent="0.25">
      <c r="A102" s="136">
        <f t="shared" si="0"/>
        <v>16</v>
      </c>
      <c r="B102" s="130"/>
      <c r="C102" s="146"/>
      <c r="D102" s="147"/>
      <c r="E102" s="142"/>
      <c r="F102" s="30">
        <f>VLOOKUP(E102,'Summary-Contracts'!$C$30:$G$62,4,0)</f>
        <v>0</v>
      </c>
      <c r="G102" s="142"/>
      <c r="H102" s="143">
        <v>0</v>
      </c>
      <c r="I102" s="144"/>
      <c r="J102" s="145"/>
      <c r="K102" s="136"/>
      <c r="L102" s="136"/>
    </row>
    <row r="103" spans="1:12" ht="12.75" customHeight="1" x14ac:dyDescent="0.25">
      <c r="A103" s="136">
        <f t="shared" si="0"/>
        <v>17</v>
      </c>
      <c r="B103" s="130"/>
      <c r="C103" s="146"/>
      <c r="D103" s="147"/>
      <c r="E103" s="142"/>
      <c r="F103" s="30">
        <f>VLOOKUP(E103,'Summary-Contracts'!$C$30:$G$62,4,0)</f>
        <v>0</v>
      </c>
      <c r="G103" s="142"/>
      <c r="H103" s="143">
        <v>0</v>
      </c>
      <c r="I103" s="144"/>
      <c r="J103" s="145"/>
      <c r="K103" s="136"/>
      <c r="L103" s="136"/>
    </row>
    <row r="104" spans="1:12" ht="12.75" customHeight="1" x14ac:dyDescent="0.25">
      <c r="A104" s="136">
        <f t="shared" si="0"/>
        <v>18</v>
      </c>
      <c r="B104" s="130"/>
      <c r="C104" s="146"/>
      <c r="D104" s="147"/>
      <c r="E104" s="142"/>
      <c r="F104" s="30">
        <f>VLOOKUP(E104,'Summary-Contracts'!$C$30:$G$62,4,0)</f>
        <v>0</v>
      </c>
      <c r="G104" s="142"/>
      <c r="H104" s="143">
        <v>0</v>
      </c>
      <c r="I104" s="144"/>
      <c r="J104" s="145"/>
      <c r="K104" s="136"/>
      <c r="L104" s="136"/>
    </row>
    <row r="105" spans="1:12" ht="12.75" customHeight="1" x14ac:dyDescent="0.25">
      <c r="A105" s="136">
        <f t="shared" si="0"/>
        <v>19</v>
      </c>
      <c r="B105" s="130"/>
      <c r="C105" s="146"/>
      <c r="D105" s="147"/>
      <c r="E105" s="142"/>
      <c r="F105" s="30">
        <f>VLOOKUP(E105,'Summary-Contracts'!$C$30:$G$62,4,0)</f>
        <v>0</v>
      </c>
      <c r="G105" s="142"/>
      <c r="H105" s="143">
        <v>0</v>
      </c>
      <c r="I105" s="144"/>
      <c r="J105" s="145"/>
      <c r="K105" s="136"/>
      <c r="L105" s="136"/>
    </row>
    <row r="106" spans="1:12" ht="12.75" customHeight="1" x14ac:dyDescent="0.25">
      <c r="A106" s="136">
        <f t="shared" si="0"/>
        <v>20</v>
      </c>
      <c r="B106" s="130"/>
      <c r="C106" s="146"/>
      <c r="D106" s="147"/>
      <c r="E106" s="142"/>
      <c r="F106" s="30">
        <f>VLOOKUP(E106,'Summary-Contracts'!$C$30:$G$62,4,0)</f>
        <v>0</v>
      </c>
      <c r="G106" s="142"/>
      <c r="H106" s="143">
        <v>0</v>
      </c>
      <c r="I106" s="144"/>
      <c r="J106" s="145"/>
      <c r="K106" s="136"/>
      <c r="L106" s="136"/>
    </row>
    <row r="107" spans="1:12" ht="12.75" customHeight="1" x14ac:dyDescent="0.25">
      <c r="A107" s="136">
        <f t="shared" si="0"/>
        <v>21</v>
      </c>
      <c r="B107" s="130"/>
      <c r="C107" s="146"/>
      <c r="D107" s="147"/>
      <c r="E107" s="142"/>
      <c r="F107" s="30">
        <f>VLOOKUP(E107,'Summary-Contracts'!$C$30:$G$62,4,0)</f>
        <v>0</v>
      </c>
      <c r="G107" s="142"/>
      <c r="H107" s="143">
        <v>0</v>
      </c>
      <c r="I107" s="144"/>
      <c r="J107" s="145"/>
      <c r="K107" s="136"/>
      <c r="L107" s="136"/>
    </row>
    <row r="108" spans="1:12" ht="12.75" customHeight="1" x14ac:dyDescent="0.25">
      <c r="A108" s="136">
        <f t="shared" si="0"/>
        <v>22</v>
      </c>
      <c r="B108" s="130"/>
      <c r="C108" s="146"/>
      <c r="D108" s="147"/>
      <c r="E108" s="142"/>
      <c r="F108" s="30">
        <f>VLOOKUP(E108,'Summary-Contracts'!$C$30:$G$62,4,0)</f>
        <v>0</v>
      </c>
      <c r="G108" s="142"/>
      <c r="H108" s="143">
        <v>0</v>
      </c>
      <c r="I108" s="144"/>
      <c r="J108" s="145"/>
      <c r="K108" s="136"/>
      <c r="L108" s="136"/>
    </row>
    <row r="109" spans="1:12" ht="12.75" customHeight="1" x14ac:dyDescent="0.25">
      <c r="A109" s="136">
        <f t="shared" si="0"/>
        <v>23</v>
      </c>
      <c r="B109" s="130"/>
      <c r="C109" s="146"/>
      <c r="D109" s="147"/>
      <c r="E109" s="142"/>
      <c r="F109" s="30">
        <f>VLOOKUP(E109,'Summary-Contracts'!$C$30:$G$62,4,0)</f>
        <v>0</v>
      </c>
      <c r="G109" s="142"/>
      <c r="H109" s="143">
        <v>0</v>
      </c>
      <c r="I109" s="144"/>
      <c r="J109" s="145"/>
      <c r="K109" s="136"/>
      <c r="L109" s="136"/>
    </row>
    <row r="110" spans="1:12" ht="12.75" customHeight="1" x14ac:dyDescent="0.25">
      <c r="A110" s="136">
        <f t="shared" si="0"/>
        <v>24</v>
      </c>
      <c r="B110" s="130"/>
      <c r="C110" s="146"/>
      <c r="D110" s="147"/>
      <c r="E110" s="142"/>
      <c r="F110" s="30">
        <f>VLOOKUP(E110,'Summary-Contracts'!$C$30:$G$62,4,0)</f>
        <v>0</v>
      </c>
      <c r="G110" s="142"/>
      <c r="H110" s="143">
        <v>0</v>
      </c>
      <c r="I110" s="144"/>
      <c r="J110" s="145"/>
      <c r="K110" s="136"/>
      <c r="L110" s="136"/>
    </row>
    <row r="111" spans="1:12" ht="12.75" customHeight="1" x14ac:dyDescent="0.25">
      <c r="A111" s="136">
        <f t="shared" si="0"/>
        <v>25</v>
      </c>
      <c r="B111" s="130"/>
      <c r="C111" s="146"/>
      <c r="D111" s="147"/>
      <c r="E111" s="142"/>
      <c r="F111" s="30">
        <f>VLOOKUP(E111,'Summary-Contracts'!$C$30:$G$62,4,0)</f>
        <v>0</v>
      </c>
      <c r="G111" s="142"/>
      <c r="H111" s="143">
        <v>0</v>
      </c>
      <c r="I111" s="144"/>
      <c r="J111" s="145"/>
      <c r="K111" s="136"/>
      <c r="L111" s="136"/>
    </row>
    <row r="112" spans="1:12" ht="12.75" customHeight="1" x14ac:dyDescent="0.25">
      <c r="A112" s="136">
        <f t="shared" si="0"/>
        <v>26</v>
      </c>
      <c r="B112" s="130"/>
      <c r="C112" s="146"/>
      <c r="D112" s="147"/>
      <c r="E112" s="142"/>
      <c r="F112" s="30">
        <f>VLOOKUP(E112,'Summary-Contracts'!$C$30:$G$62,4,0)</f>
        <v>0</v>
      </c>
      <c r="G112" s="142"/>
      <c r="H112" s="143">
        <v>0</v>
      </c>
      <c r="I112" s="144"/>
      <c r="J112" s="145"/>
      <c r="K112" s="136"/>
      <c r="L112" s="136"/>
    </row>
    <row r="113" spans="1:12" ht="12.75" customHeight="1" x14ac:dyDescent="0.25">
      <c r="A113" s="136">
        <f t="shared" si="0"/>
        <v>27</v>
      </c>
      <c r="B113" s="130"/>
      <c r="C113" s="146"/>
      <c r="D113" s="147"/>
      <c r="E113" s="142"/>
      <c r="F113" s="30">
        <f>VLOOKUP(E113,'Summary-Contracts'!$C$30:$G$62,4,0)</f>
        <v>0</v>
      </c>
      <c r="G113" s="142"/>
      <c r="H113" s="143">
        <v>0</v>
      </c>
      <c r="I113" s="144"/>
      <c r="J113" s="145"/>
      <c r="K113" s="136"/>
      <c r="L113" s="136"/>
    </row>
    <row r="114" spans="1:12" ht="12.75" customHeight="1" x14ac:dyDescent="0.25">
      <c r="A114" s="136">
        <f t="shared" si="0"/>
        <v>28</v>
      </c>
      <c r="B114" s="130"/>
      <c r="C114" s="146"/>
      <c r="D114" s="147"/>
      <c r="E114" s="142"/>
      <c r="F114" s="30">
        <f>VLOOKUP(E114,'Summary-Contracts'!$C$30:$G$62,4,0)</f>
        <v>0</v>
      </c>
      <c r="G114" s="142"/>
      <c r="H114" s="143">
        <v>0</v>
      </c>
      <c r="I114" s="144"/>
      <c r="J114" s="145"/>
      <c r="K114" s="136"/>
      <c r="L114" s="136"/>
    </row>
    <row r="115" spans="1:12" ht="12.75" customHeight="1" x14ac:dyDescent="0.25">
      <c r="A115" s="136">
        <f t="shared" si="0"/>
        <v>29</v>
      </c>
      <c r="B115" s="130"/>
      <c r="C115" s="146"/>
      <c r="D115" s="147"/>
      <c r="E115" s="142"/>
      <c r="F115" s="30">
        <f>VLOOKUP(E115,'Summary-Contracts'!$C$30:$G$62,4,0)</f>
        <v>0</v>
      </c>
      <c r="G115" s="142"/>
      <c r="H115" s="143">
        <v>0</v>
      </c>
      <c r="I115" s="144"/>
      <c r="J115" s="145"/>
      <c r="K115" s="136"/>
      <c r="L115" s="136"/>
    </row>
    <row r="116" spans="1:12" ht="12.75" customHeight="1" x14ac:dyDescent="0.25">
      <c r="A116" s="136">
        <f t="shared" si="0"/>
        <v>30</v>
      </c>
      <c r="B116" s="130"/>
      <c r="C116" s="146"/>
      <c r="D116" s="147"/>
      <c r="E116" s="142"/>
      <c r="F116" s="30">
        <f>VLOOKUP(E116,'Summary-Contracts'!$C$30:$G$62,4,0)</f>
        <v>0</v>
      </c>
      <c r="G116" s="142"/>
      <c r="H116" s="143">
        <v>0</v>
      </c>
      <c r="I116" s="144"/>
      <c r="J116" s="145"/>
      <c r="K116" s="136"/>
      <c r="L116" s="136"/>
    </row>
    <row r="117" spans="1:12" ht="12.75" customHeight="1" x14ac:dyDescent="0.25">
      <c r="A117" s="136">
        <f t="shared" si="0"/>
        <v>31</v>
      </c>
      <c r="B117" s="130"/>
      <c r="C117" s="146"/>
      <c r="D117" s="147"/>
      <c r="E117" s="142"/>
      <c r="F117" s="30">
        <f>VLOOKUP(E117,'Summary-Contracts'!$C$30:$G$62,4,0)</f>
        <v>0</v>
      </c>
      <c r="G117" s="142"/>
      <c r="H117" s="143">
        <v>0</v>
      </c>
      <c r="I117" s="144"/>
      <c r="J117" s="145"/>
      <c r="K117" s="136"/>
      <c r="L117" s="136"/>
    </row>
    <row r="118" spans="1:12" ht="12.75" customHeight="1" x14ac:dyDescent="0.25">
      <c r="A118" s="136">
        <f t="shared" si="0"/>
        <v>32</v>
      </c>
      <c r="B118" s="130"/>
      <c r="C118" s="146"/>
      <c r="D118" s="147"/>
      <c r="E118" s="142"/>
      <c r="F118" s="30">
        <f>VLOOKUP(E118,'Summary-Contracts'!$C$30:$G$62,4,0)</f>
        <v>0</v>
      </c>
      <c r="G118" s="142"/>
      <c r="H118" s="143">
        <v>0</v>
      </c>
      <c r="I118" s="144"/>
      <c r="J118" s="145"/>
      <c r="K118" s="136"/>
      <c r="L118" s="136"/>
    </row>
    <row r="119" spans="1:12" ht="12.75" customHeight="1" x14ac:dyDescent="0.25">
      <c r="A119" s="136">
        <f t="shared" si="0"/>
        <v>33</v>
      </c>
      <c r="B119" s="130"/>
      <c r="C119" s="146"/>
      <c r="D119" s="147"/>
      <c r="E119" s="142"/>
      <c r="F119" s="30">
        <f>VLOOKUP(E119,'Summary-Contracts'!$C$30:$G$62,4,0)</f>
        <v>0</v>
      </c>
      <c r="G119" s="142"/>
      <c r="H119" s="143">
        <v>0</v>
      </c>
      <c r="I119" s="144"/>
      <c r="J119" s="145"/>
      <c r="K119" s="136"/>
      <c r="L119" s="136"/>
    </row>
    <row r="120" spans="1:12" ht="12.75" customHeight="1" x14ac:dyDescent="0.25">
      <c r="A120" s="136">
        <f t="shared" si="0"/>
        <v>34</v>
      </c>
      <c r="B120" s="130"/>
      <c r="C120" s="146"/>
      <c r="D120" s="147"/>
      <c r="E120" s="142"/>
      <c r="F120" s="30">
        <f>VLOOKUP(E120,'Summary-Contracts'!$C$30:$G$62,4,0)</f>
        <v>0</v>
      </c>
      <c r="G120" s="142"/>
      <c r="H120" s="143">
        <v>0</v>
      </c>
      <c r="I120" s="144"/>
      <c r="J120" s="145"/>
      <c r="K120" s="136"/>
      <c r="L120" s="136"/>
    </row>
    <row r="121" spans="1:12" ht="12.75" customHeight="1" x14ac:dyDescent="0.25">
      <c r="A121" s="136">
        <f t="shared" si="0"/>
        <v>35</v>
      </c>
      <c r="B121" s="130"/>
      <c r="C121" s="146"/>
      <c r="D121" s="147"/>
      <c r="E121" s="142"/>
      <c r="F121" s="30">
        <f>VLOOKUP(E121,'Summary-Contracts'!$C$30:$G$62,4,0)</f>
        <v>0</v>
      </c>
      <c r="G121" s="142"/>
      <c r="H121" s="143">
        <v>0</v>
      </c>
      <c r="I121" s="144"/>
      <c r="J121" s="145"/>
      <c r="K121" s="136"/>
      <c r="L121" s="136"/>
    </row>
    <row r="122" spans="1:12" ht="12.75" customHeight="1" x14ac:dyDescent="0.25">
      <c r="A122" s="136">
        <f t="shared" si="0"/>
        <v>36</v>
      </c>
      <c r="B122" s="130"/>
      <c r="C122" s="146"/>
      <c r="D122" s="147"/>
      <c r="E122" s="142"/>
      <c r="F122" s="30">
        <f>VLOOKUP(E122,'Summary-Contracts'!$C$30:$G$62,4,0)</f>
        <v>0</v>
      </c>
      <c r="G122" s="142"/>
      <c r="H122" s="143">
        <v>0</v>
      </c>
      <c r="I122" s="144"/>
      <c r="J122" s="145"/>
      <c r="K122" s="136"/>
      <c r="L122" s="136"/>
    </row>
    <row r="123" spans="1:12" ht="12.75" customHeight="1" x14ac:dyDescent="0.25">
      <c r="A123" s="136">
        <f t="shared" si="0"/>
        <v>37</v>
      </c>
      <c r="B123" s="130"/>
      <c r="C123" s="146"/>
      <c r="D123" s="147"/>
      <c r="E123" s="142"/>
      <c r="F123" s="30">
        <f>VLOOKUP(E123,'Summary-Contracts'!$C$30:$G$62,4,0)</f>
        <v>0</v>
      </c>
      <c r="G123" s="142"/>
      <c r="H123" s="143">
        <v>0</v>
      </c>
      <c r="I123" s="144"/>
      <c r="J123" s="145"/>
      <c r="K123" s="136"/>
      <c r="L123" s="136"/>
    </row>
    <row r="124" spans="1:12" ht="12.75" customHeight="1" x14ac:dyDescent="0.25">
      <c r="A124" s="136">
        <f t="shared" si="0"/>
        <v>38</v>
      </c>
      <c r="B124" s="130"/>
      <c r="C124" s="146"/>
      <c r="D124" s="147"/>
      <c r="E124" s="142"/>
      <c r="F124" s="30">
        <f>VLOOKUP(E124,'Summary-Contracts'!$C$30:$G$62,4,0)</f>
        <v>0</v>
      </c>
      <c r="G124" s="142"/>
      <c r="H124" s="143">
        <v>0</v>
      </c>
      <c r="I124" s="144"/>
      <c r="J124" s="145"/>
      <c r="K124" s="136"/>
      <c r="L124" s="136"/>
    </row>
    <row r="125" spans="1:12" ht="12.75" customHeight="1" x14ac:dyDescent="0.25">
      <c r="A125" s="136">
        <f t="shared" si="0"/>
        <v>39</v>
      </c>
      <c r="B125" s="130"/>
      <c r="C125" s="146"/>
      <c r="D125" s="147"/>
      <c r="E125" s="142"/>
      <c r="F125" s="30">
        <f>VLOOKUP(E125,'Summary-Contracts'!$C$30:$G$62,4,0)</f>
        <v>0</v>
      </c>
      <c r="G125" s="142"/>
      <c r="H125" s="143">
        <v>0</v>
      </c>
      <c r="I125" s="144"/>
      <c r="J125" s="145"/>
      <c r="K125" s="136"/>
      <c r="L125" s="136"/>
    </row>
    <row r="126" spans="1:12" ht="12.75" customHeight="1" x14ac:dyDescent="0.25">
      <c r="A126" s="136">
        <f t="shared" si="0"/>
        <v>40</v>
      </c>
      <c r="B126" s="130"/>
      <c r="C126" s="146"/>
      <c r="D126" s="147"/>
      <c r="E126" s="142"/>
      <c r="F126" s="30">
        <f>VLOOKUP(E126,'Summary-Contracts'!$C$30:$G$62,4,0)</f>
        <v>0</v>
      </c>
      <c r="G126" s="142"/>
      <c r="H126" s="143">
        <v>0</v>
      </c>
      <c r="I126" s="144"/>
      <c r="J126" s="145"/>
      <c r="K126" s="136"/>
      <c r="L126" s="136"/>
    </row>
    <row r="127" spans="1:12" ht="12.75" customHeight="1" x14ac:dyDescent="0.25">
      <c r="A127" s="136">
        <f t="shared" si="0"/>
        <v>41</v>
      </c>
      <c r="B127" s="130"/>
      <c r="C127" s="146"/>
      <c r="D127" s="147"/>
      <c r="E127" s="142"/>
      <c r="F127" s="30">
        <f>VLOOKUP(E127,'Summary-Contracts'!$C$30:$G$62,4,0)</f>
        <v>0</v>
      </c>
      <c r="G127" s="142"/>
      <c r="H127" s="143">
        <v>0</v>
      </c>
      <c r="I127" s="144"/>
      <c r="J127" s="145"/>
      <c r="K127" s="136"/>
      <c r="L127" s="136"/>
    </row>
    <row r="128" spans="1:12" ht="12.75" customHeight="1" x14ac:dyDescent="0.25">
      <c r="A128" s="136">
        <f t="shared" si="0"/>
        <v>42</v>
      </c>
      <c r="B128" s="130"/>
      <c r="C128" s="146"/>
      <c r="D128" s="147"/>
      <c r="E128" s="142"/>
      <c r="F128" s="30">
        <f>VLOOKUP(E128,'Summary-Contracts'!$C$30:$G$62,4,0)</f>
        <v>0</v>
      </c>
      <c r="G128" s="142"/>
      <c r="H128" s="143">
        <v>0</v>
      </c>
      <c r="I128" s="144"/>
      <c r="J128" s="145"/>
      <c r="K128" s="136"/>
      <c r="L128" s="136"/>
    </row>
    <row r="129" spans="1:12" ht="12.75" customHeight="1" x14ac:dyDescent="0.25">
      <c r="A129" s="136">
        <f t="shared" si="0"/>
        <v>43</v>
      </c>
      <c r="B129" s="130"/>
      <c r="C129" s="146"/>
      <c r="D129" s="147"/>
      <c r="E129" s="142"/>
      <c r="F129" s="30">
        <f>VLOOKUP(E129,'Summary-Contracts'!$C$30:$G$62,4,0)</f>
        <v>0</v>
      </c>
      <c r="G129" s="142"/>
      <c r="H129" s="143">
        <v>0</v>
      </c>
      <c r="I129" s="144"/>
      <c r="J129" s="145"/>
      <c r="K129" s="136"/>
      <c r="L129" s="136"/>
    </row>
    <row r="130" spans="1:12" ht="12.75" customHeight="1" x14ac:dyDescent="0.25">
      <c r="A130" s="136">
        <f t="shared" si="0"/>
        <v>44</v>
      </c>
      <c r="B130" s="130"/>
      <c r="C130" s="146"/>
      <c r="D130" s="147"/>
      <c r="E130" s="142"/>
      <c r="F130" s="30">
        <f>VLOOKUP(E130,'Summary-Contracts'!$C$30:$G$62,4,0)</f>
        <v>0</v>
      </c>
      <c r="G130" s="142"/>
      <c r="H130" s="143">
        <v>0</v>
      </c>
      <c r="I130" s="144"/>
      <c r="J130" s="145"/>
      <c r="K130" s="136"/>
      <c r="L130" s="136"/>
    </row>
    <row r="131" spans="1:12" ht="12.75" customHeight="1" x14ac:dyDescent="0.25">
      <c r="A131" s="136">
        <f t="shared" si="0"/>
        <v>45</v>
      </c>
      <c r="B131" s="130"/>
      <c r="C131" s="146"/>
      <c r="D131" s="147"/>
      <c r="E131" s="142"/>
      <c r="F131" s="30">
        <f>VLOOKUP(E131,'Summary-Contracts'!$C$30:$G$62,4,0)</f>
        <v>0</v>
      </c>
      <c r="G131" s="142"/>
      <c r="H131" s="143">
        <v>0</v>
      </c>
      <c r="I131" s="144"/>
      <c r="J131" s="145"/>
      <c r="K131" s="136"/>
      <c r="L131" s="136"/>
    </row>
    <row r="132" spans="1:12" ht="12.75" customHeight="1" x14ac:dyDescent="0.25">
      <c r="A132" s="136">
        <f t="shared" si="0"/>
        <v>46</v>
      </c>
      <c r="B132" s="130"/>
      <c r="C132" s="146"/>
      <c r="D132" s="147"/>
      <c r="E132" s="142"/>
      <c r="F132" s="30">
        <f>VLOOKUP(E132,'Summary-Contracts'!$C$30:$G$62,4,0)</f>
        <v>0</v>
      </c>
      <c r="G132" s="142"/>
      <c r="H132" s="143">
        <v>0</v>
      </c>
      <c r="I132" s="144"/>
      <c r="J132" s="145"/>
      <c r="K132" s="136"/>
      <c r="L132" s="136"/>
    </row>
    <row r="133" spans="1:12" ht="12.75" customHeight="1" x14ac:dyDescent="0.25">
      <c r="A133" s="136">
        <f t="shared" si="0"/>
        <v>47</v>
      </c>
      <c r="B133" s="130"/>
      <c r="C133" s="146"/>
      <c r="D133" s="147"/>
      <c r="E133" s="142"/>
      <c r="F133" s="30">
        <f>VLOOKUP(E133,'Summary-Contracts'!$C$30:$G$62,4,0)</f>
        <v>0</v>
      </c>
      <c r="G133" s="142"/>
      <c r="H133" s="143">
        <v>0</v>
      </c>
      <c r="I133" s="144"/>
      <c r="J133" s="145"/>
      <c r="K133" s="136"/>
      <c r="L133" s="136"/>
    </row>
    <row r="134" spans="1:12" ht="12.75" customHeight="1" x14ac:dyDescent="0.25">
      <c r="A134" s="136">
        <f t="shared" si="0"/>
        <v>48</v>
      </c>
      <c r="B134" s="130"/>
      <c r="C134" s="146"/>
      <c r="D134" s="147"/>
      <c r="E134" s="142"/>
      <c r="F134" s="30">
        <f>VLOOKUP(E134,'Summary-Contracts'!$C$30:$G$62,4,0)</f>
        <v>0</v>
      </c>
      <c r="G134" s="142"/>
      <c r="H134" s="143">
        <v>0</v>
      </c>
      <c r="I134" s="144"/>
      <c r="J134" s="145"/>
      <c r="K134" s="136"/>
      <c r="L134" s="136"/>
    </row>
    <row r="135" spans="1:12" ht="12.75" customHeight="1" x14ac:dyDescent="0.25">
      <c r="A135" s="136">
        <f t="shared" si="0"/>
        <v>49</v>
      </c>
      <c r="B135" s="130"/>
      <c r="C135" s="146"/>
      <c r="D135" s="147"/>
      <c r="E135" s="142"/>
      <c r="F135" s="30">
        <f>VLOOKUP(E135,'Summary-Contracts'!$C$30:$G$62,4,0)</f>
        <v>0</v>
      </c>
      <c r="G135" s="142"/>
      <c r="H135" s="143">
        <v>0</v>
      </c>
      <c r="I135" s="144"/>
      <c r="J135" s="145"/>
      <c r="K135" s="136"/>
      <c r="L135" s="136"/>
    </row>
    <row r="136" spans="1:12" ht="12.75" customHeight="1" x14ac:dyDescent="0.25">
      <c r="A136" s="136">
        <f t="shared" si="0"/>
        <v>50</v>
      </c>
      <c r="B136" s="130"/>
      <c r="C136" s="146"/>
      <c r="D136" s="147"/>
      <c r="E136" s="142"/>
      <c r="F136" s="30">
        <f>VLOOKUP(E136,'Summary-Contracts'!$C$30:$G$62,4,0)</f>
        <v>0</v>
      </c>
      <c r="G136" s="142"/>
      <c r="H136" s="143">
        <v>0</v>
      </c>
      <c r="I136" s="144"/>
      <c r="J136" s="145"/>
      <c r="K136" s="136"/>
      <c r="L136" s="136"/>
    </row>
    <row r="137" spans="1:12" ht="12.75" customHeight="1" x14ac:dyDescent="0.25">
      <c r="A137" s="136">
        <f t="shared" si="0"/>
        <v>51</v>
      </c>
      <c r="B137" s="130"/>
      <c r="C137" s="146"/>
      <c r="D137" s="147"/>
      <c r="E137" s="142"/>
      <c r="F137" s="30">
        <f>VLOOKUP(E137,'Summary-Contracts'!$C$30:$G$62,4,0)</f>
        <v>0</v>
      </c>
      <c r="G137" s="142"/>
      <c r="H137" s="143">
        <v>0</v>
      </c>
      <c r="I137" s="144"/>
      <c r="J137" s="145"/>
      <c r="K137" s="136"/>
      <c r="L137" s="136"/>
    </row>
    <row r="138" spans="1:12" ht="12.75" customHeight="1" x14ac:dyDescent="0.25">
      <c r="A138" s="136">
        <f t="shared" si="0"/>
        <v>52</v>
      </c>
      <c r="B138" s="130"/>
      <c r="C138" s="146"/>
      <c r="D138" s="147"/>
      <c r="E138" s="142"/>
      <c r="F138" s="30">
        <f>VLOOKUP(E138,'Summary-Contracts'!$C$30:$G$62,4,0)</f>
        <v>0</v>
      </c>
      <c r="G138" s="142"/>
      <c r="H138" s="143">
        <v>0</v>
      </c>
      <c r="I138" s="144"/>
      <c r="J138" s="145"/>
      <c r="K138" s="136"/>
      <c r="L138" s="136"/>
    </row>
    <row r="139" spans="1:12" ht="12.75" customHeight="1" x14ac:dyDescent="0.25">
      <c r="A139" s="136">
        <f t="shared" si="0"/>
        <v>53</v>
      </c>
      <c r="B139" s="130"/>
      <c r="C139" s="146"/>
      <c r="D139" s="147"/>
      <c r="E139" s="142"/>
      <c r="F139" s="30">
        <f>VLOOKUP(E139,'Summary-Contracts'!$C$30:$G$62,4,0)</f>
        <v>0</v>
      </c>
      <c r="G139" s="142"/>
      <c r="H139" s="143">
        <v>0</v>
      </c>
      <c r="I139" s="144"/>
      <c r="J139" s="145"/>
      <c r="K139" s="136"/>
      <c r="L139" s="136"/>
    </row>
    <row r="140" spans="1:12" ht="12.75" customHeight="1" x14ac:dyDescent="0.25">
      <c r="A140" s="136">
        <f t="shared" si="0"/>
        <v>54</v>
      </c>
      <c r="B140" s="130"/>
      <c r="C140" s="146"/>
      <c r="D140" s="147"/>
      <c r="E140" s="142"/>
      <c r="F140" s="30">
        <f>VLOOKUP(E140,'Summary-Contracts'!$C$30:$G$62,4,0)</f>
        <v>0</v>
      </c>
      <c r="G140" s="142"/>
      <c r="H140" s="143">
        <v>0</v>
      </c>
      <c r="I140" s="144"/>
      <c r="J140" s="145"/>
      <c r="K140" s="136"/>
      <c r="L140" s="136"/>
    </row>
    <row r="141" spans="1:12" ht="12.75" customHeight="1" x14ac:dyDescent="0.25">
      <c r="A141" s="136">
        <f t="shared" si="0"/>
        <v>55</v>
      </c>
      <c r="B141" s="130"/>
      <c r="C141" s="146"/>
      <c r="D141" s="147"/>
      <c r="E141" s="142"/>
      <c r="F141" s="30">
        <f>VLOOKUP(E141,'Summary-Contracts'!$C$30:$G$62,4,0)</f>
        <v>0</v>
      </c>
      <c r="G141" s="142"/>
      <c r="H141" s="143">
        <v>0</v>
      </c>
      <c r="I141" s="144"/>
      <c r="J141" s="145"/>
      <c r="K141" s="136"/>
      <c r="L141" s="136"/>
    </row>
    <row r="142" spans="1:12" ht="12.75" customHeight="1" x14ac:dyDescent="0.25">
      <c r="A142" s="136">
        <f t="shared" si="0"/>
        <v>56</v>
      </c>
      <c r="B142" s="130"/>
      <c r="C142" s="146"/>
      <c r="D142" s="147"/>
      <c r="E142" s="142"/>
      <c r="F142" s="30">
        <f>VLOOKUP(E142,'Summary-Contracts'!$C$30:$G$62,4,0)</f>
        <v>0</v>
      </c>
      <c r="G142" s="142"/>
      <c r="H142" s="143">
        <v>0</v>
      </c>
      <c r="I142" s="144"/>
      <c r="J142" s="145"/>
      <c r="K142" s="136"/>
      <c r="L142" s="136"/>
    </row>
    <row r="143" spans="1:12" ht="12.75" customHeight="1" x14ac:dyDescent="0.25">
      <c r="A143" s="136">
        <f t="shared" si="0"/>
        <v>57</v>
      </c>
      <c r="B143" s="130"/>
      <c r="C143" s="146"/>
      <c r="D143" s="147"/>
      <c r="E143" s="142"/>
      <c r="F143" s="30">
        <f>VLOOKUP(E143,'Summary-Contracts'!$C$30:$G$62,4,0)</f>
        <v>0</v>
      </c>
      <c r="G143" s="142"/>
      <c r="H143" s="143">
        <v>0</v>
      </c>
      <c r="I143" s="144"/>
      <c r="J143" s="145"/>
      <c r="K143" s="136"/>
      <c r="L143" s="136"/>
    </row>
    <row r="144" spans="1:12" ht="12.75" customHeight="1" x14ac:dyDescent="0.25">
      <c r="A144" s="136">
        <f t="shared" si="0"/>
        <v>58</v>
      </c>
      <c r="B144" s="130"/>
      <c r="C144" s="146"/>
      <c r="D144" s="147"/>
      <c r="E144" s="142"/>
      <c r="F144" s="30">
        <f>VLOOKUP(E144,'Summary-Contracts'!$C$30:$G$62,4,0)</f>
        <v>0</v>
      </c>
      <c r="G144" s="142"/>
      <c r="H144" s="143">
        <v>0</v>
      </c>
      <c r="I144" s="144"/>
      <c r="J144" s="145"/>
      <c r="K144" s="136"/>
      <c r="L144" s="136"/>
    </row>
    <row r="145" spans="1:12" ht="12.75" customHeight="1" x14ac:dyDescent="0.25">
      <c r="A145" s="136">
        <f t="shared" si="0"/>
        <v>59</v>
      </c>
      <c r="B145" s="130"/>
      <c r="C145" s="146"/>
      <c r="D145" s="147"/>
      <c r="E145" s="142"/>
      <c r="F145" s="30">
        <f>VLOOKUP(E145,'Summary-Contracts'!$C$30:$G$62,4,0)</f>
        <v>0</v>
      </c>
      <c r="G145" s="142"/>
      <c r="H145" s="143">
        <v>0</v>
      </c>
      <c r="I145" s="144"/>
      <c r="J145" s="145"/>
      <c r="K145" s="136"/>
      <c r="L145" s="136"/>
    </row>
    <row r="146" spans="1:12" ht="12.75" customHeight="1" x14ac:dyDescent="0.25">
      <c r="A146" s="136">
        <f t="shared" si="0"/>
        <v>60</v>
      </c>
      <c r="B146" s="130"/>
      <c r="C146" s="146"/>
      <c r="D146" s="147"/>
      <c r="E146" s="142"/>
      <c r="F146" s="30">
        <f>VLOOKUP(E146,'Summary-Contracts'!$C$30:$G$62,4,0)</f>
        <v>0</v>
      </c>
      <c r="G146" s="142"/>
      <c r="H146" s="143">
        <v>0</v>
      </c>
      <c r="I146" s="144"/>
      <c r="J146" s="145"/>
      <c r="K146" s="136"/>
      <c r="L146" s="136"/>
    </row>
    <row r="147" spans="1:12" ht="12.75" customHeight="1" x14ac:dyDescent="0.25">
      <c r="A147" s="136">
        <f t="shared" si="0"/>
        <v>61</v>
      </c>
      <c r="B147" s="130"/>
      <c r="C147" s="146"/>
      <c r="D147" s="147"/>
      <c r="E147" s="142"/>
      <c r="F147" s="30">
        <f>VLOOKUP(E147,'Summary-Contracts'!$C$30:$G$62,4,0)</f>
        <v>0</v>
      </c>
      <c r="G147" s="142"/>
      <c r="H147" s="143">
        <v>0</v>
      </c>
      <c r="I147" s="144"/>
      <c r="J147" s="145"/>
      <c r="K147" s="136"/>
      <c r="L147" s="136"/>
    </row>
    <row r="148" spans="1:12" ht="12.75" customHeight="1" x14ac:dyDescent="0.25">
      <c r="A148" s="136">
        <f t="shared" si="0"/>
        <v>62</v>
      </c>
      <c r="B148" s="130"/>
      <c r="C148" s="146"/>
      <c r="D148" s="147"/>
      <c r="E148" s="142"/>
      <c r="F148" s="30">
        <f>VLOOKUP(E148,'Summary-Contracts'!$C$30:$G$62,4,0)</f>
        <v>0</v>
      </c>
      <c r="G148" s="142"/>
      <c r="H148" s="143">
        <v>0</v>
      </c>
      <c r="I148" s="144"/>
      <c r="J148" s="145"/>
      <c r="K148" s="136"/>
      <c r="L148" s="136"/>
    </row>
    <row r="149" spans="1:12" ht="12.75" customHeight="1" x14ac:dyDescent="0.25">
      <c r="A149" s="136">
        <f t="shared" si="0"/>
        <v>63</v>
      </c>
      <c r="B149" s="130"/>
      <c r="C149" s="146"/>
      <c r="D149" s="147"/>
      <c r="E149" s="142"/>
      <c r="F149" s="30">
        <f>VLOOKUP(E149,'Summary-Contracts'!$C$30:$G$62,4,0)</f>
        <v>0</v>
      </c>
      <c r="G149" s="142"/>
      <c r="H149" s="143">
        <v>0</v>
      </c>
      <c r="I149" s="144"/>
      <c r="J149" s="145"/>
      <c r="K149" s="136"/>
      <c r="L149" s="136"/>
    </row>
    <row r="150" spans="1:12" ht="12.75" customHeight="1" x14ac:dyDescent="0.25">
      <c r="A150" s="136">
        <f t="shared" si="0"/>
        <v>64</v>
      </c>
      <c r="B150" s="130"/>
      <c r="C150" s="146"/>
      <c r="D150" s="147"/>
      <c r="E150" s="142"/>
      <c r="F150" s="30">
        <f>VLOOKUP(E150,'Summary-Contracts'!$C$30:$G$62,4,0)</f>
        <v>0</v>
      </c>
      <c r="G150" s="142"/>
      <c r="H150" s="143">
        <v>0</v>
      </c>
      <c r="I150" s="144"/>
      <c r="J150" s="145"/>
      <c r="K150" s="136"/>
      <c r="L150" s="136"/>
    </row>
    <row r="151" spans="1:12" ht="12.75" customHeight="1" x14ac:dyDescent="0.25">
      <c r="A151" s="136">
        <f t="shared" si="0"/>
        <v>65</v>
      </c>
      <c r="B151" s="130"/>
      <c r="C151" s="146"/>
      <c r="D151" s="147"/>
      <c r="E151" s="142"/>
      <c r="F151" s="30">
        <f>VLOOKUP(E151,'Summary-Contracts'!$C$30:$G$62,4,0)</f>
        <v>0</v>
      </c>
      <c r="G151" s="142"/>
      <c r="H151" s="143">
        <v>0</v>
      </c>
      <c r="I151" s="144"/>
      <c r="J151" s="145"/>
      <c r="K151" s="136"/>
      <c r="L151" s="136"/>
    </row>
    <row r="152" spans="1:12" ht="12.75" customHeight="1" x14ac:dyDescent="0.25">
      <c r="A152" s="136">
        <f t="shared" si="0"/>
        <v>66</v>
      </c>
      <c r="B152" s="130"/>
      <c r="C152" s="146"/>
      <c r="D152" s="147"/>
      <c r="E152" s="142"/>
      <c r="F152" s="30">
        <f>VLOOKUP(E152,'Summary-Contracts'!$C$30:$G$62,4,0)</f>
        <v>0</v>
      </c>
      <c r="G152" s="142"/>
      <c r="H152" s="143">
        <v>0</v>
      </c>
      <c r="I152" s="144"/>
      <c r="J152" s="145"/>
      <c r="K152" s="136"/>
      <c r="L152" s="136"/>
    </row>
    <row r="153" spans="1:12" ht="12.75" customHeight="1" x14ac:dyDescent="0.25">
      <c r="A153" s="136">
        <f t="shared" si="0"/>
        <v>67</v>
      </c>
      <c r="B153" s="130"/>
      <c r="C153" s="146"/>
      <c r="D153" s="147"/>
      <c r="E153" s="142"/>
      <c r="F153" s="30">
        <f>VLOOKUP(E153,'Summary-Contracts'!$C$30:$G$62,4,0)</f>
        <v>0</v>
      </c>
      <c r="G153" s="142"/>
      <c r="H153" s="143">
        <v>0</v>
      </c>
      <c r="I153" s="144"/>
      <c r="J153" s="145"/>
      <c r="K153" s="136"/>
      <c r="L153" s="136"/>
    </row>
    <row r="154" spans="1:12" ht="12.75" customHeight="1" x14ac:dyDescent="0.25">
      <c r="A154" s="136">
        <f t="shared" si="0"/>
        <v>68</v>
      </c>
      <c r="B154" s="130"/>
      <c r="C154" s="146"/>
      <c r="D154" s="147"/>
      <c r="E154" s="142"/>
      <c r="F154" s="30">
        <f>VLOOKUP(E154,'Summary-Contracts'!$C$30:$G$62,4,0)</f>
        <v>0</v>
      </c>
      <c r="G154" s="142"/>
      <c r="H154" s="143">
        <v>0</v>
      </c>
      <c r="I154" s="144"/>
      <c r="J154" s="145"/>
      <c r="K154" s="136"/>
      <c r="L154" s="136"/>
    </row>
    <row r="155" spans="1:12" ht="12.75" customHeight="1" x14ac:dyDescent="0.25">
      <c r="A155" s="136">
        <f t="shared" si="0"/>
        <v>69</v>
      </c>
      <c r="B155" s="130"/>
      <c r="C155" s="146"/>
      <c r="D155" s="147"/>
      <c r="E155" s="142"/>
      <c r="F155" s="30">
        <f>VLOOKUP(E155,'Summary-Contracts'!$C$30:$G$62,4,0)</f>
        <v>0</v>
      </c>
      <c r="G155" s="142"/>
      <c r="H155" s="143">
        <v>0</v>
      </c>
      <c r="I155" s="144"/>
      <c r="J155" s="145"/>
      <c r="K155" s="136"/>
      <c r="L155" s="136"/>
    </row>
    <row r="156" spans="1:12" ht="12.75" customHeight="1" x14ac:dyDescent="0.25">
      <c r="A156" s="136">
        <f t="shared" si="0"/>
        <v>70</v>
      </c>
      <c r="B156" s="130"/>
      <c r="C156" s="146"/>
      <c r="D156" s="147"/>
      <c r="E156" s="142"/>
      <c r="F156" s="30">
        <f>VLOOKUP(E156,'Summary-Contracts'!$C$30:$G$62,4,0)</f>
        <v>0</v>
      </c>
      <c r="G156" s="142"/>
      <c r="H156" s="143">
        <v>0</v>
      </c>
      <c r="I156" s="144"/>
      <c r="J156" s="145"/>
      <c r="K156" s="136"/>
      <c r="L156" s="136"/>
    </row>
    <row r="157" spans="1:12" ht="12.75" customHeight="1" x14ac:dyDescent="0.25">
      <c r="A157" s="136">
        <f t="shared" si="0"/>
        <v>71</v>
      </c>
      <c r="B157" s="130"/>
      <c r="C157" s="146"/>
      <c r="D157" s="147"/>
      <c r="E157" s="142"/>
      <c r="F157" s="30">
        <f>VLOOKUP(E157,'Summary-Contracts'!$C$30:$G$62,4,0)</f>
        <v>0</v>
      </c>
      <c r="G157" s="142"/>
      <c r="H157" s="143">
        <v>0</v>
      </c>
      <c r="I157" s="144"/>
      <c r="J157" s="145"/>
      <c r="K157" s="136"/>
      <c r="L157" s="136"/>
    </row>
    <row r="158" spans="1:12" ht="12.75" customHeight="1" x14ac:dyDescent="0.25">
      <c r="A158" s="136">
        <f t="shared" si="0"/>
        <v>72</v>
      </c>
      <c r="B158" s="130"/>
      <c r="C158" s="146"/>
      <c r="D158" s="147"/>
      <c r="E158" s="142"/>
      <c r="F158" s="30">
        <f>VLOOKUP(E158,'Summary-Contracts'!$C$30:$G$62,4,0)</f>
        <v>0</v>
      </c>
      <c r="G158" s="142"/>
      <c r="H158" s="143">
        <v>0</v>
      </c>
      <c r="I158" s="144"/>
      <c r="J158" s="145"/>
      <c r="K158" s="136"/>
      <c r="L158" s="136"/>
    </row>
    <row r="159" spans="1:12" ht="12.75" customHeight="1" x14ac:dyDescent="0.25">
      <c r="A159" s="136">
        <f t="shared" si="0"/>
        <v>73</v>
      </c>
      <c r="B159" s="130"/>
      <c r="C159" s="146"/>
      <c r="D159" s="147"/>
      <c r="E159" s="142"/>
      <c r="F159" s="30">
        <f>VLOOKUP(E159,'Summary-Contracts'!$C$30:$G$62,4,0)</f>
        <v>0</v>
      </c>
      <c r="G159" s="142"/>
      <c r="H159" s="143">
        <v>0</v>
      </c>
      <c r="I159" s="144"/>
      <c r="J159" s="145"/>
      <c r="K159" s="136"/>
      <c r="L159" s="136"/>
    </row>
    <row r="160" spans="1:12" ht="12.75" customHeight="1" x14ac:dyDescent="0.25">
      <c r="A160" s="136">
        <f t="shared" si="0"/>
        <v>74</v>
      </c>
      <c r="B160" s="130"/>
      <c r="C160" s="146"/>
      <c r="D160" s="147"/>
      <c r="E160" s="142"/>
      <c r="F160" s="30">
        <f>VLOOKUP(E160,'Summary-Contracts'!$C$30:$G$62,4,0)</f>
        <v>0</v>
      </c>
      <c r="G160" s="142"/>
      <c r="H160" s="143">
        <v>0</v>
      </c>
      <c r="I160" s="144"/>
      <c r="J160" s="145"/>
      <c r="K160" s="136"/>
      <c r="L160" s="136"/>
    </row>
    <row r="161" spans="1:12" ht="12.75" customHeight="1" x14ac:dyDescent="0.25">
      <c r="A161" s="136">
        <f t="shared" si="0"/>
        <v>75</v>
      </c>
      <c r="B161" s="130"/>
      <c r="C161" s="146"/>
      <c r="D161" s="147"/>
      <c r="E161" s="142"/>
      <c r="F161" s="30">
        <f>VLOOKUP(E161,'Summary-Contracts'!$C$30:$G$62,4,0)</f>
        <v>0</v>
      </c>
      <c r="G161" s="142"/>
      <c r="H161" s="143">
        <v>0</v>
      </c>
      <c r="I161" s="144"/>
      <c r="J161" s="145"/>
      <c r="K161" s="136"/>
      <c r="L161" s="136"/>
    </row>
    <row r="162" spans="1:12" ht="12.75" customHeight="1" x14ac:dyDescent="0.25">
      <c r="A162" s="136">
        <f t="shared" si="0"/>
        <v>76</v>
      </c>
      <c r="B162" s="130"/>
      <c r="C162" s="146"/>
      <c r="D162" s="147"/>
      <c r="E162" s="142"/>
      <c r="F162" s="30">
        <f>VLOOKUP(E162,'Summary-Contracts'!$C$30:$G$62,4,0)</f>
        <v>0</v>
      </c>
      <c r="G162" s="142"/>
      <c r="H162" s="143">
        <v>0</v>
      </c>
      <c r="I162" s="144"/>
      <c r="J162" s="145"/>
      <c r="K162" s="136"/>
      <c r="L162" s="136"/>
    </row>
    <row r="163" spans="1:12" ht="12.75" customHeight="1" x14ac:dyDescent="0.25">
      <c r="A163" s="136">
        <f t="shared" si="0"/>
        <v>77</v>
      </c>
      <c r="B163" s="130"/>
      <c r="C163" s="146"/>
      <c r="D163" s="147"/>
      <c r="E163" s="142"/>
      <c r="F163" s="30">
        <f>VLOOKUP(E163,'Summary-Contracts'!$C$30:$G$62,4,0)</f>
        <v>0</v>
      </c>
      <c r="G163" s="142"/>
      <c r="H163" s="143">
        <v>0</v>
      </c>
      <c r="I163" s="144"/>
      <c r="J163" s="145"/>
      <c r="K163" s="136"/>
      <c r="L163" s="136"/>
    </row>
    <row r="164" spans="1:12" ht="12.75" customHeight="1" x14ac:dyDescent="0.25">
      <c r="A164" s="136">
        <f t="shared" si="0"/>
        <v>78</v>
      </c>
      <c r="B164" s="130"/>
      <c r="C164" s="146"/>
      <c r="D164" s="147"/>
      <c r="E164" s="142"/>
      <c r="F164" s="30">
        <f>VLOOKUP(E164,'Summary-Contracts'!$C$30:$G$62,4,0)</f>
        <v>0</v>
      </c>
      <c r="G164" s="142"/>
      <c r="H164" s="143">
        <v>0</v>
      </c>
      <c r="I164" s="144"/>
      <c r="J164" s="145"/>
      <c r="K164" s="136"/>
      <c r="L164" s="136"/>
    </row>
    <row r="165" spans="1:12" ht="12.75" customHeight="1" x14ac:dyDescent="0.25">
      <c r="A165" s="136">
        <f t="shared" si="0"/>
        <v>79</v>
      </c>
      <c r="B165" s="130"/>
      <c r="C165" s="146"/>
      <c r="D165" s="147"/>
      <c r="E165" s="142"/>
      <c r="F165" s="30">
        <f>VLOOKUP(E165,'Summary-Contracts'!$C$30:$G$62,4,0)</f>
        <v>0</v>
      </c>
      <c r="G165" s="142"/>
      <c r="H165" s="143">
        <v>0</v>
      </c>
      <c r="I165" s="144"/>
      <c r="J165" s="145"/>
      <c r="K165" s="136"/>
      <c r="L165" s="136"/>
    </row>
    <row r="166" spans="1:12" ht="12.75" customHeight="1" x14ac:dyDescent="0.25">
      <c r="A166" s="136">
        <f t="shared" si="0"/>
        <v>80</v>
      </c>
      <c r="B166" s="130"/>
      <c r="C166" s="146"/>
      <c r="D166" s="147"/>
      <c r="E166" s="142"/>
      <c r="F166" s="30">
        <f>VLOOKUP(E166,'Summary-Contracts'!$C$30:$G$62,4,0)</f>
        <v>0</v>
      </c>
      <c r="G166" s="142"/>
      <c r="H166" s="143">
        <v>0</v>
      </c>
      <c r="I166" s="144"/>
      <c r="J166" s="145"/>
      <c r="K166" s="136"/>
      <c r="L166" s="136"/>
    </row>
    <row r="167" spans="1:12" ht="12.75" customHeight="1" x14ac:dyDescent="0.25">
      <c r="A167" s="136">
        <f t="shared" si="0"/>
        <v>81</v>
      </c>
      <c r="B167" s="130"/>
      <c r="C167" s="146"/>
      <c r="D167" s="147"/>
      <c r="E167" s="142"/>
      <c r="F167" s="30">
        <f>VLOOKUP(E167,'Summary-Contracts'!$C$30:$G$62,4,0)</f>
        <v>0</v>
      </c>
      <c r="G167" s="142"/>
      <c r="H167" s="143">
        <v>0</v>
      </c>
      <c r="I167" s="144"/>
      <c r="J167" s="145"/>
      <c r="K167" s="136"/>
      <c r="L167" s="136"/>
    </row>
    <row r="168" spans="1:12" ht="12.75" customHeight="1" x14ac:dyDescent="0.25">
      <c r="A168" s="136">
        <f t="shared" si="0"/>
        <v>82</v>
      </c>
      <c r="B168" s="130"/>
      <c r="C168" s="146"/>
      <c r="D168" s="147"/>
      <c r="E168" s="142"/>
      <c r="F168" s="30">
        <f>VLOOKUP(E168,'Summary-Contracts'!$C$30:$G$62,4,0)</f>
        <v>0</v>
      </c>
      <c r="G168" s="142"/>
      <c r="H168" s="143">
        <v>0</v>
      </c>
      <c r="I168" s="144"/>
      <c r="J168" s="145"/>
      <c r="K168" s="136"/>
      <c r="L168" s="136"/>
    </row>
    <row r="169" spans="1:12" ht="12.75" customHeight="1" x14ac:dyDescent="0.25">
      <c r="A169" s="136">
        <f t="shared" si="0"/>
        <v>83</v>
      </c>
      <c r="B169" s="130"/>
      <c r="C169" s="146"/>
      <c r="D169" s="147"/>
      <c r="E169" s="142"/>
      <c r="F169" s="30">
        <f>VLOOKUP(E169,'Summary-Contracts'!$C$30:$G$62,4,0)</f>
        <v>0</v>
      </c>
      <c r="G169" s="142"/>
      <c r="H169" s="143">
        <v>0</v>
      </c>
      <c r="I169" s="144"/>
      <c r="J169" s="145"/>
      <c r="K169" s="136"/>
      <c r="L169" s="136"/>
    </row>
    <row r="170" spans="1:12" ht="12.75" customHeight="1" x14ac:dyDescent="0.25">
      <c r="A170" s="136">
        <f t="shared" si="0"/>
        <v>84</v>
      </c>
      <c r="B170" s="130"/>
      <c r="C170" s="146"/>
      <c r="D170" s="147"/>
      <c r="E170" s="142"/>
      <c r="F170" s="30">
        <f>VLOOKUP(E170,'Summary-Contracts'!$C$30:$G$62,4,0)</f>
        <v>0</v>
      </c>
      <c r="G170" s="142"/>
      <c r="H170" s="143">
        <v>0</v>
      </c>
      <c r="I170" s="144"/>
      <c r="J170" s="145"/>
      <c r="K170" s="136"/>
      <c r="L170" s="136"/>
    </row>
    <row r="171" spans="1:12" ht="12.75" customHeight="1" x14ac:dyDescent="0.25">
      <c r="A171" s="136">
        <f t="shared" si="0"/>
        <v>85</v>
      </c>
      <c r="B171" s="130"/>
      <c r="C171" s="146"/>
      <c r="D171" s="147"/>
      <c r="E171" s="142"/>
      <c r="F171" s="30">
        <f>VLOOKUP(E171,'Summary-Contracts'!$C$30:$G$62,4,0)</f>
        <v>0</v>
      </c>
      <c r="G171" s="142"/>
      <c r="H171" s="143">
        <v>0</v>
      </c>
      <c r="I171" s="144"/>
      <c r="J171" s="145"/>
      <c r="K171" s="136"/>
      <c r="L171" s="136"/>
    </row>
    <row r="172" spans="1:12" ht="12.75" customHeight="1" x14ac:dyDescent="0.25">
      <c r="A172" s="136">
        <f t="shared" si="0"/>
        <v>86</v>
      </c>
      <c r="B172" s="130"/>
      <c r="C172" s="146"/>
      <c r="D172" s="147"/>
      <c r="E172" s="142"/>
      <c r="F172" s="30">
        <f>VLOOKUP(E172,'Summary-Contracts'!$C$30:$G$62,4,0)</f>
        <v>0</v>
      </c>
      <c r="G172" s="142"/>
      <c r="H172" s="143">
        <v>0</v>
      </c>
      <c r="I172" s="144"/>
      <c r="J172" s="145"/>
      <c r="K172" s="136"/>
      <c r="L172" s="136"/>
    </row>
    <row r="173" spans="1:12" ht="12.75" customHeight="1" x14ac:dyDescent="0.25">
      <c r="A173" s="136">
        <f t="shared" si="0"/>
        <v>87</v>
      </c>
      <c r="B173" s="130"/>
      <c r="C173" s="146"/>
      <c r="D173" s="147"/>
      <c r="E173" s="142"/>
      <c r="F173" s="30">
        <f>VLOOKUP(E173,'Summary-Contracts'!$C$30:$G$62,4,0)</f>
        <v>0</v>
      </c>
      <c r="G173" s="142"/>
      <c r="H173" s="143">
        <v>0</v>
      </c>
      <c r="I173" s="144"/>
      <c r="J173" s="145"/>
      <c r="K173" s="136"/>
      <c r="L173" s="136"/>
    </row>
    <row r="174" spans="1:12" ht="12.75" customHeight="1" x14ac:dyDescent="0.25">
      <c r="A174" s="136">
        <f t="shared" si="0"/>
        <v>88</v>
      </c>
      <c r="B174" s="130"/>
      <c r="C174" s="146"/>
      <c r="D174" s="147"/>
      <c r="E174" s="142"/>
      <c r="F174" s="30">
        <f>VLOOKUP(E174,'Summary-Contracts'!$C$30:$G$62,4,0)</f>
        <v>0</v>
      </c>
      <c r="G174" s="142"/>
      <c r="H174" s="143">
        <v>0</v>
      </c>
      <c r="I174" s="144"/>
      <c r="J174" s="145"/>
      <c r="K174" s="136"/>
      <c r="L174" s="136"/>
    </row>
    <row r="175" spans="1:12" ht="12.75" customHeight="1" x14ac:dyDescent="0.25">
      <c r="A175" s="136">
        <f t="shared" si="0"/>
        <v>89</v>
      </c>
      <c r="B175" s="130"/>
      <c r="C175" s="146"/>
      <c r="D175" s="147"/>
      <c r="E175" s="142"/>
      <c r="F175" s="30">
        <f>VLOOKUP(E175,'Summary-Contracts'!$C$30:$G$62,4,0)</f>
        <v>0</v>
      </c>
      <c r="G175" s="142"/>
      <c r="H175" s="143">
        <v>0</v>
      </c>
      <c r="I175" s="144"/>
      <c r="J175" s="145"/>
      <c r="K175" s="136"/>
      <c r="L175" s="136"/>
    </row>
    <row r="176" spans="1:12" ht="12.75" customHeight="1" x14ac:dyDescent="0.25">
      <c r="A176" s="136">
        <f t="shared" si="0"/>
        <v>90</v>
      </c>
      <c r="B176" s="130"/>
      <c r="C176" s="146"/>
      <c r="D176" s="147"/>
      <c r="E176" s="142"/>
      <c r="F176" s="30">
        <f>VLOOKUP(E176,'Summary-Contracts'!$C$30:$G$62,4,0)</f>
        <v>0</v>
      </c>
      <c r="G176" s="142"/>
      <c r="H176" s="143">
        <v>0</v>
      </c>
      <c r="I176" s="144"/>
      <c r="J176" s="145"/>
      <c r="K176" s="136"/>
      <c r="L176" s="136"/>
    </row>
    <row r="177" spans="1:12" ht="12.75" customHeight="1" x14ac:dyDescent="0.25">
      <c r="A177" s="136">
        <f t="shared" si="0"/>
        <v>91</v>
      </c>
      <c r="B177" s="130"/>
      <c r="C177" s="146"/>
      <c r="D177" s="147"/>
      <c r="E177" s="142"/>
      <c r="F177" s="30">
        <f>VLOOKUP(E177,'Summary-Contracts'!$C$30:$G$62,4,0)</f>
        <v>0</v>
      </c>
      <c r="G177" s="142"/>
      <c r="H177" s="143">
        <v>0</v>
      </c>
      <c r="I177" s="144"/>
      <c r="J177" s="145"/>
      <c r="K177" s="136"/>
      <c r="L177" s="136"/>
    </row>
    <row r="178" spans="1:12" ht="12.75" customHeight="1" x14ac:dyDescent="0.25">
      <c r="A178" s="136">
        <f t="shared" si="0"/>
        <v>92</v>
      </c>
      <c r="B178" s="130"/>
      <c r="C178" s="146"/>
      <c r="D178" s="147"/>
      <c r="E178" s="142"/>
      <c r="F178" s="30">
        <f>VLOOKUP(E178,'Summary-Contracts'!$C$30:$G$62,4,0)</f>
        <v>0</v>
      </c>
      <c r="G178" s="142"/>
      <c r="H178" s="143">
        <v>0</v>
      </c>
      <c r="I178" s="144"/>
      <c r="J178" s="145"/>
      <c r="K178" s="136"/>
      <c r="L178" s="136"/>
    </row>
    <row r="179" spans="1:12" ht="12.75" customHeight="1" x14ac:dyDescent="0.25">
      <c r="A179" s="136">
        <f t="shared" si="0"/>
        <v>93</v>
      </c>
      <c r="B179" s="130"/>
      <c r="C179" s="146"/>
      <c r="D179" s="147"/>
      <c r="E179" s="142"/>
      <c r="F179" s="30">
        <f>VLOOKUP(E179,'Summary-Contracts'!$C$30:$G$62,4,0)</f>
        <v>0</v>
      </c>
      <c r="G179" s="142"/>
      <c r="H179" s="143">
        <v>0</v>
      </c>
      <c r="I179" s="144"/>
      <c r="J179" s="145"/>
      <c r="K179" s="136"/>
      <c r="L179" s="136"/>
    </row>
    <row r="180" spans="1:12" ht="12.75" customHeight="1" x14ac:dyDescent="0.25">
      <c r="A180" s="136">
        <f t="shared" si="0"/>
        <v>94</v>
      </c>
      <c r="B180" s="130"/>
      <c r="C180" s="146"/>
      <c r="D180" s="147"/>
      <c r="E180" s="142"/>
      <c r="F180" s="30">
        <f>VLOOKUP(E180,'Summary-Contracts'!$C$30:$G$62,4,0)</f>
        <v>0</v>
      </c>
      <c r="G180" s="142"/>
      <c r="H180" s="143">
        <v>0</v>
      </c>
      <c r="I180" s="144"/>
      <c r="J180" s="145"/>
      <c r="K180" s="136"/>
      <c r="L180" s="136"/>
    </row>
    <row r="181" spans="1:12" ht="12.75" customHeight="1" x14ac:dyDescent="0.25">
      <c r="A181" s="136">
        <f t="shared" si="0"/>
        <v>95</v>
      </c>
      <c r="B181" s="130"/>
      <c r="C181" s="146"/>
      <c r="D181" s="147"/>
      <c r="E181" s="142"/>
      <c r="F181" s="30">
        <f>VLOOKUP(E181,'Summary-Contracts'!$C$30:$G$62,4,0)</f>
        <v>0</v>
      </c>
      <c r="G181" s="142"/>
      <c r="H181" s="143">
        <v>0</v>
      </c>
      <c r="I181" s="144"/>
      <c r="J181" s="145"/>
      <c r="K181" s="136"/>
      <c r="L181" s="136"/>
    </row>
    <row r="182" spans="1:12" ht="12.75" customHeight="1" x14ac:dyDescent="0.25">
      <c r="A182" s="136">
        <f t="shared" si="0"/>
        <v>96</v>
      </c>
      <c r="B182" s="130"/>
      <c r="C182" s="146"/>
      <c r="D182" s="147"/>
      <c r="E182" s="142"/>
      <c r="F182" s="30">
        <f>VLOOKUP(E182,'Summary-Contracts'!$C$30:$G$62,4,0)</f>
        <v>0</v>
      </c>
      <c r="G182" s="142"/>
      <c r="H182" s="143">
        <v>0</v>
      </c>
      <c r="I182" s="144"/>
      <c r="J182" s="145"/>
      <c r="K182" s="136"/>
      <c r="L182" s="136"/>
    </row>
    <row r="183" spans="1:12" ht="12.75" customHeight="1" x14ac:dyDescent="0.25">
      <c r="A183" s="136">
        <f t="shared" si="0"/>
        <v>97</v>
      </c>
      <c r="B183" s="130"/>
      <c r="C183" s="146"/>
      <c r="D183" s="147"/>
      <c r="E183" s="142"/>
      <c r="F183" s="30">
        <f>VLOOKUP(E183,'Summary-Contracts'!$C$30:$G$62,4,0)</f>
        <v>0</v>
      </c>
      <c r="G183" s="142"/>
      <c r="H183" s="143">
        <v>0</v>
      </c>
      <c r="I183" s="144"/>
      <c r="J183" s="145"/>
      <c r="K183" s="136"/>
      <c r="L183" s="136"/>
    </row>
    <row r="184" spans="1:12" ht="12.75" customHeight="1" x14ac:dyDescent="0.25">
      <c r="A184" s="136">
        <f t="shared" si="0"/>
        <v>98</v>
      </c>
      <c r="B184" s="130"/>
      <c r="C184" s="146"/>
      <c r="D184" s="147"/>
      <c r="E184" s="142"/>
      <c r="F184" s="30">
        <f>VLOOKUP(E184,'Summary-Contracts'!$C$30:$G$62,4,0)</f>
        <v>0</v>
      </c>
      <c r="G184" s="142"/>
      <c r="H184" s="143">
        <v>0</v>
      </c>
      <c r="I184" s="144"/>
      <c r="J184" s="145"/>
      <c r="K184" s="136"/>
      <c r="L184" s="136"/>
    </row>
    <row r="185" spans="1:12" ht="12.75" customHeight="1" x14ac:dyDescent="0.25">
      <c r="A185" s="136">
        <f t="shared" si="0"/>
        <v>99</v>
      </c>
      <c r="B185" s="130"/>
      <c r="C185" s="146"/>
      <c r="D185" s="147"/>
      <c r="E185" s="142"/>
      <c r="F185" s="30">
        <f>VLOOKUP(E185,'Summary-Contracts'!$C$30:$G$62,4,0)</f>
        <v>0</v>
      </c>
      <c r="G185" s="142"/>
      <c r="H185" s="143">
        <v>0</v>
      </c>
      <c r="I185" s="144"/>
      <c r="J185" s="145"/>
      <c r="K185" s="136"/>
      <c r="L185" s="136"/>
    </row>
    <row r="186" spans="1:12" ht="12.75" customHeight="1" x14ac:dyDescent="0.25">
      <c r="A186" s="136">
        <f t="shared" si="0"/>
        <v>100</v>
      </c>
      <c r="B186" s="130"/>
      <c r="C186" s="146"/>
      <c r="D186" s="147"/>
      <c r="E186" s="142"/>
      <c r="F186" s="30">
        <f>VLOOKUP(E186,'Summary-Contracts'!$C$30:$G$62,4,0)</f>
        <v>0</v>
      </c>
      <c r="G186" s="142"/>
      <c r="H186" s="143">
        <v>0</v>
      </c>
      <c r="I186" s="144"/>
      <c r="J186" s="145"/>
      <c r="K186" s="136"/>
      <c r="L186" s="136"/>
    </row>
    <row r="187" spans="1:12" ht="12.75" customHeight="1" x14ac:dyDescent="0.25">
      <c r="A187" s="136">
        <f t="shared" si="0"/>
        <v>101</v>
      </c>
      <c r="B187" s="130"/>
      <c r="C187" s="146"/>
      <c r="D187" s="147"/>
      <c r="E187" s="142"/>
      <c r="F187" s="30">
        <f>VLOOKUP(E187,'Summary-Contracts'!$C$30:$G$62,4,0)</f>
        <v>0</v>
      </c>
      <c r="G187" s="142"/>
      <c r="H187" s="143">
        <v>0</v>
      </c>
      <c r="I187" s="144"/>
      <c r="J187" s="145"/>
      <c r="K187" s="136"/>
      <c r="L187" s="136"/>
    </row>
    <row r="188" spans="1:12" ht="12.75" customHeight="1" x14ac:dyDescent="0.25">
      <c r="A188" s="136">
        <f t="shared" si="0"/>
        <v>102</v>
      </c>
      <c r="B188" s="130"/>
      <c r="C188" s="146"/>
      <c r="D188" s="147"/>
      <c r="E188" s="142"/>
      <c r="F188" s="30">
        <f>VLOOKUP(E188,'Summary-Contracts'!$C$30:$G$62,4,0)</f>
        <v>0</v>
      </c>
      <c r="G188" s="142"/>
      <c r="H188" s="143">
        <v>0</v>
      </c>
      <c r="I188" s="144"/>
      <c r="J188" s="145"/>
      <c r="K188" s="136"/>
      <c r="L188" s="136"/>
    </row>
    <row r="189" spans="1:12" ht="12.75" customHeight="1" x14ac:dyDescent="0.25">
      <c r="A189" s="136">
        <f t="shared" si="0"/>
        <v>103</v>
      </c>
      <c r="B189" s="130"/>
      <c r="C189" s="146"/>
      <c r="D189" s="147"/>
      <c r="E189" s="142"/>
      <c r="F189" s="30">
        <f>VLOOKUP(E189,'Summary-Contracts'!$C$30:$G$62,4,0)</f>
        <v>0</v>
      </c>
      <c r="G189" s="142"/>
      <c r="H189" s="143">
        <v>0</v>
      </c>
      <c r="I189" s="144"/>
      <c r="J189" s="145"/>
      <c r="K189" s="136"/>
      <c r="L189" s="136"/>
    </row>
    <row r="190" spans="1:12" ht="12.75" customHeight="1" x14ac:dyDescent="0.25">
      <c r="A190" s="136">
        <f t="shared" si="0"/>
        <v>104</v>
      </c>
      <c r="B190" s="130"/>
      <c r="C190" s="146"/>
      <c r="D190" s="147"/>
      <c r="E190" s="142"/>
      <c r="F190" s="30">
        <f>VLOOKUP(E190,'Summary-Contracts'!$C$30:$G$62,4,0)</f>
        <v>0</v>
      </c>
      <c r="G190" s="142"/>
      <c r="H190" s="143">
        <v>0</v>
      </c>
      <c r="I190" s="144"/>
      <c r="J190" s="145"/>
      <c r="K190" s="136"/>
      <c r="L190" s="136"/>
    </row>
    <row r="191" spans="1:12" ht="12.75" customHeight="1" x14ac:dyDescent="0.25">
      <c r="A191" s="136">
        <f t="shared" si="0"/>
        <v>105</v>
      </c>
      <c r="B191" s="130"/>
      <c r="C191" s="146"/>
      <c r="D191" s="147"/>
      <c r="E191" s="142"/>
      <c r="F191" s="30">
        <f>VLOOKUP(E191,'Summary-Contracts'!$C$30:$G$62,4,0)</f>
        <v>0</v>
      </c>
      <c r="G191" s="142"/>
      <c r="H191" s="143">
        <v>0</v>
      </c>
      <c r="I191" s="144"/>
      <c r="J191" s="145"/>
      <c r="K191" s="136"/>
      <c r="L191" s="136"/>
    </row>
    <row r="192" spans="1:12" ht="12.75" customHeight="1" x14ac:dyDescent="0.25">
      <c r="A192" s="136">
        <f t="shared" si="0"/>
        <v>106</v>
      </c>
      <c r="B192" s="130"/>
      <c r="C192" s="146"/>
      <c r="D192" s="147"/>
      <c r="E192" s="142"/>
      <c r="F192" s="30">
        <f>VLOOKUP(E192,'Summary-Contracts'!$C$30:$G$62,4,0)</f>
        <v>0</v>
      </c>
      <c r="G192" s="142"/>
      <c r="H192" s="143">
        <v>0</v>
      </c>
      <c r="I192" s="144"/>
      <c r="J192" s="145"/>
      <c r="K192" s="136"/>
      <c r="L192" s="136"/>
    </row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</sheetData>
  <sheetProtection selectLockedCells="1"/>
  <sortState xmlns:xlrd2="http://schemas.microsoft.com/office/spreadsheetml/2017/richdata2" ref="B80:L86">
    <sortCondition ref="C80:C86"/>
  </sortState>
  <conditionalFormatting sqref="D10:D192">
    <cfRule type="duplicateValues" dxfId="0" priority="6"/>
  </conditionalFormatting>
  <hyperlinks>
    <hyperlink ref="A4" r:id="rId1" xr:uid="{00000000-0004-0000-0100-000000000000}"/>
    <hyperlink ref="D10" r:id="rId2" display="Corn 2023\Shipping docs\BOL\BOL Individual scans\Field shipped\443230.pdf" xr:uid="{5126F120-7CA3-4B78-82E2-6A005216C984}"/>
    <hyperlink ref="D11" r:id="rId3" display="Corn 2023\Shipping docs\BOL\BOL Individual scans\Field shipped\443232.pdf" xr:uid="{6653E7F0-3BF7-40E2-BA1A-69B70E30D2DA}"/>
    <hyperlink ref="D13" r:id="rId4" display="Corn 2023\Shipping docs\BOL\BOL Individual scans\Field shipped\443234.pdf" xr:uid="{89E1FE83-3D60-47A1-AB47-1E7F4F4FA700}"/>
    <hyperlink ref="D14" r:id="rId5" display="Corn 2023\Shipping docs\BOL\BOL Individual scans\Field shipped\443235.pdf" xr:uid="{55600C12-CB1A-48F7-823C-AA97AB529BA2}"/>
    <hyperlink ref="D15" r:id="rId6" display="Corn 2023\Shipping docs\BOL\BOL Individual scans\Field shipped\443245.pdf" xr:uid="{C1705962-8FED-48BF-8FF9-BCFEF4DE6AC7}"/>
    <hyperlink ref="D12" r:id="rId7" display="Corn 2023\Shipping docs\BOL\BOL Individual scans\Field shipped\443223.pdf" xr:uid="{C82BE8CB-C0C3-439C-93BD-72E54CCA88F9}"/>
  </hyperlink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100-000001000000}">
          <x14:formula1>
            <xm:f>'Drop Lists'!$A$3:$A$15</xm:f>
          </x14:formula1>
          <xm:sqref>K43:L51 K52:K192 K10:K42</xm:sqref>
        </x14:dataValidation>
        <x14:dataValidation type="list" allowBlank="1" showErrorMessage="1" xr:uid="{00000000-0002-0000-0100-000004000000}">
          <x14:formula1>
            <xm:f>'Production-Inventory'!$B$21:$B$29</xm:f>
          </x14:formula1>
          <xm:sqref>L52:L192 L10:L36</xm:sqref>
        </x14:dataValidation>
        <x14:dataValidation type="list" allowBlank="1" showErrorMessage="1" xr:uid="{00000000-0002-0000-0100-000002000000}">
          <x14:formula1>
            <xm:f>'Drop Lists'!$E$3:$E$7</xm:f>
          </x14:formula1>
          <xm:sqref>B10:B192</xm:sqref>
        </x14:dataValidation>
        <x14:dataValidation type="list" allowBlank="1" showErrorMessage="1" xr:uid="{00000000-0002-0000-0100-000000000000}">
          <x14:formula1>
            <xm:f>SS!$C$8:$C$41</xm:f>
          </x14:formula1>
          <xm:sqref>G10:G192</xm:sqref>
        </x14:dataValidation>
        <x14:dataValidation type="list" allowBlank="1" showErrorMessage="1" xr:uid="{00000000-0002-0000-0100-000003000000}">
          <x14:formula1>
            <xm:f>'Summary-Contracts'!$C$30:$C$62</xm:f>
          </x14:formula1>
          <xm:sqref>E10:E192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activeCell="A2" sqref="A2"/>
    </sheetView>
  </sheetViews>
  <sheetFormatPr defaultColWidth="12.6640625" defaultRowHeight="15" customHeight="1" x14ac:dyDescent="0.25"/>
  <cols>
    <col min="1" max="1" width="22.21875" customWidth="1"/>
    <col min="2" max="2" width="8.6640625" customWidth="1"/>
    <col min="3" max="3" width="10.33203125" customWidth="1"/>
    <col min="4" max="4" width="8.6640625" customWidth="1"/>
    <col min="5" max="5" width="10.6640625" customWidth="1"/>
    <col min="6" max="6" width="12.44140625" customWidth="1"/>
    <col min="7" max="7" width="13.33203125" customWidth="1"/>
    <col min="8" max="26" width="8.6640625" customWidth="1"/>
  </cols>
  <sheetData>
    <row r="1" spans="1:12" ht="12.75" customHeight="1" x14ac:dyDescent="0.25">
      <c r="A1" s="107" t="s">
        <v>176</v>
      </c>
    </row>
    <row r="2" spans="1:12" ht="12.75" customHeight="1" x14ac:dyDescent="0.25">
      <c r="A2" s="151"/>
    </row>
    <row r="3" spans="1:12" ht="12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2" ht="12.75" customHeight="1" x14ac:dyDescent="0.3">
      <c r="A4" s="82" t="s">
        <v>100</v>
      </c>
      <c r="B4" s="2"/>
      <c r="C4" s="60"/>
      <c r="D4" s="60"/>
      <c r="E4" s="60"/>
      <c r="F4" s="60"/>
      <c r="G4" s="60"/>
      <c r="H4" s="60"/>
      <c r="I4" s="60"/>
      <c r="J4" s="60"/>
    </row>
    <row r="5" spans="1:12" ht="12.75" customHeight="1" x14ac:dyDescent="0.3">
      <c r="A5" s="83"/>
      <c r="B5" s="28" t="s">
        <v>101</v>
      </c>
      <c r="C5" s="28" t="str">
        <f t="shared" ref="C5:J5" si="0">+C19</f>
        <v>HBF</v>
      </c>
      <c r="D5" s="28" t="str">
        <f t="shared" si="0"/>
        <v>Switzer</v>
      </c>
      <c r="E5" s="28" t="str">
        <f t="shared" si="0"/>
        <v>Spanjer</v>
      </c>
      <c r="F5" s="28" t="str">
        <f t="shared" si="0"/>
        <v>East Youngs</v>
      </c>
      <c r="G5" s="28" t="str">
        <f t="shared" si="0"/>
        <v>West Youngs</v>
      </c>
      <c r="H5" s="28" t="str">
        <f t="shared" si="0"/>
        <v>Tower</v>
      </c>
      <c r="I5" s="28" t="str">
        <f t="shared" si="0"/>
        <v>Young #2</v>
      </c>
      <c r="J5" s="28" t="str">
        <f t="shared" si="0"/>
        <v>Dads</v>
      </c>
    </row>
    <row r="6" spans="1:12" ht="12.75" customHeight="1" x14ac:dyDescent="0.3">
      <c r="A6" s="84" t="s">
        <v>9</v>
      </c>
      <c r="B6" s="61">
        <f t="shared" ref="B6:B7" si="1">+SUM(C6:J6)</f>
        <v>7360.7929999999997</v>
      </c>
      <c r="C6" s="61">
        <f>SUMIFS('Transaction Entry'!$H$10:$H$192,'Transaction Entry'!$K$10:$K$192,C19,'Transaction Entry'!$B$10:$B$192,"&lt;&gt;Bin M")</f>
        <v>0</v>
      </c>
      <c r="D6" s="61">
        <f>SUMIFS('Transaction Entry'!$H$10:$H$192,'Transaction Entry'!$K$10:$K$192,D19,'Transaction Entry'!$B$10:$B$192,"&lt;&gt;Bin M")</f>
        <v>0</v>
      </c>
      <c r="E6" s="61">
        <f>SUMIFS('Transaction Entry'!$H$10:$H$192,'Transaction Entry'!$K$10:$K$192,E19,'Transaction Entry'!$B$10:$B$192,"&lt;&gt;Bin M")</f>
        <v>0</v>
      </c>
      <c r="F6" s="61">
        <f>SUMIFS('Transaction Entry'!$H$10:$H$192,'Transaction Entry'!$K$10:$K$192,F19,'Transaction Entry'!$B$10:$B$192,"&lt;&gt;Bin M")</f>
        <v>7360.7929999999997</v>
      </c>
      <c r="G6" s="61">
        <f>SUMIFS('Transaction Entry'!$H$10:$H$192,'Transaction Entry'!$K$10:$K$192,G19,'Transaction Entry'!$B$10:$B$192,"&lt;&gt;Bin M")</f>
        <v>0</v>
      </c>
      <c r="H6" s="61">
        <f>SUMIFS('Transaction Entry'!$H$10:$H$192,'Transaction Entry'!$K$10:$K$192,H19,'Transaction Entry'!$B$10:$B$192,"&lt;&gt;Bin M")</f>
        <v>0</v>
      </c>
      <c r="I6" s="61">
        <f>SUMIFS('Transaction Entry'!$H$10:$H$192,'Transaction Entry'!$K$10:$K$192,I19,'Transaction Entry'!$B$10:$B$192,"&lt;&gt;Bin M")</f>
        <v>0</v>
      </c>
      <c r="J6" s="61">
        <f>SUMIFS('Transaction Entry'!$H$10:$H$192,'Transaction Entry'!$K$10:$K$192,J19,'Transaction Entry'!$B$10:$B$192,"&lt;&gt;Bin M")</f>
        <v>0</v>
      </c>
    </row>
    <row r="7" spans="1:12" ht="12.75" customHeight="1" x14ac:dyDescent="0.3">
      <c r="A7" s="84" t="s">
        <v>102</v>
      </c>
      <c r="B7" s="61">
        <f t="shared" si="1"/>
        <v>1070.6299999999999</v>
      </c>
      <c r="C7" s="148">
        <v>137.69999999999999</v>
      </c>
      <c r="D7" s="148">
        <v>117</v>
      </c>
      <c r="E7" s="148">
        <v>122</v>
      </c>
      <c r="F7" s="148">
        <v>122.6</v>
      </c>
      <c r="G7" s="148">
        <v>123.3</v>
      </c>
      <c r="H7" s="148">
        <v>139.13</v>
      </c>
      <c r="I7" s="148">
        <v>163.1</v>
      </c>
      <c r="J7" s="148">
        <v>145.80000000000001</v>
      </c>
    </row>
    <row r="8" spans="1:12" ht="12.75" customHeight="1" x14ac:dyDescent="0.3">
      <c r="A8" s="84" t="s">
        <v>103</v>
      </c>
      <c r="B8" s="61">
        <f t="shared" ref="B8:J8" si="2">+B6/B7</f>
        <v>6.8751977807459168</v>
      </c>
      <c r="C8" s="61">
        <f t="shared" si="2"/>
        <v>0</v>
      </c>
      <c r="D8" s="61">
        <f t="shared" si="2"/>
        <v>0</v>
      </c>
      <c r="E8" s="61">
        <f t="shared" si="2"/>
        <v>0</v>
      </c>
      <c r="F8" s="61">
        <f t="shared" si="2"/>
        <v>60.039094616639481</v>
      </c>
      <c r="G8" s="61">
        <f t="shared" si="2"/>
        <v>0</v>
      </c>
      <c r="H8" s="61">
        <f t="shared" si="2"/>
        <v>0</v>
      </c>
      <c r="I8" s="61">
        <f t="shared" si="2"/>
        <v>0</v>
      </c>
      <c r="J8" s="61">
        <f t="shared" si="2"/>
        <v>0</v>
      </c>
    </row>
    <row r="9" spans="1:12" ht="12.75" customHeight="1" x14ac:dyDescent="0.3">
      <c r="A9" s="84" t="s">
        <v>79</v>
      </c>
      <c r="C9" s="48">
        <f>IF(+SUMIF('Transaction Entry'!$K$10:$K191,C19,'Transaction Entry'!$H$10:$H$191)=0,0,+SUMPRODUCT(--('Transaction Entry'!$K$10:$K$191=C19),'Transaction Entry'!$J$10:$J$191,'Transaction Entry'!$H$10:$H$191)/+SUMIF('Transaction Entry'!$K$10:$K$191,C19,'Transaction Entry'!$H$10:$H$191))</f>
        <v>0</v>
      </c>
      <c r="D9" s="48">
        <f>IF(+SUMIF('Transaction Entry'!$K$10:$K191,D19,'Transaction Entry'!$H$10:$H$191)=0,0,+SUMPRODUCT(--('Transaction Entry'!$K$10:$K$191=D19),'Transaction Entry'!$J$10:$J$191,'Transaction Entry'!$H$10:$H$191)/+SUMIF('Transaction Entry'!$K$10:$K$191,D19,'Transaction Entry'!$H$10:$H$191))</f>
        <v>0</v>
      </c>
      <c r="E9" s="48">
        <f>IF(+SUMIF('Transaction Entry'!$K$10:$K191,E19,'Transaction Entry'!$H$10:$H$191)=0,0,+SUMPRODUCT(--('Transaction Entry'!$K$10:$K$191=E19),'Transaction Entry'!$J$10:$J$191,'Transaction Entry'!$H$10:$H$191)/+SUMIF('Transaction Entry'!$K$10:$K$191,E19,'Transaction Entry'!$H$10:$H$191))</f>
        <v>0</v>
      </c>
      <c r="F9" s="48">
        <f>IF(+SUMIF('Transaction Entry'!$K$10:$K191,F19,'Transaction Entry'!$H$10:$H$191)=0,0,+SUMPRODUCT(--('Transaction Entry'!$K$10:$K$191=F19),'Transaction Entry'!$J$10:$J$191,'Transaction Entry'!$H$10:$H$191)/+SUMIF('Transaction Entry'!$K$10:$K$191,F19,'Transaction Entry'!$H$10:$H$191))</f>
        <v>15.696978599995953</v>
      </c>
      <c r="G9" s="48">
        <f>IF(+SUMIF('Transaction Entry'!$K$10:$K191,G19,'Transaction Entry'!$H$10:$H$191)=0,0,+SUMPRODUCT(--('Transaction Entry'!$K$10:$K$191=G19),'Transaction Entry'!$J$10:$J$191,'Transaction Entry'!$H$10:$H$191)/+SUMIF('Transaction Entry'!$K$10:$K$191,G19,'Transaction Entry'!$H$10:$H$191))</f>
        <v>0</v>
      </c>
      <c r="H9" s="48">
        <f>IF(+SUMIF('Transaction Entry'!$K$10:$K191,H19,'Transaction Entry'!$H$10:$H$191)=0,0,+SUMPRODUCT(--('Transaction Entry'!$K$10:$K$191=H19),'Transaction Entry'!$J$10:$J$191,'Transaction Entry'!$H$10:$H$191)/+SUMIF('Transaction Entry'!$K$10:$K$191,H19,'Transaction Entry'!$H$10:$H$191))</f>
        <v>0</v>
      </c>
      <c r="I9" s="48">
        <f>IF(+SUMIF('Transaction Entry'!$K$10:$K191,I19,'Transaction Entry'!$H$10:$H$191)=0,0,+SUMPRODUCT(--('Transaction Entry'!$K$10:$K$191=I19),'Transaction Entry'!$J$10:$J$191,'Transaction Entry'!$H$10:$H$191)/+SUMIF('Transaction Entry'!$K$10:$K$191,I19,'Transaction Entry'!$H$10:$H$191))</f>
        <v>0</v>
      </c>
      <c r="J9" s="48">
        <f>IF(+SUMIF('Transaction Entry'!$K$10:$K191,J19,'Transaction Entry'!$H$10:$H$191)=0,0,+SUMPRODUCT(--('Transaction Entry'!$K$10:$K$191=J19),'Transaction Entry'!$J$10:$J$191,'Transaction Entry'!$H$10:$H$191)/+SUMIF('Transaction Entry'!$K$10:$K$191,J19,'Transaction Entry'!$H$10:$H$191))</f>
        <v>0</v>
      </c>
    </row>
    <row r="10" spans="1:12" ht="12.75" customHeight="1" x14ac:dyDescent="0.3">
      <c r="A10" s="2"/>
      <c r="B10" s="60"/>
      <c r="C10" s="60"/>
      <c r="D10" s="60"/>
      <c r="E10" s="60"/>
      <c r="F10" s="60"/>
      <c r="G10" s="60"/>
      <c r="H10" s="60"/>
      <c r="I10" s="60"/>
      <c r="J10" s="60"/>
    </row>
    <row r="11" spans="1:12" ht="12.75" customHeight="1" x14ac:dyDescent="0.25">
      <c r="A11" s="153" t="s">
        <v>104</v>
      </c>
      <c r="B11" s="64"/>
      <c r="C11" s="64"/>
      <c r="D11" s="64"/>
      <c r="E11" s="64"/>
      <c r="F11" s="64"/>
      <c r="G11" s="64"/>
      <c r="H11" s="64"/>
      <c r="I11" s="64"/>
      <c r="J11" s="64"/>
    </row>
    <row r="12" spans="1:12" ht="12.75" customHeight="1" x14ac:dyDescent="0.3">
      <c r="A12" s="84" t="s">
        <v>9</v>
      </c>
      <c r="B12" s="61">
        <f t="shared" ref="B12:B13" si="3">+SUM(C12:J12)</f>
        <v>99779</v>
      </c>
      <c r="C12" s="149">
        <v>14596</v>
      </c>
      <c r="D12" s="149">
        <v>1879</v>
      </c>
      <c r="E12" s="149">
        <v>3928</v>
      </c>
      <c r="F12" s="149">
        <v>26924</v>
      </c>
      <c r="G12" s="149">
        <v>27369</v>
      </c>
      <c r="H12" s="149">
        <v>7249</v>
      </c>
      <c r="I12" s="149">
        <v>11011</v>
      </c>
      <c r="J12" s="149">
        <v>6823</v>
      </c>
      <c r="L12" s="111"/>
    </row>
    <row r="13" spans="1:12" ht="12.75" customHeight="1" x14ac:dyDescent="0.3">
      <c r="A13" s="84" t="s">
        <v>102</v>
      </c>
      <c r="B13" s="25">
        <f t="shared" si="3"/>
        <v>1070.6299999999999</v>
      </c>
      <c r="C13" s="64">
        <f t="shared" ref="C13:J13" si="4">+C7</f>
        <v>137.69999999999999</v>
      </c>
      <c r="D13" s="64">
        <f t="shared" si="4"/>
        <v>117</v>
      </c>
      <c r="E13" s="64">
        <f t="shared" si="4"/>
        <v>122</v>
      </c>
      <c r="F13" s="64">
        <f t="shared" si="4"/>
        <v>122.6</v>
      </c>
      <c r="G13" s="64">
        <f t="shared" si="4"/>
        <v>123.3</v>
      </c>
      <c r="H13" s="64">
        <f t="shared" si="4"/>
        <v>139.13</v>
      </c>
      <c r="I13" s="64">
        <f t="shared" si="4"/>
        <v>163.1</v>
      </c>
      <c r="J13" s="64">
        <f t="shared" si="4"/>
        <v>145.80000000000001</v>
      </c>
    </row>
    <row r="14" spans="1:12" ht="12.75" customHeight="1" x14ac:dyDescent="0.3">
      <c r="A14" s="84" t="s">
        <v>103</v>
      </c>
      <c r="B14" s="25">
        <f t="shared" ref="B14:J14" si="5">+B12/B13</f>
        <v>93.196529146390446</v>
      </c>
      <c r="C14" s="85">
        <f t="shared" si="5"/>
        <v>105.99854756717502</v>
      </c>
      <c r="D14" s="85">
        <f t="shared" si="5"/>
        <v>16.05982905982906</v>
      </c>
      <c r="E14" s="85">
        <f t="shared" si="5"/>
        <v>32.196721311475407</v>
      </c>
      <c r="F14" s="85">
        <f t="shared" si="5"/>
        <v>219.60848287112563</v>
      </c>
      <c r="G14" s="85">
        <f t="shared" si="5"/>
        <v>221.97080291970804</v>
      </c>
      <c r="H14" s="85">
        <f t="shared" si="5"/>
        <v>52.102350319844753</v>
      </c>
      <c r="I14" s="85">
        <f t="shared" si="5"/>
        <v>67.510729613733915</v>
      </c>
      <c r="J14" s="85">
        <f t="shared" si="5"/>
        <v>46.796982167352532</v>
      </c>
    </row>
    <row r="15" spans="1:12" ht="12.75" customHeight="1" x14ac:dyDescent="0.25">
      <c r="A15" s="86" t="s">
        <v>105</v>
      </c>
      <c r="B15" s="65">
        <f t="shared" ref="B15:J15" si="6">IF(B12=0,0,1-(+B6/B12))</f>
        <v>0.92622903616993557</v>
      </c>
      <c r="C15" s="65">
        <f t="shared" si="6"/>
        <v>1</v>
      </c>
      <c r="D15" s="65">
        <f t="shared" si="6"/>
        <v>1</v>
      </c>
      <c r="E15" s="65">
        <f t="shared" si="6"/>
        <v>1</v>
      </c>
      <c r="F15" s="65">
        <f t="shared" si="6"/>
        <v>0.72660849056603771</v>
      </c>
      <c r="G15" s="65">
        <f t="shared" si="6"/>
        <v>1</v>
      </c>
      <c r="H15" s="65">
        <f t="shared" si="6"/>
        <v>1</v>
      </c>
      <c r="I15" s="65">
        <f t="shared" si="6"/>
        <v>1</v>
      </c>
      <c r="J15" s="65">
        <f t="shared" si="6"/>
        <v>1</v>
      </c>
    </row>
    <row r="16" spans="1:12" ht="12.75" customHeight="1" x14ac:dyDescent="0.25"/>
    <row r="17" spans="1:11" ht="12.75" customHeight="1" x14ac:dyDescent="0.25">
      <c r="A17" s="2"/>
      <c r="B17" s="2"/>
      <c r="C17" s="3"/>
      <c r="D17" s="22"/>
      <c r="E17" s="10"/>
      <c r="F17" s="19"/>
      <c r="G17" s="10"/>
      <c r="H17" s="10"/>
      <c r="I17" s="2"/>
      <c r="J17" s="2"/>
      <c r="K17" s="2"/>
    </row>
    <row r="18" spans="1:11" ht="12.75" customHeight="1" x14ac:dyDescent="0.25">
      <c r="A18" s="82" t="s">
        <v>106</v>
      </c>
      <c r="B18" s="2"/>
      <c r="C18" s="3"/>
      <c r="D18" s="22"/>
      <c r="E18" s="10"/>
      <c r="F18" s="19"/>
      <c r="G18" s="10"/>
      <c r="H18" s="10"/>
      <c r="I18" s="2"/>
      <c r="J18" s="2"/>
      <c r="K18" s="2"/>
    </row>
    <row r="19" spans="1:11" ht="12.75" customHeight="1" x14ac:dyDescent="0.25">
      <c r="A19" s="2"/>
      <c r="B19" s="28"/>
      <c r="C19" s="164" t="s">
        <v>85</v>
      </c>
      <c r="D19" s="164" t="s">
        <v>95</v>
      </c>
      <c r="E19" s="164" t="s">
        <v>96</v>
      </c>
      <c r="F19" s="164" t="s">
        <v>86</v>
      </c>
      <c r="G19" s="164" t="s">
        <v>84</v>
      </c>
      <c r="H19" s="164" t="s">
        <v>83</v>
      </c>
      <c r="I19" s="164" t="s">
        <v>82</v>
      </c>
      <c r="J19" s="164" t="s">
        <v>97</v>
      </c>
      <c r="K19" s="2"/>
    </row>
    <row r="20" spans="1:11" ht="12.75" customHeight="1" x14ac:dyDescent="0.25">
      <c r="A20" s="2"/>
      <c r="B20" s="152" t="s">
        <v>107</v>
      </c>
      <c r="C20" s="57" t="s">
        <v>108</v>
      </c>
      <c r="D20" s="57" t="s">
        <v>108</v>
      </c>
      <c r="E20" s="57" t="s">
        <v>108</v>
      </c>
      <c r="F20" s="57" t="s">
        <v>108</v>
      </c>
      <c r="G20" s="57" t="s">
        <v>108</v>
      </c>
      <c r="H20" s="57" t="s">
        <v>108</v>
      </c>
      <c r="I20" s="57" t="s">
        <v>108</v>
      </c>
      <c r="J20" s="57" t="s">
        <v>108</v>
      </c>
      <c r="K20" s="2"/>
    </row>
    <row r="21" spans="1:11" ht="12.75" customHeight="1" x14ac:dyDescent="0.25">
      <c r="A21" s="2"/>
      <c r="B21" s="150" t="s">
        <v>98</v>
      </c>
      <c r="C21" s="88">
        <f>+SUMIFS('Transaction Entry'!$H$10:$H$192,'Transaction Entry'!$L$10:$L$192,$B21,'Transaction Entry'!$K$10:$K$192,C$19,'Transaction Entry'!$B$10:$B$192,"Bin M ")</f>
        <v>0</v>
      </c>
      <c r="D21" s="88">
        <f>+SUMIFS('Transaction Entry'!$H$10:$H$192,'Transaction Entry'!$L$10:$L$192,$B21,'Transaction Entry'!$K$10:$K$192,D$19,'Transaction Entry'!$B$10:$B$192,"Bin M ")</f>
        <v>0</v>
      </c>
      <c r="E21" s="88">
        <f>+SUMIFS('Transaction Entry'!$H$10:$H$192,'Transaction Entry'!$L$10:$L$192,$B21,'Transaction Entry'!$K$10:$K$192,E$19,'Transaction Entry'!$B$10:$B$192,"Bin M ")</f>
        <v>0</v>
      </c>
      <c r="F21" s="88">
        <f>+SUMIFS('Transaction Entry'!$H$10:$H$192,'Transaction Entry'!$L$10:$L$192,$B21,'Transaction Entry'!$K$10:$K$192,F$19,'Transaction Entry'!$B$10:$B$192,"Bin M ")</f>
        <v>0</v>
      </c>
      <c r="G21" s="88">
        <f>+SUMIFS('Transaction Entry'!$H$10:$H$192,'Transaction Entry'!$L$10:$L$192,$B21,'Transaction Entry'!$K$10:$K$192,G$19,'Transaction Entry'!$B$10:$B$192,"Bin M ")</f>
        <v>0</v>
      </c>
      <c r="H21" s="88">
        <f>+SUMIFS('Transaction Entry'!$H$10:$H$192,'Transaction Entry'!$L$10:$L$192,$B21,'Transaction Entry'!$K$10:$K$192,H$19,'Transaction Entry'!$B$10:$B$192,"Bin M ")</f>
        <v>0</v>
      </c>
      <c r="I21" s="88">
        <f>+SUMIFS('Transaction Entry'!$H$10:$H$192,'Transaction Entry'!$L$10:$L$192,$B21,'Transaction Entry'!$K$10:$K$192,I$19,'Transaction Entry'!$B$10:$B$192,"Bin M ")</f>
        <v>0</v>
      </c>
      <c r="J21" s="88">
        <f>+SUMIFS('Transaction Entry'!$H$10:$H$192,'Transaction Entry'!$L$10:$L$192,$B21,'Transaction Entry'!$K$10:$K$192,J$19,'Transaction Entry'!$B$10:$B$192,"Bin M ")</f>
        <v>0</v>
      </c>
      <c r="K21" s="2"/>
    </row>
    <row r="22" spans="1:11" ht="12.75" customHeight="1" x14ac:dyDescent="0.25">
      <c r="A22" s="2"/>
      <c r="B22" s="150" t="s">
        <v>93</v>
      </c>
      <c r="C22" s="88">
        <f>+SUMIFS('Transaction Entry'!$H$10:$H$192,'Transaction Entry'!$L$10:$L$192,$B22,'Transaction Entry'!$K$10:$K$192,C$19,'Transaction Entry'!$B$10:$B$192,"Bin M ")</f>
        <v>0</v>
      </c>
      <c r="D22" s="88">
        <f>+SUMIFS('Transaction Entry'!$H$10:$H$192,'Transaction Entry'!$L$10:$L$192,$B22,'Transaction Entry'!$K$10:$K$192,D$19,'Transaction Entry'!$B$10:$B$192,"Bin M ")</f>
        <v>0</v>
      </c>
      <c r="E22" s="88">
        <f>+SUMIFS('Transaction Entry'!$H$10:$H$192,'Transaction Entry'!$L$10:$L$192,$B22,'Transaction Entry'!$K$10:$K$192,E$19,'Transaction Entry'!$B$10:$B$192,"Bin M ")</f>
        <v>0</v>
      </c>
      <c r="F22" s="88">
        <f>+SUMIFS('Transaction Entry'!$H$10:$H$192,'Transaction Entry'!$L$10:$L$192,$B22,'Transaction Entry'!$K$10:$K$192,F$19,'Transaction Entry'!$B$10:$B$192,"Bin M ")</f>
        <v>0</v>
      </c>
      <c r="G22" s="88">
        <f>+SUMIFS('Transaction Entry'!$H$10:$H$192,'Transaction Entry'!$L$10:$L$192,$B22,'Transaction Entry'!$K$10:$K$192,G$19,'Transaction Entry'!$B$10:$B$192,"Bin M ")</f>
        <v>0</v>
      </c>
      <c r="H22" s="88">
        <f>+SUMIFS('Transaction Entry'!$H$10:$H$192,'Transaction Entry'!$L$10:$L$192,$B22,'Transaction Entry'!$K$10:$K$192,H$19,'Transaction Entry'!$B$10:$B$192,"Bin M ")</f>
        <v>0</v>
      </c>
      <c r="I22" s="88">
        <f>+SUMIFS('Transaction Entry'!$H$10:$H$192,'Transaction Entry'!$L$10:$L$192,$B22,'Transaction Entry'!$K$10:$K$192,I$19,'Transaction Entry'!$B$10:$B$192,"Bin M ")</f>
        <v>0</v>
      </c>
      <c r="J22" s="88">
        <f>+SUMIFS('Transaction Entry'!$H$10:$H$192,'Transaction Entry'!$L$10:$L$192,$B22,'Transaction Entry'!$K$10:$K$192,J$19,'Transaction Entry'!$B$10:$B$192,"Bin M ")</f>
        <v>0</v>
      </c>
      <c r="K22" s="2"/>
    </row>
    <row r="23" spans="1:11" ht="12.75" customHeight="1" x14ac:dyDescent="0.25">
      <c r="A23" s="2"/>
      <c r="B23" s="150" t="s">
        <v>92</v>
      </c>
      <c r="C23" s="88">
        <f>+SUMIFS('Transaction Entry'!$H$10:$H$192,'Transaction Entry'!$L$10:$L$192,$B23,'Transaction Entry'!$K$10:$K$192,C$19,'Transaction Entry'!$B$10:$B$192,"Bin M ")</f>
        <v>0</v>
      </c>
      <c r="D23" s="88">
        <f>+SUMIFS('Transaction Entry'!$H$10:$H$192,'Transaction Entry'!$L$10:$L$192,$B23,'Transaction Entry'!$K$10:$K$192,D$19,'Transaction Entry'!$B$10:$B$192,"Bin M ")</f>
        <v>0</v>
      </c>
      <c r="E23" s="88">
        <f>+SUMIFS('Transaction Entry'!$H$10:$H$192,'Transaction Entry'!$L$10:$L$192,$B23,'Transaction Entry'!$K$10:$K$192,E$19,'Transaction Entry'!$B$10:$B$192,"Bin M ")</f>
        <v>0</v>
      </c>
      <c r="F23" s="88">
        <f>+SUMIFS('Transaction Entry'!$H$10:$H$192,'Transaction Entry'!$L$10:$L$192,$B23,'Transaction Entry'!$K$10:$K$192,F$19,'Transaction Entry'!$B$10:$B$192,"Bin M ")</f>
        <v>0</v>
      </c>
      <c r="G23" s="88">
        <f>+SUMIFS('Transaction Entry'!$H$10:$H$192,'Transaction Entry'!$L$10:$L$192,$B23,'Transaction Entry'!$K$10:$K$192,G$19,'Transaction Entry'!$B$10:$B$192,"Bin M ")</f>
        <v>0</v>
      </c>
      <c r="H23" s="88">
        <f>+SUMIFS('Transaction Entry'!$H$10:$H$192,'Transaction Entry'!$L$10:$L$192,$B23,'Transaction Entry'!$K$10:$K$192,H$19,'Transaction Entry'!$B$10:$B$192,"Bin M ")</f>
        <v>0</v>
      </c>
      <c r="I23" s="88">
        <f>+SUMIFS('Transaction Entry'!$H$10:$H$192,'Transaction Entry'!$L$10:$L$192,$B23,'Transaction Entry'!$K$10:$K$192,I$19,'Transaction Entry'!$B$10:$B$192,"Bin M ")</f>
        <v>0</v>
      </c>
      <c r="J23" s="88">
        <f>+SUMIFS('Transaction Entry'!$H$10:$H$192,'Transaction Entry'!$L$10:$L$192,$B23,'Transaction Entry'!$K$10:$K$192,J$19,'Transaction Entry'!$B$10:$B$192,"Bin M ")</f>
        <v>0</v>
      </c>
      <c r="K23" s="89"/>
    </row>
    <row r="24" spans="1:11" ht="12.75" customHeight="1" x14ac:dyDescent="0.25">
      <c r="A24" s="2"/>
      <c r="B24" s="150" t="s">
        <v>89</v>
      </c>
      <c r="C24" s="88">
        <f>+SUMIFS('Transaction Entry'!$H$10:$H$192,'Transaction Entry'!$L$10:$L$192,$B24,'Transaction Entry'!$K$10:$K$192,C$19,'Transaction Entry'!$B$10:$B$192,"Bin M ")</f>
        <v>0</v>
      </c>
      <c r="D24" s="88">
        <f>+SUMIFS('Transaction Entry'!$H$10:$H$192,'Transaction Entry'!$L$10:$L$192,$B24,'Transaction Entry'!$K$10:$K$192,D$19,'Transaction Entry'!$B$10:$B$192,"Bin M ")</f>
        <v>0</v>
      </c>
      <c r="E24" s="88">
        <f>+SUMIFS('Transaction Entry'!$H$10:$H$192,'Transaction Entry'!$L$10:$L$192,$B24,'Transaction Entry'!$K$10:$K$192,E$19,'Transaction Entry'!$B$10:$B$192,"Bin M ")</f>
        <v>0</v>
      </c>
      <c r="F24" s="88">
        <f>+SUMIFS('Transaction Entry'!$H$10:$H$192,'Transaction Entry'!$L$10:$L$192,$B24,'Transaction Entry'!$K$10:$K$192,F$19,'Transaction Entry'!$B$10:$B$192,"Bin M ")</f>
        <v>0</v>
      </c>
      <c r="G24" s="88">
        <f>+SUMIFS('Transaction Entry'!$H$10:$H$192,'Transaction Entry'!$L$10:$L$192,$B24,'Transaction Entry'!$K$10:$K$192,G$19,'Transaction Entry'!$B$10:$B$192,"Bin M ")</f>
        <v>0</v>
      </c>
      <c r="H24" s="88">
        <f>+SUMIFS('Transaction Entry'!$H$10:$H$192,'Transaction Entry'!$L$10:$L$192,$B24,'Transaction Entry'!$K$10:$K$192,H$19,'Transaction Entry'!$B$10:$B$192,"Bin M ")</f>
        <v>0</v>
      </c>
      <c r="I24" s="88">
        <f>+SUMIFS('Transaction Entry'!$H$10:$H$192,'Transaction Entry'!$L$10:$L$192,$B24,'Transaction Entry'!$K$10:$K$192,I$19,'Transaction Entry'!$B$10:$B$192,"Bin M ")</f>
        <v>0</v>
      </c>
      <c r="J24" s="88">
        <f>+SUMIFS('Transaction Entry'!$H$10:$H$192,'Transaction Entry'!$L$10:$L$192,$B24,'Transaction Entry'!$K$10:$K$192,J$19,'Transaction Entry'!$B$10:$B$192,"Bin M ")</f>
        <v>0</v>
      </c>
      <c r="K24" s="2"/>
    </row>
    <row r="25" spans="1:11" ht="12.75" customHeight="1" x14ac:dyDescent="0.25">
      <c r="A25" s="2"/>
      <c r="B25" s="150" t="s">
        <v>109</v>
      </c>
      <c r="C25" s="88">
        <f>+SUMIFS('Transaction Entry'!$H$10:$H$192,'Transaction Entry'!$L$10:$L$192,$B25,'Transaction Entry'!$K$10:$K$192,C$19,'Transaction Entry'!$B$10:$B$192,"Bin M ")</f>
        <v>0</v>
      </c>
      <c r="D25" s="88">
        <f>+SUMIFS('Transaction Entry'!$H$10:$H$192,'Transaction Entry'!$L$10:$L$192,$B25,'Transaction Entry'!$K$10:$K$192,D$19,'Transaction Entry'!$B$10:$B$192,"Bin M ")</f>
        <v>0</v>
      </c>
      <c r="E25" s="88">
        <f>+SUMIFS('Transaction Entry'!$H$10:$H$192,'Transaction Entry'!$L$10:$L$192,$B25,'Transaction Entry'!$K$10:$K$192,E$19,'Transaction Entry'!$B$10:$B$192,"Bin M ")</f>
        <v>0</v>
      </c>
      <c r="F25" s="88">
        <f>+SUMIFS('Transaction Entry'!$H$10:$H$192,'Transaction Entry'!$L$10:$L$192,$B25,'Transaction Entry'!$K$10:$K$192,F$19,'Transaction Entry'!$B$10:$B$192,"Bin M ")</f>
        <v>0</v>
      </c>
      <c r="G25" s="88">
        <f>+SUMIFS('Transaction Entry'!$H$10:$H$192,'Transaction Entry'!$L$10:$L$192,$B25,'Transaction Entry'!$K$10:$K$192,G$19,'Transaction Entry'!$B$10:$B$192,"Bin M ")</f>
        <v>0</v>
      </c>
      <c r="H25" s="88">
        <f>+SUMIFS('Transaction Entry'!$H$10:$H$192,'Transaction Entry'!$L$10:$L$192,$B25,'Transaction Entry'!$K$10:$K$192,H$19,'Transaction Entry'!$B$10:$B$192,"Bin M ")</f>
        <v>0</v>
      </c>
      <c r="I25" s="88">
        <f>+SUMIFS('Transaction Entry'!$H$10:$H$192,'Transaction Entry'!$L$10:$L$192,$B25,'Transaction Entry'!$K$10:$K$192,I$19,'Transaction Entry'!$B$10:$B$192,"Bin M ")</f>
        <v>0</v>
      </c>
      <c r="J25" s="88">
        <f>+SUMIFS('Transaction Entry'!$H$10:$H$192,'Transaction Entry'!$L$10:$L$192,$B25,'Transaction Entry'!$K$10:$K$192,J$19,'Transaction Entry'!$B$10:$B$192,"Bin M ")</f>
        <v>0</v>
      </c>
      <c r="K25" s="2"/>
    </row>
    <row r="26" spans="1:11" ht="12.75" customHeight="1" x14ac:dyDescent="0.25">
      <c r="A26" s="2"/>
      <c r="B26" s="150" t="s">
        <v>110</v>
      </c>
      <c r="C26" s="88">
        <f>+SUMIFS('Transaction Entry'!$H$10:$H$192,'Transaction Entry'!$L$10:$L$192,$B26,'Transaction Entry'!$K$10:$K$192,C$19,'Transaction Entry'!$B$10:$B$192,"Bin M ")</f>
        <v>0</v>
      </c>
      <c r="D26" s="88">
        <f>+SUMIFS('Transaction Entry'!$H$10:$H$192,'Transaction Entry'!$L$10:$L$192,$B26,'Transaction Entry'!$K$10:$K$192,D$19,'Transaction Entry'!$B$10:$B$192,"Bin M ")</f>
        <v>0</v>
      </c>
      <c r="E26" s="88">
        <f>+SUMIFS('Transaction Entry'!$H$10:$H$192,'Transaction Entry'!$L$10:$L$192,$B26,'Transaction Entry'!$K$10:$K$192,E$19,'Transaction Entry'!$B$10:$B$192,"Bin M ")</f>
        <v>0</v>
      </c>
      <c r="F26" s="88">
        <f>+SUMIFS('Transaction Entry'!$H$10:$H$192,'Transaction Entry'!$L$10:$L$192,$B26,'Transaction Entry'!$K$10:$K$192,F$19,'Transaction Entry'!$B$10:$B$192,"Bin M ")</f>
        <v>0</v>
      </c>
      <c r="G26" s="88">
        <f>+SUMIFS('Transaction Entry'!$H$10:$H$192,'Transaction Entry'!$L$10:$L$192,$B26,'Transaction Entry'!$K$10:$K$192,G$19,'Transaction Entry'!$B$10:$B$192,"Bin M ")</f>
        <v>0</v>
      </c>
      <c r="H26" s="88">
        <f>+SUMIFS('Transaction Entry'!$H$10:$H$192,'Transaction Entry'!$L$10:$L$192,$B26,'Transaction Entry'!$K$10:$K$192,H$19,'Transaction Entry'!$B$10:$B$192,"Bin M ")</f>
        <v>0</v>
      </c>
      <c r="I26" s="88">
        <f>+SUMIFS('Transaction Entry'!$H$10:$H$192,'Transaction Entry'!$L$10:$L$192,$B26,'Transaction Entry'!$K$10:$K$192,I$19,'Transaction Entry'!$B$10:$B$192,"Bin M ")</f>
        <v>0</v>
      </c>
      <c r="J26" s="88">
        <f>+SUMIFS('Transaction Entry'!$H$10:$H$192,'Transaction Entry'!$L$10:$L$192,$B26,'Transaction Entry'!$K$10:$K$192,J$19,'Transaction Entry'!$B$10:$B$192,"Bin M ")</f>
        <v>0</v>
      </c>
      <c r="K26" s="2"/>
    </row>
    <row r="27" spans="1:11" ht="12.75" customHeight="1" x14ac:dyDescent="0.25">
      <c r="A27" s="2"/>
      <c r="B27" s="150" t="s">
        <v>111</v>
      </c>
      <c r="C27" s="88">
        <f>+SUMIFS('Transaction Entry'!$H$10:$H$192,'Transaction Entry'!$L$10:$L$192,$B27,'Transaction Entry'!$K$10:$K$192,C$19,'Transaction Entry'!$B$10:$B$192,"Bin M ")</f>
        <v>0</v>
      </c>
      <c r="D27" s="88">
        <f>+SUMIFS('Transaction Entry'!$H$10:$H$192,'Transaction Entry'!$L$10:$L$192,$B27,'Transaction Entry'!$K$10:$K$192,D$19,'Transaction Entry'!$B$10:$B$192,"Bin M ")</f>
        <v>0</v>
      </c>
      <c r="E27" s="88">
        <f>+SUMIFS('Transaction Entry'!$H$10:$H$192,'Transaction Entry'!$L$10:$L$192,$B27,'Transaction Entry'!$K$10:$K$192,E$19,'Transaction Entry'!$B$10:$B$192,"Bin M ")</f>
        <v>0</v>
      </c>
      <c r="F27" s="88">
        <f>+SUMIFS('Transaction Entry'!$H$10:$H$192,'Transaction Entry'!$L$10:$L$192,$B27,'Transaction Entry'!$K$10:$K$192,F$19,'Transaction Entry'!$B$10:$B$192,"Bin M ")</f>
        <v>0</v>
      </c>
      <c r="G27" s="88">
        <f>+SUMIFS('Transaction Entry'!$H$10:$H$192,'Transaction Entry'!$L$10:$L$192,$B27,'Transaction Entry'!$K$10:$K$192,G$19,'Transaction Entry'!$B$10:$B$192,"Bin M ")</f>
        <v>0</v>
      </c>
      <c r="H27" s="88">
        <f>+SUMIFS('Transaction Entry'!$H$10:$H$192,'Transaction Entry'!$L$10:$L$192,$B27,'Transaction Entry'!$K$10:$K$192,H$19,'Transaction Entry'!$B$10:$B$192,"Bin M ")</f>
        <v>0</v>
      </c>
      <c r="I27" s="88">
        <f>+SUMIFS('Transaction Entry'!$H$10:$H$192,'Transaction Entry'!$L$10:$L$192,$B27,'Transaction Entry'!$K$10:$K$192,I$19,'Transaction Entry'!$B$10:$B$192,"Bin M ")</f>
        <v>0</v>
      </c>
      <c r="J27" s="88">
        <f>+SUMIFS('Transaction Entry'!$H$10:$H$192,'Transaction Entry'!$L$10:$L$192,$B27,'Transaction Entry'!$K$10:$K$192,J$19,'Transaction Entry'!$B$10:$B$192,"Bin M ")</f>
        <v>0</v>
      </c>
      <c r="K27" s="2"/>
    </row>
    <row r="28" spans="1:11" ht="12.75" customHeight="1" x14ac:dyDescent="0.25">
      <c r="A28" s="2"/>
      <c r="B28" s="136"/>
      <c r="C28" s="3"/>
      <c r="D28" s="22"/>
      <c r="E28" s="10"/>
      <c r="F28" s="19"/>
      <c r="G28" s="10"/>
      <c r="H28" s="10"/>
      <c r="I28" s="2"/>
      <c r="J28" s="2"/>
      <c r="K28" s="2"/>
    </row>
    <row r="29" spans="1:11" ht="12.75" customHeight="1" x14ac:dyDescent="0.25">
      <c r="A29" s="2"/>
      <c r="B29" s="136"/>
      <c r="C29" s="3"/>
      <c r="D29" s="22"/>
      <c r="E29" s="10"/>
      <c r="F29" s="19"/>
      <c r="G29" s="19"/>
      <c r="H29" s="10"/>
      <c r="I29" s="2"/>
      <c r="J29" s="2"/>
      <c r="K29" s="2"/>
    </row>
    <row r="30" spans="1:11" ht="12.75" customHeight="1" x14ac:dyDescent="0.25">
      <c r="A30" s="2"/>
      <c r="B30" s="2"/>
      <c r="C30" s="28" t="s">
        <v>68</v>
      </c>
      <c r="D30" s="57" t="s">
        <v>99</v>
      </c>
      <c r="E30" s="57" t="s">
        <v>99</v>
      </c>
      <c r="F30" s="57" t="s">
        <v>99</v>
      </c>
      <c r="G30" s="57" t="s">
        <v>99</v>
      </c>
      <c r="H30" s="57" t="s">
        <v>99</v>
      </c>
      <c r="I30" s="2"/>
      <c r="J30" s="2"/>
      <c r="K30" s="2"/>
    </row>
    <row r="31" spans="1:11" ht="12.75" customHeight="1" x14ac:dyDescent="0.25">
      <c r="A31" s="2"/>
      <c r="B31" s="152" t="s">
        <v>107</v>
      </c>
      <c r="C31" s="90" t="s">
        <v>79</v>
      </c>
      <c r="D31" s="5" t="s">
        <v>108</v>
      </c>
      <c r="E31" s="57" t="s">
        <v>112</v>
      </c>
      <c r="F31" s="57" t="s">
        <v>113</v>
      </c>
      <c r="G31" s="57" t="s">
        <v>114</v>
      </c>
      <c r="H31" s="57" t="s">
        <v>68</v>
      </c>
      <c r="I31" s="2"/>
      <c r="J31" s="2"/>
      <c r="K31" s="2"/>
    </row>
    <row r="32" spans="1:11" ht="12.75" customHeight="1" x14ac:dyDescent="0.25">
      <c r="A32" s="2"/>
      <c r="B32" s="150" t="s">
        <v>98</v>
      </c>
      <c r="C32" s="48">
        <f>IF(+SUMIF('Transaction Entry'!$K$10:$K$191,B32,'Transaction Entry'!$H$10:$H$191)=0,0,+SUMPRODUCT(--('Transaction Entry'!$K$10:$K$191=B32),'Transaction Entry'!$J$10:$J$191,'Transaction Entry'!$H$10:$H$191)/+SUMIF('Transaction Entry'!$K$10:$K$191,B32,'Transaction Entry'!$H$10:$H$191))</f>
        <v>0</v>
      </c>
      <c r="D32" s="12">
        <f t="shared" ref="D32:D38" si="7">+SUM(C21:J21)</f>
        <v>0</v>
      </c>
      <c r="E32" s="12">
        <f>+SUMIFS('Transaction Entry'!$H$10:$H$192,'Transaction Entry'!$B$10:$B$192,"WTB",'Transaction Entry'!$L$10:$L$192,B32)</f>
        <v>0</v>
      </c>
      <c r="F32" s="12">
        <f t="shared" ref="F32:F38" si="8">+D32+E32</f>
        <v>0</v>
      </c>
      <c r="G32" s="12">
        <f>F32-SUMIFS('Transaction Entry'!H$10:H$192,'Transaction Entry'!$L$10:$L$192,B32,'Transaction Entry'!$B$10:$B$192,"Bin")</f>
        <v>0</v>
      </c>
      <c r="H32" s="12">
        <f t="shared" ref="H32:H38" si="9">+F32-G32</f>
        <v>0</v>
      </c>
      <c r="I32" s="2"/>
      <c r="J32" s="2"/>
      <c r="K32" s="2"/>
    </row>
    <row r="33" spans="1:11" ht="12.75" customHeight="1" x14ac:dyDescent="0.25">
      <c r="A33" s="2"/>
      <c r="B33" s="150" t="s">
        <v>93</v>
      </c>
      <c r="C33" s="48">
        <f>IF(+SUMIF('Transaction Entry'!$K$10:$K$191,B33,'Transaction Entry'!$H$10:$H$191)=0,0,+SUMPRODUCT(--('Transaction Entry'!$K$10:$K$191=B33),'Transaction Entry'!$J$10:$J$191,'Transaction Entry'!$H$10:$H$191)/+SUMIF('Transaction Entry'!$K$10:$K$191,B33,'Transaction Entry'!$H$10:$H$191))</f>
        <v>0</v>
      </c>
      <c r="D33" s="12">
        <f t="shared" si="7"/>
        <v>0</v>
      </c>
      <c r="E33" s="12">
        <f>+SUMIFS('Transaction Entry'!$H$10:$H$192,'Transaction Entry'!$B$10:$B$192,"WTB",'Transaction Entry'!$L$10:$L$192,B33)</f>
        <v>0</v>
      </c>
      <c r="F33" s="12">
        <f t="shared" si="8"/>
        <v>0</v>
      </c>
      <c r="G33" s="12">
        <f>F33-SUMIFS('Transaction Entry'!H$10:H$192,'Transaction Entry'!$L$10:$L$192,B33,'Transaction Entry'!$B$10:$B$192,"Bin")</f>
        <v>0</v>
      </c>
      <c r="H33" s="12">
        <f t="shared" si="9"/>
        <v>0</v>
      </c>
      <c r="I33" s="2"/>
      <c r="J33" s="2"/>
      <c r="K33" s="2"/>
    </row>
    <row r="34" spans="1:11" ht="12.75" customHeight="1" x14ac:dyDescent="0.25">
      <c r="A34" s="2"/>
      <c r="B34" s="150" t="s">
        <v>92</v>
      </c>
      <c r="C34" s="48">
        <f>IF(+SUMIF('Transaction Entry'!$K$10:$K$191,B34,'Transaction Entry'!$H$10:$H$191)=0,0,+SUMPRODUCT(--('Transaction Entry'!$K$10:$K$191=B34),'Transaction Entry'!$J$10:$J$191,'Transaction Entry'!$H$10:$H$191)/+SUMIF('Transaction Entry'!$K$10:$K$191,B34,'Transaction Entry'!$H$10:$H$191))</f>
        <v>0</v>
      </c>
      <c r="D34" s="12">
        <f t="shared" si="7"/>
        <v>0</v>
      </c>
      <c r="E34" s="12">
        <f>+SUMIFS('Transaction Entry'!$H$10:$H$192,'Transaction Entry'!$B$10:$B$192,"WTB",'Transaction Entry'!$L$10:$L$192,B34)</f>
        <v>0</v>
      </c>
      <c r="F34" s="12">
        <f t="shared" si="8"/>
        <v>0</v>
      </c>
      <c r="G34" s="12">
        <f>F34-SUMIFS('Transaction Entry'!H$10:H$192,'Transaction Entry'!$L$10:$L$192,B34,'Transaction Entry'!$B$10:$B$192,"Bin")</f>
        <v>0</v>
      </c>
      <c r="H34" s="12">
        <f t="shared" si="9"/>
        <v>0</v>
      </c>
      <c r="I34" s="2"/>
      <c r="J34" s="2"/>
      <c r="K34" s="2"/>
    </row>
    <row r="35" spans="1:11" ht="12.75" customHeight="1" x14ac:dyDescent="0.25">
      <c r="A35" s="2"/>
      <c r="B35" s="150" t="s">
        <v>89</v>
      </c>
      <c r="C35" s="48">
        <f>IF(+SUMIF('Transaction Entry'!$K$10:$K$191,B35,'Transaction Entry'!$H$10:$H$191)=0,0,+SUMPRODUCT(--('Transaction Entry'!$K$10:$K$191=B35),'Transaction Entry'!$J$10:$J$191,'Transaction Entry'!$H$10:$H$191)/+SUMIF('Transaction Entry'!$K$10:$K$191,B35,'Transaction Entry'!$H$10:$H$191))</f>
        <v>0</v>
      </c>
      <c r="D35" s="12">
        <f t="shared" si="7"/>
        <v>0</v>
      </c>
      <c r="E35" s="12">
        <f>+SUMIFS('Transaction Entry'!$H$10:$H$192,'Transaction Entry'!$B$10:$B$192,"WTB",'Transaction Entry'!$L$10:$L$192,B35)</f>
        <v>0</v>
      </c>
      <c r="F35" s="12">
        <f t="shared" si="8"/>
        <v>0</v>
      </c>
      <c r="G35" s="12">
        <f>F35-SUMIFS('Transaction Entry'!H$10:H$192,'Transaction Entry'!$L$10:$L$192,B35,'Transaction Entry'!$B$10:$B$192,"Bin")</f>
        <v>0</v>
      </c>
      <c r="H35" s="12">
        <f t="shared" si="9"/>
        <v>0</v>
      </c>
      <c r="I35" s="2"/>
      <c r="J35" s="2"/>
      <c r="K35" s="2"/>
    </row>
    <row r="36" spans="1:11" ht="12.75" customHeight="1" x14ac:dyDescent="0.25">
      <c r="A36" s="2"/>
      <c r="B36" s="150" t="s">
        <v>109</v>
      </c>
      <c r="C36" s="48">
        <f>IF(+SUMIF('Transaction Entry'!$K$10:$K$191,B36,'Transaction Entry'!$H$10:$H$191)=0,0,+SUMPRODUCT(--('Transaction Entry'!$K$10:$K$191=B36),'Transaction Entry'!$J$10:$J$191,'Transaction Entry'!$H$10:$H$191)/+SUMIF('Transaction Entry'!$K$10:$K$191,B36,'Transaction Entry'!$H$10:$H$191))</f>
        <v>0</v>
      </c>
      <c r="D36" s="12">
        <f t="shared" si="7"/>
        <v>0</v>
      </c>
      <c r="E36" s="12">
        <f>+SUMIFS('Transaction Entry'!$H$10:$H$192,'Transaction Entry'!$B$10:$B$192,"WTB",'Transaction Entry'!$L$10:$L$192,B36)</f>
        <v>0</v>
      </c>
      <c r="F36" s="12">
        <f t="shared" si="8"/>
        <v>0</v>
      </c>
      <c r="G36" s="12">
        <f>F36-SUMIFS('Transaction Entry'!H$10:H$192,'Transaction Entry'!$L$10:$L$192,B36,'Transaction Entry'!$B$10:$B$192,"Bin")</f>
        <v>0</v>
      </c>
      <c r="H36" s="12">
        <f t="shared" si="9"/>
        <v>0</v>
      </c>
      <c r="I36" s="2"/>
      <c r="J36" s="2"/>
      <c r="K36" s="2"/>
    </row>
    <row r="37" spans="1:11" ht="12.75" customHeight="1" x14ac:dyDescent="0.25">
      <c r="A37" s="2"/>
      <c r="B37" s="150" t="s">
        <v>110</v>
      </c>
      <c r="C37" s="48">
        <f>IF(+SUMIF('Transaction Entry'!$K$10:$K$191,B37,'Transaction Entry'!$H$10:$H$191)=0,0,+SUMPRODUCT(--('Transaction Entry'!$K$10:$K$191=B37),'Transaction Entry'!$J$10:$J$191,'Transaction Entry'!$H$10:$H$191)/+SUMIF('Transaction Entry'!$K$10:$K$191,B37,'Transaction Entry'!$H$10:$H$191))</f>
        <v>0</v>
      </c>
      <c r="D37" s="12">
        <f t="shared" si="7"/>
        <v>0</v>
      </c>
      <c r="E37" s="12">
        <f>+SUMIFS('Transaction Entry'!$H$10:$H$192,'Transaction Entry'!$B$10:$B$192,"WTB",'Transaction Entry'!$L$10:$L$192,B37)</f>
        <v>0</v>
      </c>
      <c r="F37" s="12">
        <f t="shared" si="8"/>
        <v>0</v>
      </c>
      <c r="G37" s="12">
        <f>F37-SUMIFS('Transaction Entry'!H$10:H$192,'Transaction Entry'!$L$10:$L$192,B37,'Transaction Entry'!$B$10:$B$192,"Bin")</f>
        <v>0</v>
      </c>
      <c r="H37" s="12">
        <f t="shared" si="9"/>
        <v>0</v>
      </c>
      <c r="I37" s="2"/>
      <c r="J37" s="2"/>
      <c r="K37" s="2"/>
    </row>
    <row r="38" spans="1:11" ht="12.75" customHeight="1" x14ac:dyDescent="0.25">
      <c r="A38" s="2"/>
      <c r="B38" s="150" t="s">
        <v>111</v>
      </c>
      <c r="C38" s="48">
        <f>IF(+SUMIF('Transaction Entry'!$K$10:$K$191,B38,'Transaction Entry'!$H$10:$H$191)=0,0,+SUMPRODUCT(--('Transaction Entry'!$K$10:$K$191=B38),'Transaction Entry'!$J$10:$J$191,'Transaction Entry'!$H$10:$H$191)/+SUMIF('Transaction Entry'!$K$10:$K$191,B38,'Transaction Entry'!$H$10:$H$191))</f>
        <v>0</v>
      </c>
      <c r="D38" s="12">
        <f t="shared" si="7"/>
        <v>0</v>
      </c>
      <c r="E38" s="12">
        <f>+SUMIFS('Transaction Entry'!$H$10:$H$192,'Transaction Entry'!$B$10:$B$192,"WTB",'Transaction Entry'!$L$10:$L$192,B38)</f>
        <v>0</v>
      </c>
      <c r="F38" s="12">
        <f t="shared" si="8"/>
        <v>0</v>
      </c>
      <c r="G38" s="12">
        <f>F38-SUMIFS('Transaction Entry'!H$10:H$192,'Transaction Entry'!$L$10:$L$192,B38,'Transaction Entry'!$B$10:$B$192,"Bin")</f>
        <v>0</v>
      </c>
      <c r="H38" s="12">
        <f t="shared" si="9"/>
        <v>0</v>
      </c>
      <c r="I38" s="2"/>
      <c r="J38" s="2"/>
      <c r="K38" s="2"/>
    </row>
    <row r="39" spans="1:11" ht="12.75" customHeight="1" x14ac:dyDescent="0.3">
      <c r="A39" s="2"/>
      <c r="B39" s="151"/>
      <c r="C39" s="28" t="s">
        <v>51</v>
      </c>
      <c r="D39" s="61">
        <f t="shared" ref="D39:H39" si="10">+SUM(D32:D38)</f>
        <v>0</v>
      </c>
      <c r="E39" s="61">
        <f t="shared" si="10"/>
        <v>0</v>
      </c>
      <c r="F39" s="61">
        <f t="shared" si="10"/>
        <v>0</v>
      </c>
      <c r="G39" s="61">
        <f t="shared" si="10"/>
        <v>0</v>
      </c>
      <c r="H39" s="61">
        <f t="shared" si="10"/>
        <v>0</v>
      </c>
      <c r="I39" s="2"/>
      <c r="J39" s="2"/>
      <c r="K39" s="2"/>
    </row>
    <row r="40" spans="1:11" ht="12.75" customHeight="1" x14ac:dyDescent="0.25">
      <c r="A40" s="2"/>
      <c r="B40" s="136"/>
      <c r="C40" s="2"/>
      <c r="D40" s="2"/>
      <c r="E40" s="2"/>
      <c r="F40" s="22"/>
      <c r="G40" s="2"/>
      <c r="H40" s="2"/>
      <c r="I40" s="2"/>
      <c r="J40" s="2"/>
      <c r="K40" s="2"/>
    </row>
    <row r="41" spans="1:11" ht="12.75" customHeight="1" x14ac:dyDescent="0.25">
      <c r="B41" s="151"/>
      <c r="F41" s="22"/>
      <c r="K41" s="2"/>
    </row>
    <row r="42" spans="1:11" ht="12.75" customHeight="1" x14ac:dyDescent="0.25">
      <c r="B42" s="151"/>
      <c r="K42" s="2"/>
    </row>
    <row r="43" spans="1:11" ht="12.75" customHeight="1" x14ac:dyDescent="0.25">
      <c r="K43" s="2"/>
    </row>
    <row r="44" spans="1:11" ht="12.75" customHeight="1" x14ac:dyDescent="0.25">
      <c r="K44" s="58"/>
    </row>
    <row r="45" spans="1:11" ht="12.75" customHeight="1" x14ac:dyDescent="0.25">
      <c r="K45" s="2"/>
    </row>
    <row r="46" spans="1:11" ht="12.75" customHeight="1" x14ac:dyDescent="0.25">
      <c r="K46" s="2"/>
    </row>
    <row r="47" spans="1:11" ht="12.75" customHeight="1" x14ac:dyDescent="0.25">
      <c r="K47" s="2"/>
    </row>
    <row r="48" spans="1:11" ht="12.75" customHeight="1" x14ac:dyDescent="0.25">
      <c r="K48" s="2"/>
    </row>
    <row r="49" spans="1:11" ht="12.75" customHeight="1" x14ac:dyDescent="0.25">
      <c r="K49" s="2"/>
    </row>
    <row r="50" spans="1:11" ht="12.75" customHeight="1" x14ac:dyDescent="0.25">
      <c r="K50" s="2"/>
    </row>
    <row r="51" spans="1:11" ht="12.75" customHeight="1" x14ac:dyDescent="0.25">
      <c r="K51" s="2"/>
    </row>
    <row r="52" spans="1:11" ht="12.75" customHeight="1" x14ac:dyDescent="0.25">
      <c r="K52" s="2"/>
    </row>
    <row r="53" spans="1:11" ht="12.75" customHeight="1" x14ac:dyDescent="0.25">
      <c r="K53" s="2"/>
    </row>
    <row r="54" spans="1:11" ht="12.75" customHeight="1" x14ac:dyDescent="0.25">
      <c r="A54" s="46"/>
      <c r="B54" s="65"/>
      <c r="C54" s="65"/>
      <c r="D54" s="65"/>
      <c r="E54" s="65"/>
      <c r="F54" s="65"/>
      <c r="G54" s="65"/>
      <c r="H54" s="65"/>
      <c r="I54" s="65"/>
      <c r="J54" s="65"/>
      <c r="K54" s="2"/>
    </row>
    <row r="55" spans="1:11" ht="12.75" customHeight="1" x14ac:dyDescent="0.3">
      <c r="A55" s="87"/>
      <c r="B55" s="60"/>
      <c r="C55" s="45"/>
      <c r="D55" s="45"/>
      <c r="E55" s="45"/>
      <c r="F55" s="45"/>
      <c r="G55" s="45"/>
      <c r="H55" s="45"/>
      <c r="I55" s="45"/>
      <c r="J55" s="45"/>
      <c r="K55" s="91"/>
    </row>
    <row r="56" spans="1:11" ht="12.75" customHeight="1" x14ac:dyDescent="0.25"/>
    <row r="57" spans="1:11" ht="12.75" customHeight="1" x14ac:dyDescent="0.25"/>
    <row r="58" spans="1:11" ht="12.75" customHeight="1" x14ac:dyDescent="0.25"/>
    <row r="59" spans="1:11" ht="12.75" customHeight="1" x14ac:dyDescent="0.25"/>
    <row r="60" spans="1:11" ht="12.75" customHeight="1" x14ac:dyDescent="0.25"/>
    <row r="61" spans="1:11" ht="12.75" customHeight="1" x14ac:dyDescent="0.25"/>
    <row r="62" spans="1:11" ht="12.75" customHeight="1" x14ac:dyDescent="0.25"/>
    <row r="63" spans="1:11" ht="12.75" customHeight="1" x14ac:dyDescent="0.25"/>
    <row r="64" spans="1:11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sheetProtection sheet="1" objects="1" scenarios="1" selectLockedCells="1"/>
  <hyperlinks>
    <hyperlink ref="A11" r:id="rId1" xr:uid="{00000000-0004-0000-0300-000000000000}"/>
    <hyperlink ref="B20" r:id="rId2" xr:uid="{00000000-0004-0000-0300-000001000000}"/>
    <hyperlink ref="B31" r:id="rId3" xr:uid="{00000000-0004-0000-0300-000002000000}"/>
  </hyperlink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'Drop Lists'!$A$3:$A$15</xm:f>
          </x14:formula1>
          <xm:sqref>C19:J19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1"/>
  <sheetViews>
    <sheetView workbookViewId="0">
      <selection activeCell="A2" sqref="A2"/>
    </sheetView>
  </sheetViews>
  <sheetFormatPr defaultColWidth="12.6640625" defaultRowHeight="15" customHeight="1" x14ac:dyDescent="0.25"/>
  <cols>
    <col min="1" max="1" width="15.44140625" customWidth="1"/>
    <col min="2" max="2" width="14.77734375" customWidth="1"/>
    <col min="3" max="3" width="10.33203125" customWidth="1"/>
    <col min="4" max="4" width="11.44140625" customWidth="1"/>
    <col min="5" max="5" width="11.21875" customWidth="1"/>
    <col min="6" max="6" width="12.21875" customWidth="1"/>
    <col min="7" max="7" width="10.109375" customWidth="1"/>
    <col min="8" max="26" width="8.6640625" customWidth="1"/>
  </cols>
  <sheetData>
    <row r="1" spans="1:11" ht="12.75" customHeight="1" x14ac:dyDescent="0.25">
      <c r="A1" s="107" t="s">
        <v>177</v>
      </c>
      <c r="B1" s="65"/>
      <c r="C1" s="65"/>
      <c r="D1" s="65"/>
      <c r="E1" s="65"/>
      <c r="F1" s="65"/>
      <c r="G1" s="65"/>
      <c r="H1" s="65"/>
      <c r="I1" s="65"/>
      <c r="J1" s="65"/>
      <c r="K1" s="2"/>
    </row>
    <row r="2" spans="1:11" ht="12.75" customHeight="1" x14ac:dyDescent="0.25">
      <c r="A2" s="165"/>
      <c r="B2" s="65"/>
      <c r="C2" s="65"/>
      <c r="D2" s="107" t="s">
        <v>2</v>
      </c>
      <c r="E2" s="65"/>
      <c r="F2" s="65"/>
      <c r="G2" s="65"/>
      <c r="H2" s="65"/>
      <c r="I2" s="65"/>
      <c r="J2" s="65"/>
      <c r="K2" s="2"/>
    </row>
    <row r="3" spans="1:11" ht="12.75" customHeight="1" x14ac:dyDescent="0.25">
      <c r="A3" s="127" t="s">
        <v>115</v>
      </c>
      <c r="B3" s="65"/>
      <c r="C3" s="65"/>
      <c r="D3" s="127" t="s">
        <v>116</v>
      </c>
      <c r="E3" s="65"/>
      <c r="F3" s="65"/>
      <c r="G3" s="65"/>
      <c r="H3" s="65"/>
      <c r="I3" s="65"/>
      <c r="J3" s="65"/>
      <c r="K3" s="2"/>
    </row>
    <row r="4" spans="1:11" ht="12.75" customHeight="1" x14ac:dyDescent="0.25">
      <c r="A4" s="127" t="s">
        <v>117</v>
      </c>
      <c r="B4" s="65"/>
      <c r="C4" s="65"/>
      <c r="D4" s="127" t="s">
        <v>118</v>
      </c>
      <c r="E4" s="65"/>
      <c r="F4" s="65"/>
      <c r="G4" s="65"/>
      <c r="H4" s="65"/>
      <c r="I4" s="65"/>
      <c r="J4" s="65"/>
      <c r="K4" s="2"/>
    </row>
    <row r="5" spans="1:11" ht="12.75" customHeight="1" x14ac:dyDescent="0.25">
      <c r="A5" s="92" t="s">
        <v>119</v>
      </c>
      <c r="B5" s="81"/>
      <c r="C5" s="65"/>
      <c r="D5" s="127" t="s">
        <v>120</v>
      </c>
      <c r="E5" s="65"/>
      <c r="F5" s="65"/>
      <c r="G5" s="65"/>
      <c r="H5" s="65"/>
      <c r="I5" s="65"/>
      <c r="J5" s="65"/>
      <c r="K5" s="2"/>
    </row>
    <row r="6" spans="1:11" ht="12.75" customHeight="1" x14ac:dyDescent="0.25">
      <c r="A6" s="92" t="s">
        <v>121</v>
      </c>
      <c r="B6" s="93"/>
      <c r="C6" s="65"/>
      <c r="D6" s="154" t="s">
        <v>122</v>
      </c>
      <c r="E6" s="65"/>
      <c r="F6" s="2"/>
      <c r="G6" s="65"/>
      <c r="H6" s="65"/>
      <c r="I6" s="65"/>
      <c r="J6" s="65"/>
      <c r="K6" s="2"/>
    </row>
    <row r="7" spans="1:11" ht="12.75" customHeight="1" x14ac:dyDescent="0.25">
      <c r="A7" s="92"/>
      <c r="B7" s="93"/>
      <c r="C7" s="65"/>
      <c r="D7" s="127" t="s">
        <v>123</v>
      </c>
      <c r="E7" s="65"/>
      <c r="F7" s="2"/>
      <c r="G7" s="65"/>
      <c r="H7" s="65"/>
      <c r="I7" s="65"/>
      <c r="J7" s="65"/>
      <c r="K7" s="2"/>
    </row>
    <row r="8" spans="1:11" ht="12.75" customHeight="1" x14ac:dyDescent="0.3">
      <c r="A8" s="60" t="s">
        <v>124</v>
      </c>
      <c r="B8" s="155">
        <v>5.91</v>
      </c>
      <c r="C8" s="31"/>
      <c r="D8" s="127" t="s">
        <v>107</v>
      </c>
      <c r="E8" s="31"/>
      <c r="F8" s="31"/>
      <c r="G8" s="31"/>
      <c r="H8" s="31"/>
      <c r="I8" s="31"/>
      <c r="J8" s="31"/>
      <c r="K8" s="2"/>
    </row>
    <row r="9" spans="1:11" ht="12.75" customHeight="1" x14ac:dyDescent="0.3">
      <c r="A9" s="60" t="s">
        <v>125</v>
      </c>
      <c r="B9" s="155">
        <v>4.88</v>
      </c>
      <c r="C9" s="26"/>
      <c r="D9" s="31"/>
      <c r="E9" s="31"/>
      <c r="F9" s="31"/>
      <c r="G9" s="31"/>
      <c r="H9" s="95"/>
      <c r="I9" s="64"/>
      <c r="J9" s="64"/>
      <c r="K9" s="2"/>
    </row>
    <row r="10" spans="1:11" ht="12.75" customHeight="1" x14ac:dyDescent="0.3">
      <c r="A10" s="60" t="s">
        <v>126</v>
      </c>
      <c r="B10" s="10">
        <f>+IF(B8&gt;=B9,B8,B9)</f>
        <v>5.91</v>
      </c>
      <c r="C10" s="31"/>
      <c r="E10" s="31"/>
      <c r="F10" s="31"/>
      <c r="G10" s="31"/>
      <c r="H10" s="95"/>
      <c r="I10" s="64"/>
      <c r="J10" s="64"/>
      <c r="K10" s="2"/>
    </row>
    <row r="11" spans="1:11" ht="12.75" customHeight="1" x14ac:dyDescent="0.3">
      <c r="A11" s="60" t="s">
        <v>127</v>
      </c>
      <c r="B11" s="96">
        <f>IF(B9=0,0,IF(B8&lt;B9,0,+B8/B9))</f>
        <v>1.2110655737704918</v>
      </c>
      <c r="C11" s="2"/>
      <c r="D11" s="10"/>
      <c r="E11" s="60"/>
      <c r="F11" s="60"/>
      <c r="G11" s="60"/>
      <c r="H11" s="97"/>
      <c r="I11" s="60"/>
      <c r="J11" s="60"/>
      <c r="K11" s="2"/>
    </row>
    <row r="12" spans="1:11" ht="12.75" customHeight="1" x14ac:dyDescent="0.3">
      <c r="A12" s="60" t="s">
        <v>128</v>
      </c>
      <c r="B12" s="10">
        <f>+IF(B8&gt;=B9,B8-B9,0)</f>
        <v>1.0300000000000002</v>
      </c>
      <c r="C12" s="2"/>
      <c r="D12" s="10"/>
      <c r="E12" s="60"/>
      <c r="F12" s="60"/>
      <c r="G12" s="60"/>
      <c r="H12" s="97"/>
      <c r="I12" s="60"/>
      <c r="J12" s="60"/>
      <c r="K12" s="2"/>
    </row>
    <row r="13" spans="1:11" ht="12.75" customHeight="1" x14ac:dyDescent="0.3">
      <c r="A13" s="60"/>
      <c r="B13" s="60" t="s">
        <v>129</v>
      </c>
      <c r="C13" s="156">
        <v>1527</v>
      </c>
      <c r="D13" s="156">
        <v>2794</v>
      </c>
      <c r="E13" s="157">
        <v>2791</v>
      </c>
      <c r="F13" s="157">
        <v>780</v>
      </c>
      <c r="G13" s="157">
        <v>780</v>
      </c>
      <c r="H13" s="158"/>
      <c r="I13" s="159"/>
      <c r="J13" s="159"/>
      <c r="K13" s="2"/>
    </row>
    <row r="14" spans="1:11" ht="12.75" customHeight="1" x14ac:dyDescent="0.25">
      <c r="A14" s="2"/>
      <c r="B14" s="2"/>
      <c r="C14" s="28" t="str">
        <f>+'Production-Inventory'!C19</f>
        <v>HBF</v>
      </c>
      <c r="D14" s="28" t="str">
        <f>+'Production-Inventory'!D19</f>
        <v>Switzer</v>
      </c>
      <c r="E14" s="28" t="str">
        <f>+'Production-Inventory'!E19</f>
        <v>Spanjer</v>
      </c>
      <c r="F14" s="28" t="str">
        <f>+'Production-Inventory'!F19</f>
        <v>East Youngs</v>
      </c>
      <c r="G14" s="28" t="str">
        <f>+'Production-Inventory'!G19</f>
        <v>West Youngs</v>
      </c>
      <c r="H14" s="28" t="str">
        <f>+'Production-Inventory'!H19</f>
        <v>Tower</v>
      </c>
      <c r="I14" s="28" t="str">
        <f>+'Production-Inventory'!I19</f>
        <v>Young #2</v>
      </c>
      <c r="J14" s="28" t="str">
        <f>+'Production-Inventory'!J19</f>
        <v>Dads</v>
      </c>
      <c r="K14" s="2"/>
    </row>
    <row r="15" spans="1:11" ht="12.75" customHeight="1" x14ac:dyDescent="0.3">
      <c r="B15" s="60" t="s">
        <v>102</v>
      </c>
      <c r="C15" s="161">
        <v>137.69999999999999</v>
      </c>
      <c r="D15" s="161">
        <v>117</v>
      </c>
      <c r="E15" s="161">
        <v>122</v>
      </c>
      <c r="F15" s="161">
        <v>122.6</v>
      </c>
      <c r="G15" s="161">
        <v>123.3</v>
      </c>
      <c r="H15" s="161">
        <v>139.13</v>
      </c>
      <c r="I15" s="161">
        <v>163.12</v>
      </c>
      <c r="J15" s="161">
        <v>145.85</v>
      </c>
      <c r="K15" s="42"/>
    </row>
    <row r="16" spans="1:11" ht="12.75" customHeight="1" x14ac:dyDescent="0.3">
      <c r="B16" s="60" t="s">
        <v>130</v>
      </c>
      <c r="C16" s="162">
        <v>0.5</v>
      </c>
      <c r="D16" s="162">
        <v>0.5</v>
      </c>
      <c r="E16" s="162">
        <v>0.5</v>
      </c>
      <c r="F16" s="162">
        <v>0.5</v>
      </c>
      <c r="G16" s="162">
        <v>0.5</v>
      </c>
      <c r="H16" s="162">
        <v>1</v>
      </c>
      <c r="I16" s="162">
        <v>0.5</v>
      </c>
      <c r="J16" s="162">
        <v>0.5</v>
      </c>
      <c r="K16" s="75"/>
    </row>
    <row r="17" spans="1:11" ht="12.75" customHeight="1" x14ac:dyDescent="0.3">
      <c r="B17" s="60" t="s">
        <v>131</v>
      </c>
      <c r="C17" s="161">
        <v>210</v>
      </c>
      <c r="D17" s="161">
        <v>216</v>
      </c>
      <c r="E17" s="161">
        <v>204</v>
      </c>
      <c r="F17" s="161">
        <v>193</v>
      </c>
      <c r="G17" s="161">
        <v>193</v>
      </c>
      <c r="H17" s="161">
        <v>67.066292915498693</v>
      </c>
      <c r="I17" s="161">
        <v>74</v>
      </c>
      <c r="J17" s="161">
        <v>79</v>
      </c>
      <c r="K17" s="42"/>
    </row>
    <row r="18" spans="1:11" ht="12.75" customHeight="1" x14ac:dyDescent="0.3">
      <c r="B18" s="60" t="s">
        <v>201</v>
      </c>
      <c r="C18" s="12">
        <f>+C15*C17</f>
        <v>28916.999999999996</v>
      </c>
      <c r="D18" s="12">
        <f t="shared" ref="D18:J18" si="0">+D15*D17</f>
        <v>25272</v>
      </c>
      <c r="E18" s="12">
        <f t="shared" si="0"/>
        <v>24888</v>
      </c>
      <c r="F18" s="12">
        <f t="shared" si="0"/>
        <v>23661.8</v>
      </c>
      <c r="G18" s="12">
        <f t="shared" si="0"/>
        <v>23796.899999999998</v>
      </c>
      <c r="H18" s="12">
        <f t="shared" si="0"/>
        <v>9330.9333333333325</v>
      </c>
      <c r="I18" s="12">
        <f t="shared" si="0"/>
        <v>12070.880000000001</v>
      </c>
      <c r="J18" s="12">
        <f t="shared" si="0"/>
        <v>11522.15</v>
      </c>
      <c r="K18" s="42"/>
    </row>
    <row r="19" spans="1:11" ht="12.75" customHeight="1" x14ac:dyDescent="0.3">
      <c r="B19" s="60" t="s">
        <v>132</v>
      </c>
      <c r="C19" s="163">
        <v>0.75</v>
      </c>
      <c r="D19" s="163">
        <v>0.75</v>
      </c>
      <c r="E19" s="163">
        <v>0.75</v>
      </c>
      <c r="F19" s="163">
        <v>0.75</v>
      </c>
      <c r="G19" s="163">
        <v>0.75</v>
      </c>
      <c r="H19" s="163">
        <v>0.75</v>
      </c>
      <c r="I19" s="163">
        <v>0.7</v>
      </c>
      <c r="J19" s="163">
        <v>0.7</v>
      </c>
      <c r="K19" s="98"/>
    </row>
    <row r="20" spans="1:11" ht="12.75" customHeight="1" x14ac:dyDescent="0.3">
      <c r="B20" s="60" t="s">
        <v>133</v>
      </c>
      <c r="C20" s="49">
        <f t="shared" ref="C20:J20" si="1">+C17*C19</f>
        <v>157.5</v>
      </c>
      <c r="D20" s="49">
        <f t="shared" si="1"/>
        <v>162</v>
      </c>
      <c r="E20" s="49">
        <f t="shared" si="1"/>
        <v>153</v>
      </c>
      <c r="F20" s="49">
        <f t="shared" si="1"/>
        <v>144.75</v>
      </c>
      <c r="G20" s="49">
        <f t="shared" si="1"/>
        <v>144.75</v>
      </c>
      <c r="H20" s="49">
        <f t="shared" si="1"/>
        <v>50.299719686624016</v>
      </c>
      <c r="I20" s="49">
        <f t="shared" si="1"/>
        <v>51.8</v>
      </c>
      <c r="J20" s="49">
        <f t="shared" si="1"/>
        <v>55.3</v>
      </c>
      <c r="K20" s="49"/>
    </row>
    <row r="21" spans="1:11" ht="12.75" customHeight="1" x14ac:dyDescent="0.3">
      <c r="B21" s="60" t="s">
        <v>134</v>
      </c>
      <c r="C21" s="10">
        <f t="shared" ref="C21:J21" si="2">+C17*C19*$B$8</f>
        <v>930.82500000000005</v>
      </c>
      <c r="D21" s="10">
        <f t="shared" si="2"/>
        <v>957.42000000000007</v>
      </c>
      <c r="E21" s="10">
        <f t="shared" si="2"/>
        <v>904.23</v>
      </c>
      <c r="F21" s="10">
        <f t="shared" si="2"/>
        <v>855.47249999999997</v>
      </c>
      <c r="G21" s="10">
        <f t="shared" si="2"/>
        <v>855.47249999999997</v>
      </c>
      <c r="H21" s="10">
        <f t="shared" si="2"/>
        <v>297.27134334794795</v>
      </c>
      <c r="I21" s="10">
        <f t="shared" si="2"/>
        <v>306.13799999999998</v>
      </c>
      <c r="J21" s="10">
        <f t="shared" si="2"/>
        <v>326.82299999999998</v>
      </c>
      <c r="K21" s="10"/>
    </row>
    <row r="22" spans="1:11" ht="12.75" customHeight="1" x14ac:dyDescent="0.3">
      <c r="B22" s="60" t="s">
        <v>135</v>
      </c>
      <c r="C22" s="58">
        <f t="shared" ref="C22:J22" si="3">+C17*C19*C15</f>
        <v>21687.75</v>
      </c>
      <c r="D22" s="58">
        <f t="shared" si="3"/>
        <v>18954</v>
      </c>
      <c r="E22" s="58">
        <f t="shared" si="3"/>
        <v>18666</v>
      </c>
      <c r="F22" s="58">
        <f t="shared" si="3"/>
        <v>17746.349999999999</v>
      </c>
      <c r="G22" s="58">
        <f t="shared" si="3"/>
        <v>17847.674999999999</v>
      </c>
      <c r="H22" s="58">
        <f t="shared" si="3"/>
        <v>6998.1999999999989</v>
      </c>
      <c r="I22" s="58">
        <f t="shared" si="3"/>
        <v>8449.616</v>
      </c>
      <c r="J22" s="58">
        <f t="shared" si="3"/>
        <v>8065.5049999999992</v>
      </c>
      <c r="K22" s="58"/>
    </row>
    <row r="23" spans="1:11" ht="12.75" customHeight="1" x14ac:dyDescent="0.3">
      <c r="B23" s="60" t="s">
        <v>136</v>
      </c>
      <c r="C23" s="58">
        <f t="shared" ref="C23:J23" si="4">+$B$11*C22</f>
        <v>26265.287397540986</v>
      </c>
      <c r="D23" s="58">
        <f t="shared" si="4"/>
        <v>22954.536885245903</v>
      </c>
      <c r="E23" s="99">
        <f t="shared" si="4"/>
        <v>22605.75</v>
      </c>
      <c r="F23" s="58">
        <f t="shared" si="4"/>
        <v>21491.993545081965</v>
      </c>
      <c r="G23" s="58">
        <f t="shared" si="4"/>
        <v>21614.704764344264</v>
      </c>
      <c r="H23" s="58">
        <f t="shared" si="4"/>
        <v>8475.2790983606556</v>
      </c>
      <c r="I23" s="58">
        <f t="shared" si="4"/>
        <v>10233.039049180328</v>
      </c>
      <c r="J23" s="58">
        <f t="shared" si="4"/>
        <v>9767.8554405737705</v>
      </c>
      <c r="K23" s="58"/>
    </row>
    <row r="24" spans="1:11" ht="12.75" customHeight="1" x14ac:dyDescent="0.3">
      <c r="B24" s="60" t="s">
        <v>137</v>
      </c>
      <c r="C24" s="45">
        <f t="shared" ref="C24:J24" si="5">+C22*$B$8</f>
        <v>128174.60250000001</v>
      </c>
      <c r="D24" s="45">
        <f t="shared" si="5"/>
        <v>112018.14</v>
      </c>
      <c r="E24" s="45">
        <f t="shared" si="5"/>
        <v>110316.06</v>
      </c>
      <c r="F24" s="45">
        <f t="shared" si="5"/>
        <v>104880.92849999999</v>
      </c>
      <c r="G24" s="45">
        <f t="shared" si="5"/>
        <v>105479.75925</v>
      </c>
      <c r="H24" s="45">
        <f t="shared" si="5"/>
        <v>41359.361999999994</v>
      </c>
      <c r="I24" s="45">
        <f t="shared" si="5"/>
        <v>49937.230560000004</v>
      </c>
      <c r="J24" s="45">
        <f t="shared" si="5"/>
        <v>47667.134549999995</v>
      </c>
      <c r="K24" s="45"/>
    </row>
    <row r="25" spans="1:11" ht="12.75" customHeight="1" x14ac:dyDescent="0.3">
      <c r="B25" s="60" t="s">
        <v>138</v>
      </c>
      <c r="C25" s="45">
        <f t="shared" ref="C25:J25" si="6">IF(+C29*$B$9&gt;=C24,0,+C29*$B$9)</f>
        <v>61698.815999999977</v>
      </c>
      <c r="D25" s="45">
        <f t="shared" si="6"/>
        <v>9833.6880000000001</v>
      </c>
      <c r="E25" s="45">
        <f t="shared" si="6"/>
        <v>14074.895999999999</v>
      </c>
      <c r="F25" s="45">
        <f t="shared" si="6"/>
        <v>0</v>
      </c>
      <c r="G25" s="45">
        <f t="shared" si="6"/>
        <v>0</v>
      </c>
      <c r="H25" s="45">
        <f t="shared" si="6"/>
        <v>34679.231999999996</v>
      </c>
      <c r="I25" s="45">
        <f t="shared" si="6"/>
        <v>0</v>
      </c>
      <c r="J25" s="45">
        <f t="shared" si="6"/>
        <v>28824.696000000004</v>
      </c>
      <c r="K25" s="45"/>
    </row>
    <row r="26" spans="1:11" ht="12.75" customHeight="1" x14ac:dyDescent="0.3">
      <c r="B26" s="60" t="s">
        <v>139</v>
      </c>
      <c r="C26" s="45">
        <f t="shared" ref="C26:J26" si="7">+C17*C19*$B$10</f>
        <v>930.82500000000005</v>
      </c>
      <c r="D26" s="45">
        <f t="shared" si="7"/>
        <v>957.42000000000007</v>
      </c>
      <c r="E26" s="45">
        <f t="shared" si="7"/>
        <v>904.23</v>
      </c>
      <c r="F26" s="45">
        <f t="shared" si="7"/>
        <v>855.47249999999997</v>
      </c>
      <c r="G26" s="45">
        <f t="shared" si="7"/>
        <v>855.47249999999997</v>
      </c>
      <c r="H26" s="45">
        <f t="shared" si="7"/>
        <v>297.27134334794795</v>
      </c>
      <c r="I26" s="45">
        <f t="shared" si="7"/>
        <v>306.13799999999998</v>
      </c>
      <c r="J26" s="45">
        <f t="shared" si="7"/>
        <v>326.82299999999998</v>
      </c>
      <c r="K26" s="45"/>
    </row>
    <row r="27" spans="1:11" ht="12.75" customHeight="1" x14ac:dyDescent="0.3">
      <c r="B27" s="60" t="s">
        <v>140</v>
      </c>
      <c r="C27" s="45">
        <f t="shared" ref="C27:J27" si="8">+C22*$B$10</f>
        <v>128174.60250000001</v>
      </c>
      <c r="D27" s="45">
        <f t="shared" si="8"/>
        <v>112018.14</v>
      </c>
      <c r="E27" s="45">
        <f t="shared" si="8"/>
        <v>110316.06</v>
      </c>
      <c r="F27" s="45">
        <f t="shared" si="8"/>
        <v>104880.92849999999</v>
      </c>
      <c r="G27" s="45">
        <f t="shared" si="8"/>
        <v>105479.75925</v>
      </c>
      <c r="H27" s="45">
        <f t="shared" si="8"/>
        <v>41359.361999999994</v>
      </c>
      <c r="I27" s="45">
        <f t="shared" si="8"/>
        <v>49937.230560000004</v>
      </c>
      <c r="J27" s="45">
        <f t="shared" si="8"/>
        <v>47667.134549999995</v>
      </c>
      <c r="K27" s="45"/>
    </row>
    <row r="28" spans="1:11" ht="12.75" customHeight="1" x14ac:dyDescent="0.3">
      <c r="A28" s="2"/>
      <c r="B28" s="60" t="s">
        <v>141</v>
      </c>
      <c r="C28" s="160">
        <v>91.81699346405226</v>
      </c>
      <c r="D28" s="160">
        <v>17.223076923076924</v>
      </c>
      <c r="E28" s="160">
        <v>23.640983606557377</v>
      </c>
      <c r="F28" s="160">
        <v>221.49909927755769</v>
      </c>
      <c r="G28" s="160">
        <v>225.57848916695633</v>
      </c>
      <c r="H28" s="160">
        <v>51.077409616905051</v>
      </c>
      <c r="I28" s="160">
        <v>68.504201113991442</v>
      </c>
      <c r="J28" s="160">
        <v>40.498457319163528</v>
      </c>
      <c r="K28" s="100"/>
    </row>
    <row r="29" spans="1:11" ht="12.75" customHeight="1" x14ac:dyDescent="0.3">
      <c r="B29" s="60" t="s">
        <v>142</v>
      </c>
      <c r="C29" s="58">
        <f t="shared" ref="C29:G29" si="9">+C28*C15</f>
        <v>12643.199999999995</v>
      </c>
      <c r="D29" s="58">
        <f t="shared" si="9"/>
        <v>2015.1000000000001</v>
      </c>
      <c r="E29" s="58">
        <f t="shared" si="9"/>
        <v>2884.2</v>
      </c>
      <c r="F29" s="58">
        <f t="shared" si="9"/>
        <v>27155.789571428573</v>
      </c>
      <c r="G29" s="58">
        <f t="shared" si="9"/>
        <v>27813.827714285715</v>
      </c>
      <c r="H29" s="58">
        <v>7106.4</v>
      </c>
      <c r="I29" s="58">
        <f t="shared" ref="I29:J29" si="10">+I28*I15</f>
        <v>11174.405285714285</v>
      </c>
      <c r="J29" s="58">
        <f t="shared" si="10"/>
        <v>5906.7000000000007</v>
      </c>
      <c r="K29" s="58"/>
    </row>
    <row r="30" spans="1:11" ht="12.75" customHeight="1" x14ac:dyDescent="0.3">
      <c r="B30" s="60" t="s">
        <v>143</v>
      </c>
      <c r="C30" s="58">
        <f t="shared" ref="C30:J30" si="11">IF((+C22-C29)&lt;0,0,(C22-C29))</f>
        <v>9044.5500000000047</v>
      </c>
      <c r="D30" s="58">
        <f t="shared" si="11"/>
        <v>16938.900000000001</v>
      </c>
      <c r="E30" s="58">
        <f t="shared" si="11"/>
        <v>15781.8</v>
      </c>
      <c r="F30" s="58">
        <f t="shared" si="11"/>
        <v>0</v>
      </c>
      <c r="G30" s="58">
        <f t="shared" si="11"/>
        <v>0</v>
      </c>
      <c r="H30" s="58">
        <f t="shared" si="11"/>
        <v>0</v>
      </c>
      <c r="I30" s="58">
        <f t="shared" si="11"/>
        <v>0</v>
      </c>
      <c r="J30" s="58">
        <f t="shared" si="11"/>
        <v>2158.8049999999985</v>
      </c>
      <c r="K30" s="58"/>
    </row>
    <row r="31" spans="1:11" ht="12.75" customHeight="1" x14ac:dyDescent="0.3">
      <c r="A31" s="5"/>
      <c r="B31" s="60" t="s">
        <v>144</v>
      </c>
      <c r="C31" s="45">
        <f>+C30*$B$8</f>
        <v>53453.290500000032</v>
      </c>
      <c r="D31" s="45">
        <f t="shared" ref="D31:J31" si="12">+D30*$B$10</f>
        <v>100108.899</v>
      </c>
      <c r="E31" s="45">
        <f t="shared" si="12"/>
        <v>93270.437999999995</v>
      </c>
      <c r="F31" s="45">
        <f t="shared" si="12"/>
        <v>0</v>
      </c>
      <c r="G31" s="45">
        <f t="shared" si="12"/>
        <v>0</v>
      </c>
      <c r="H31" s="45">
        <f t="shared" si="12"/>
        <v>0</v>
      </c>
      <c r="I31" s="45">
        <f t="shared" si="12"/>
        <v>0</v>
      </c>
      <c r="J31" s="45">
        <f t="shared" si="12"/>
        <v>12758.537549999992</v>
      </c>
      <c r="K31" s="45">
        <f>+SUM(C31:J31)</f>
        <v>259591.16505000001</v>
      </c>
    </row>
    <row r="32" spans="1:11" ht="12.75" customHeight="1" x14ac:dyDescent="0.3">
      <c r="B32" s="60" t="s">
        <v>145</v>
      </c>
      <c r="C32" s="45">
        <f t="shared" ref="C32:J32" si="13">+C31*C16</f>
        <v>26726.645250000016</v>
      </c>
      <c r="D32" s="45">
        <f t="shared" si="13"/>
        <v>50054.449500000002</v>
      </c>
      <c r="E32" s="45">
        <f t="shared" si="13"/>
        <v>46635.218999999997</v>
      </c>
      <c r="F32" s="45">
        <f t="shared" si="13"/>
        <v>0</v>
      </c>
      <c r="G32" s="45">
        <f t="shared" si="13"/>
        <v>0</v>
      </c>
      <c r="H32" s="45">
        <f t="shared" si="13"/>
        <v>0</v>
      </c>
      <c r="I32" s="45">
        <f t="shared" si="13"/>
        <v>0</v>
      </c>
      <c r="J32" s="45">
        <f t="shared" si="13"/>
        <v>6379.2687749999959</v>
      </c>
      <c r="K32" s="45"/>
    </row>
    <row r="33" spans="1:11" ht="12.75" customHeight="1" x14ac:dyDescent="0.3">
      <c r="B33" s="60" t="s">
        <v>146</v>
      </c>
      <c r="C33" s="45">
        <f t="shared" ref="C33:J33" si="14">IF(IF(C25=0,0,C24-C25-C31)&lt;=0,0,IF(C25=0,0,C24-C25-C31))</f>
        <v>13022.495999999999</v>
      </c>
      <c r="D33" s="45">
        <f t="shared" si="14"/>
        <v>2075.5529999999999</v>
      </c>
      <c r="E33" s="45">
        <f t="shared" si="14"/>
        <v>2970.7260000000097</v>
      </c>
      <c r="F33" s="45">
        <f t="shared" si="14"/>
        <v>0</v>
      </c>
      <c r="G33" s="45">
        <f t="shared" si="14"/>
        <v>0</v>
      </c>
      <c r="H33" s="45">
        <f t="shared" si="14"/>
        <v>6680.1299999999974</v>
      </c>
      <c r="I33" s="45">
        <f t="shared" si="14"/>
        <v>0</v>
      </c>
      <c r="J33" s="45">
        <f t="shared" si="14"/>
        <v>6083.9009999999998</v>
      </c>
      <c r="K33" s="45">
        <f>+SUM(C33:J33)</f>
        <v>30832.806000000004</v>
      </c>
    </row>
    <row r="34" spans="1:11" ht="12.75" customHeight="1" x14ac:dyDescent="0.3">
      <c r="B34" s="60" t="s">
        <v>147</v>
      </c>
      <c r="C34" s="45">
        <f t="shared" ref="C34:J34" si="15">+C33*C16</f>
        <v>6511.2479999999996</v>
      </c>
      <c r="D34" s="45">
        <f t="shared" si="15"/>
        <v>1037.7764999999999</v>
      </c>
      <c r="E34" s="45">
        <f t="shared" si="15"/>
        <v>1485.3630000000048</v>
      </c>
      <c r="F34" s="45">
        <f t="shared" si="15"/>
        <v>0</v>
      </c>
      <c r="G34" s="45">
        <f t="shared" si="15"/>
        <v>0</v>
      </c>
      <c r="H34" s="45">
        <f t="shared" si="15"/>
        <v>6680.1299999999974</v>
      </c>
      <c r="I34" s="45">
        <f t="shared" si="15"/>
        <v>0</v>
      </c>
      <c r="J34" s="45">
        <f t="shared" si="15"/>
        <v>3041.9504999999999</v>
      </c>
      <c r="K34" s="91"/>
    </row>
    <row r="35" spans="1:11" ht="12.75" customHeight="1" x14ac:dyDescent="0.3">
      <c r="B35" s="60" t="s">
        <v>148</v>
      </c>
      <c r="C35" s="45">
        <f t="shared" ref="C35:J35" si="16">+C31+C33</f>
        <v>66475.786500000031</v>
      </c>
      <c r="D35" s="45">
        <f t="shared" si="16"/>
        <v>102184.452</v>
      </c>
      <c r="E35" s="45">
        <f t="shared" si="16"/>
        <v>96241.164000000004</v>
      </c>
      <c r="F35" s="45">
        <f t="shared" si="16"/>
        <v>0</v>
      </c>
      <c r="G35" s="45">
        <f t="shared" si="16"/>
        <v>0</v>
      </c>
      <c r="H35" s="45">
        <f t="shared" si="16"/>
        <v>6680.1299999999974</v>
      </c>
      <c r="I35" s="45">
        <f t="shared" si="16"/>
        <v>0</v>
      </c>
      <c r="J35" s="45">
        <f t="shared" si="16"/>
        <v>18842.438549999992</v>
      </c>
      <c r="K35" s="45">
        <f>+SUM(C35:J35)</f>
        <v>290423.97105000005</v>
      </c>
    </row>
    <row r="36" spans="1:11" ht="12.75" customHeight="1" x14ac:dyDescent="0.25">
      <c r="A36" s="127" t="s">
        <v>149</v>
      </c>
      <c r="C36" s="45">
        <f t="shared" ref="C36:J36" si="17">+C35*C16</f>
        <v>33237.893250000016</v>
      </c>
      <c r="D36" s="45">
        <f t="shared" si="17"/>
        <v>51092.226000000002</v>
      </c>
      <c r="E36" s="45">
        <f t="shared" si="17"/>
        <v>48120.582000000002</v>
      </c>
      <c r="F36" s="45">
        <f t="shared" si="17"/>
        <v>0</v>
      </c>
      <c r="G36" s="45">
        <f t="shared" si="17"/>
        <v>0</v>
      </c>
      <c r="H36" s="45">
        <f t="shared" si="17"/>
        <v>6680.1299999999974</v>
      </c>
      <c r="I36" s="45">
        <f t="shared" si="17"/>
        <v>0</v>
      </c>
      <c r="J36" s="45">
        <f t="shared" si="17"/>
        <v>9421.2192749999958</v>
      </c>
      <c r="K36" s="45">
        <f>+SUM(C36:J36)-H36</f>
        <v>141871.92052500002</v>
      </c>
    </row>
    <row r="37" spans="1:11" ht="12.75" customHeight="1" x14ac:dyDescent="0.25"/>
    <row r="38" spans="1:11" ht="12.75" customHeight="1" x14ac:dyDescent="0.25"/>
    <row r="39" spans="1:11" ht="12.75" customHeight="1" x14ac:dyDescent="0.25"/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12.75" customHeight="1" x14ac:dyDescent="0.25"/>
    <row r="45" spans="1:11" ht="12.75" customHeight="1" x14ac:dyDescent="0.25"/>
    <row r="46" spans="1:11" ht="12.75" customHeight="1" x14ac:dyDescent="0.25"/>
    <row r="47" spans="1:11" ht="12.75" customHeight="1" x14ac:dyDescent="0.25"/>
    <row r="48" spans="1:11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</sheetData>
  <sheetProtection sheet="1" objects="1" scenarios="1" selectLockedCells="1"/>
  <hyperlinks>
    <hyperlink ref="A3" r:id="rId1" xr:uid="{00000000-0004-0000-0400-000000000000}"/>
    <hyperlink ref="D3" r:id="rId2" xr:uid="{00000000-0004-0000-0400-000001000000}"/>
    <hyperlink ref="A4" r:id="rId3" xr:uid="{00000000-0004-0000-0400-000002000000}"/>
    <hyperlink ref="D4" r:id="rId4" xr:uid="{00000000-0004-0000-0400-000003000000}"/>
    <hyperlink ref="D5" r:id="rId5" xr:uid="{00000000-0004-0000-0400-000004000000}"/>
    <hyperlink ref="D6" r:id="rId6" xr:uid="{00000000-0004-0000-0400-000005000000}"/>
    <hyperlink ref="D7" r:id="rId7" xr:uid="{00000000-0004-0000-0400-000006000000}"/>
    <hyperlink ref="D8" r:id="rId8" xr:uid="{00000000-0004-0000-0400-000007000000}"/>
    <hyperlink ref="A36" r:id="rId9" xr:uid="{00000000-0004-0000-0400-000008000000}"/>
  </hyperlink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'Drop Lists'!$A$3:$A$15</xm:f>
          </x14:formula1>
          <xm:sqref>C14:J14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activeCell="D34" sqref="D34"/>
    </sheetView>
  </sheetViews>
  <sheetFormatPr defaultColWidth="12.6640625" defaultRowHeight="15" customHeight="1" x14ac:dyDescent="0.25"/>
  <cols>
    <col min="1" max="1" width="16.6640625" customWidth="1"/>
    <col min="2" max="2" width="13.33203125" customWidth="1"/>
    <col min="3" max="3" width="11.44140625" customWidth="1"/>
    <col min="4" max="4" width="17.44140625" customWidth="1"/>
    <col min="5" max="26" width="8.6640625" customWidth="1"/>
  </cols>
  <sheetData>
    <row r="1" spans="1:11" ht="12.75" customHeight="1" x14ac:dyDescent="0.25">
      <c r="A1" s="28" t="s">
        <v>150</v>
      </c>
    </row>
    <row r="2" spans="1:11" ht="12.75" customHeight="1" x14ac:dyDescent="0.25"/>
    <row r="3" spans="1:11" ht="12.75" customHeight="1" x14ac:dyDescent="0.25">
      <c r="A3" s="28" t="s">
        <v>85</v>
      </c>
      <c r="C3" s="13" t="s">
        <v>17</v>
      </c>
      <c r="E3" s="13" t="s">
        <v>80</v>
      </c>
      <c r="I3" s="13" t="s">
        <v>101</v>
      </c>
      <c r="J3" s="12">
        <v>15000</v>
      </c>
    </row>
    <row r="4" spans="1:11" ht="12.75" customHeight="1" x14ac:dyDescent="0.25">
      <c r="A4" s="28" t="s">
        <v>95</v>
      </c>
      <c r="C4" s="13" t="s">
        <v>42</v>
      </c>
      <c r="D4" s="13" t="s">
        <v>151</v>
      </c>
      <c r="E4" s="13" t="s">
        <v>99</v>
      </c>
      <c r="I4" s="13" t="s">
        <v>152</v>
      </c>
      <c r="J4" s="12">
        <v>9</v>
      </c>
    </row>
    <row r="5" spans="1:11" ht="12.75" customHeight="1" x14ac:dyDescent="0.25">
      <c r="A5" s="28" t="s">
        <v>96</v>
      </c>
      <c r="C5" s="13" t="s">
        <v>44</v>
      </c>
      <c r="D5" s="13" t="s">
        <v>153</v>
      </c>
      <c r="E5" s="13" t="s">
        <v>87</v>
      </c>
      <c r="F5" s="13" t="s">
        <v>154</v>
      </c>
      <c r="I5" s="13" t="s">
        <v>155</v>
      </c>
      <c r="J5" s="12">
        <f>+J3/J4</f>
        <v>1666.6666666666667</v>
      </c>
    </row>
    <row r="6" spans="1:11" ht="12.75" customHeight="1" x14ac:dyDescent="0.25">
      <c r="A6" s="28" t="s">
        <v>86</v>
      </c>
      <c r="C6" s="13" t="s">
        <v>43</v>
      </c>
      <c r="D6" s="13" t="s">
        <v>156</v>
      </c>
      <c r="E6" s="13" t="s">
        <v>157</v>
      </c>
      <c r="F6" s="13" t="s">
        <v>158</v>
      </c>
      <c r="I6" s="13" t="s">
        <v>159</v>
      </c>
      <c r="J6" s="12">
        <f>+J5/2</f>
        <v>833.33333333333337</v>
      </c>
    </row>
    <row r="7" spans="1:11" ht="12.75" customHeight="1" x14ac:dyDescent="0.25">
      <c r="A7" s="28" t="s">
        <v>84</v>
      </c>
      <c r="I7" s="13" t="s">
        <v>160</v>
      </c>
      <c r="J7" s="12">
        <f>+J3-J6</f>
        <v>14166.666666666666</v>
      </c>
    </row>
    <row r="8" spans="1:11" ht="12.75" customHeight="1" x14ac:dyDescent="0.25">
      <c r="A8" s="28" t="s">
        <v>83</v>
      </c>
      <c r="H8" s="13" t="s">
        <v>161</v>
      </c>
      <c r="J8" s="12">
        <f>+J7-J6</f>
        <v>13333.333333333332</v>
      </c>
      <c r="K8" s="13" t="s">
        <v>162</v>
      </c>
    </row>
    <row r="9" spans="1:11" ht="12.75" customHeight="1" x14ac:dyDescent="0.25">
      <c r="A9" s="28" t="s">
        <v>82</v>
      </c>
      <c r="J9" s="32"/>
      <c r="K9" s="81"/>
    </row>
    <row r="10" spans="1:11" ht="12.75" customHeight="1" x14ac:dyDescent="0.25">
      <c r="A10" s="28" t="s">
        <v>97</v>
      </c>
      <c r="C10" s="119" t="s">
        <v>195</v>
      </c>
      <c r="I10" s="13" t="s">
        <v>101</v>
      </c>
      <c r="J10" s="12">
        <v>15000</v>
      </c>
    </row>
    <row r="11" spans="1:11" ht="12.75" customHeight="1" x14ac:dyDescent="0.25">
      <c r="A11" s="28" t="s">
        <v>163</v>
      </c>
      <c r="C11" s="119" t="s">
        <v>196</v>
      </c>
      <c r="I11" s="13" t="s">
        <v>152</v>
      </c>
      <c r="J11" s="12">
        <v>9</v>
      </c>
    </row>
    <row r="12" spans="1:11" ht="12.75" customHeight="1" x14ac:dyDescent="0.25">
      <c r="A12" s="28" t="s">
        <v>164</v>
      </c>
      <c r="I12" s="13" t="s">
        <v>155</v>
      </c>
      <c r="J12" s="12">
        <f>+J10/J11</f>
        <v>1666.6666666666667</v>
      </c>
    </row>
    <row r="13" spans="1:11" ht="12.75" customHeight="1" x14ac:dyDescent="0.25">
      <c r="A13" s="28" t="s">
        <v>165</v>
      </c>
      <c r="F13" s="13" t="s">
        <v>166</v>
      </c>
      <c r="I13" s="13" t="s">
        <v>159</v>
      </c>
      <c r="J13" s="12">
        <f>+J12/2</f>
        <v>833.33333333333337</v>
      </c>
    </row>
    <row r="14" spans="1:11" ht="12.75" customHeight="1" x14ac:dyDescent="0.25">
      <c r="A14" s="28" t="s">
        <v>167</v>
      </c>
      <c r="I14" s="13" t="s">
        <v>160</v>
      </c>
      <c r="J14" s="12">
        <f>+J10-J13</f>
        <v>14166.666666666666</v>
      </c>
    </row>
    <row r="15" spans="1:11" ht="12.75" customHeight="1" x14ac:dyDescent="0.25">
      <c r="H15" s="13" t="s">
        <v>161</v>
      </c>
      <c r="J15" s="12">
        <f>+J14-J13</f>
        <v>13333.333333333332</v>
      </c>
      <c r="K15" s="13" t="s">
        <v>162</v>
      </c>
    </row>
    <row r="16" spans="1:11" ht="12.75" customHeight="1" x14ac:dyDescent="0.25"/>
    <row r="17" spans="1:13" ht="12.75" customHeight="1" x14ac:dyDescent="0.25"/>
    <row r="18" spans="1:13" ht="12.75" customHeight="1" x14ac:dyDescent="0.25"/>
    <row r="19" spans="1:13" ht="12.75" customHeight="1" x14ac:dyDescent="0.25">
      <c r="E19" s="101" t="s">
        <v>168</v>
      </c>
    </row>
    <row r="20" spans="1:13" ht="12.75" customHeight="1" x14ac:dyDescent="0.25">
      <c r="E20" s="101" t="s">
        <v>168</v>
      </c>
    </row>
    <row r="21" spans="1:13" ht="12.75" customHeight="1" x14ac:dyDescent="0.25">
      <c r="B21" s="36"/>
      <c r="C21" s="15"/>
    </row>
    <row r="22" spans="1:13" ht="12.75" customHeight="1" x14ac:dyDescent="0.25">
      <c r="B22" s="36"/>
      <c r="C22" s="15"/>
    </row>
    <row r="23" spans="1:13" ht="12.75" customHeight="1" x14ac:dyDescent="0.25"/>
    <row r="24" spans="1:13" ht="12.75" customHeight="1" x14ac:dyDescent="0.25">
      <c r="A24" s="102"/>
    </row>
    <row r="25" spans="1:13" ht="12.75" customHeight="1" x14ac:dyDescent="0.25">
      <c r="A25" s="102"/>
    </row>
    <row r="26" spans="1:13" ht="12.75" customHeight="1" x14ac:dyDescent="0.25">
      <c r="A26" s="102"/>
      <c r="F26" s="32"/>
      <c r="G26" s="5"/>
      <c r="H26" s="33"/>
      <c r="I26" s="34"/>
      <c r="J26" s="30"/>
    </row>
    <row r="27" spans="1:13" ht="12.75" customHeight="1" x14ac:dyDescent="0.25">
      <c r="A27" s="102"/>
      <c r="F27" s="32"/>
      <c r="G27" s="5"/>
      <c r="H27" s="33"/>
      <c r="I27" s="34"/>
      <c r="J27" s="30"/>
    </row>
    <row r="28" spans="1:13" ht="12.75" customHeight="1" x14ac:dyDescent="0.25">
      <c r="F28" s="32"/>
      <c r="G28" s="5"/>
      <c r="H28" s="33"/>
      <c r="I28" s="34"/>
      <c r="J28" s="30"/>
    </row>
    <row r="29" spans="1:13" ht="12.75" customHeight="1" x14ac:dyDescent="0.25"/>
    <row r="30" spans="1:13" ht="12.75" customHeight="1" x14ac:dyDescent="0.25">
      <c r="F30" s="28"/>
      <c r="G30" s="28"/>
      <c r="H30" s="28"/>
      <c r="I30" s="28"/>
      <c r="J30" s="28"/>
      <c r="K30" s="28"/>
      <c r="L30" s="28"/>
      <c r="M30" s="28"/>
    </row>
    <row r="31" spans="1:13" ht="12.75" customHeight="1" x14ac:dyDescent="0.25"/>
    <row r="32" spans="1:13" ht="12.75" customHeight="1" x14ac:dyDescent="0.25"/>
    <row r="33" spans="1:6" ht="12.75" customHeight="1" x14ac:dyDescent="0.25"/>
    <row r="34" spans="1:6" ht="12.75" customHeight="1" x14ac:dyDescent="0.25">
      <c r="A34" s="28"/>
    </row>
    <row r="35" spans="1:6" ht="12.75" customHeight="1" x14ac:dyDescent="0.25"/>
    <row r="36" spans="1:6" ht="12.75" customHeight="1" x14ac:dyDescent="0.25">
      <c r="A36" s="28"/>
      <c r="C36" s="13"/>
    </row>
    <row r="37" spans="1:6" ht="12.75" customHeight="1" x14ac:dyDescent="0.25">
      <c r="A37" s="28"/>
      <c r="C37" s="13"/>
    </row>
    <row r="38" spans="1:6" ht="12.75" customHeight="1" x14ac:dyDescent="0.25">
      <c r="A38" s="28"/>
      <c r="C38" s="13"/>
      <c r="F38" s="11"/>
    </row>
    <row r="39" spans="1:6" ht="12.75" customHeight="1" x14ac:dyDescent="0.25">
      <c r="A39" s="28"/>
      <c r="C39" s="13"/>
    </row>
    <row r="40" spans="1:6" ht="12.75" customHeight="1" x14ac:dyDescent="0.25">
      <c r="A40" s="28"/>
      <c r="C40" s="13"/>
    </row>
    <row r="41" spans="1:6" ht="12.75" customHeight="1" x14ac:dyDescent="0.25">
      <c r="A41" s="28"/>
      <c r="C41" s="13"/>
    </row>
    <row r="42" spans="1:6" ht="12.75" customHeight="1" x14ac:dyDescent="0.25">
      <c r="A42" s="28"/>
    </row>
    <row r="43" spans="1:6" ht="12.75" customHeight="1" x14ac:dyDescent="0.25">
      <c r="A43" s="28"/>
    </row>
    <row r="44" spans="1:6" ht="12.75" customHeight="1" x14ac:dyDescent="0.25">
      <c r="A44" s="28"/>
    </row>
    <row r="45" spans="1:6" ht="12.75" customHeight="1" x14ac:dyDescent="0.25">
      <c r="A45" s="28"/>
    </row>
    <row r="46" spans="1:6" ht="12.75" customHeight="1" x14ac:dyDescent="0.25">
      <c r="A46" s="28"/>
    </row>
    <row r="47" spans="1:6" ht="12.75" customHeight="1" x14ac:dyDescent="0.25">
      <c r="A47" s="28"/>
    </row>
    <row r="48" spans="1:6" ht="12.75" customHeight="1" x14ac:dyDescent="0.25">
      <c r="A48" s="28"/>
    </row>
    <row r="49" spans="1:1" ht="12.75" customHeight="1" x14ac:dyDescent="0.25">
      <c r="A49" s="28"/>
    </row>
    <row r="50" spans="1:1" ht="12.75" customHeight="1" x14ac:dyDescent="0.25">
      <c r="A50" s="28"/>
    </row>
    <row r="51" spans="1:1" ht="12.75" customHeight="1" x14ac:dyDescent="0.25"/>
    <row r="52" spans="1:1" ht="12.75" customHeight="1" x14ac:dyDescent="0.25"/>
    <row r="53" spans="1:1" ht="12.75" customHeight="1" x14ac:dyDescent="0.25"/>
    <row r="54" spans="1:1" ht="12.75" customHeight="1" x14ac:dyDescent="0.25"/>
    <row r="55" spans="1:1" ht="12.75" customHeight="1" x14ac:dyDescent="0.25"/>
    <row r="56" spans="1:1" ht="12.75" customHeight="1" x14ac:dyDescent="0.25"/>
    <row r="57" spans="1:1" ht="12.75" customHeight="1" x14ac:dyDescent="0.25">
      <c r="A57" s="103"/>
    </row>
    <row r="58" spans="1:1" ht="12.75" customHeight="1" x14ac:dyDescent="0.25">
      <c r="A58" s="103"/>
    </row>
    <row r="59" spans="1:1" ht="12.75" customHeight="1" x14ac:dyDescent="0.25">
      <c r="A59" s="103"/>
    </row>
    <row r="60" spans="1:1" ht="12.75" customHeight="1" x14ac:dyDescent="0.25">
      <c r="A60" s="103"/>
    </row>
    <row r="61" spans="1:1" ht="12.75" customHeight="1" x14ac:dyDescent="0.25">
      <c r="A61" s="103"/>
    </row>
    <row r="62" spans="1:1" ht="12.75" customHeight="1" x14ac:dyDescent="0.25">
      <c r="A62" s="103"/>
    </row>
    <row r="63" spans="1:1" ht="12.75" customHeight="1" x14ac:dyDescent="0.25">
      <c r="A63" s="103"/>
    </row>
    <row r="64" spans="1:1" ht="12.75" customHeight="1" x14ac:dyDescent="0.25">
      <c r="A64" s="103"/>
    </row>
    <row r="65" spans="1:1" ht="12.75" customHeight="1" x14ac:dyDescent="0.25">
      <c r="A65" s="103"/>
    </row>
    <row r="66" spans="1:1" ht="12.75" customHeight="1" x14ac:dyDescent="0.25">
      <c r="A66" s="103"/>
    </row>
    <row r="67" spans="1:1" ht="12.75" customHeight="1" x14ac:dyDescent="0.25">
      <c r="A67" s="103"/>
    </row>
    <row r="68" spans="1:1" ht="12.75" customHeight="1" x14ac:dyDescent="0.25">
      <c r="A68" s="103"/>
    </row>
    <row r="69" spans="1:1" ht="12.75" customHeight="1" x14ac:dyDescent="0.25">
      <c r="A69" s="103"/>
    </row>
    <row r="70" spans="1:1" ht="12.75" customHeight="1" x14ac:dyDescent="0.25">
      <c r="A70" s="103"/>
    </row>
    <row r="71" spans="1:1" ht="12.75" customHeight="1" x14ac:dyDescent="0.25">
      <c r="A71" s="104"/>
    </row>
    <row r="72" spans="1:1" ht="12.75" customHeight="1" x14ac:dyDescent="0.25">
      <c r="A72" s="104"/>
    </row>
    <row r="73" spans="1:1" ht="12.75" customHeight="1" x14ac:dyDescent="0.25"/>
    <row r="74" spans="1:1" ht="12.75" customHeight="1" x14ac:dyDescent="0.25">
      <c r="A74" s="103"/>
    </row>
    <row r="75" spans="1:1" ht="12.75" customHeight="1" x14ac:dyDescent="0.25">
      <c r="A75" s="102"/>
    </row>
    <row r="76" spans="1:1" ht="12.75" customHeight="1" x14ac:dyDescent="0.25">
      <c r="A76" s="102"/>
    </row>
    <row r="77" spans="1:1" ht="12.75" customHeight="1" x14ac:dyDescent="0.25">
      <c r="A77" s="103"/>
    </row>
    <row r="78" spans="1:1" ht="12.75" customHeight="1" x14ac:dyDescent="0.25">
      <c r="A78" s="102"/>
    </row>
    <row r="79" spans="1:1" ht="12.75" customHeight="1" x14ac:dyDescent="0.25">
      <c r="A79" s="102"/>
    </row>
    <row r="80" spans="1:1" ht="12.75" customHeight="1" x14ac:dyDescent="0.25">
      <c r="A80" s="103"/>
    </row>
    <row r="81" spans="1:1" ht="12.75" customHeight="1" x14ac:dyDescent="0.25">
      <c r="A81" s="102"/>
    </row>
    <row r="82" spans="1:1" ht="12.75" customHeight="1" x14ac:dyDescent="0.25">
      <c r="A82" s="102"/>
    </row>
    <row r="83" spans="1:1" ht="12.75" customHeight="1" x14ac:dyDescent="0.25">
      <c r="A83" s="103"/>
    </row>
    <row r="84" spans="1:1" ht="12.75" customHeight="1" x14ac:dyDescent="0.25">
      <c r="A84" s="102"/>
    </row>
    <row r="85" spans="1:1" ht="12.75" customHeight="1" x14ac:dyDescent="0.25">
      <c r="A85" s="102"/>
    </row>
    <row r="86" spans="1:1" ht="12.75" customHeight="1" x14ac:dyDescent="0.25">
      <c r="A86" s="103"/>
    </row>
    <row r="87" spans="1:1" ht="12.75" customHeight="1" x14ac:dyDescent="0.25">
      <c r="A87" s="102"/>
    </row>
    <row r="88" spans="1:1" ht="12.75" customHeight="1" x14ac:dyDescent="0.25">
      <c r="A88" s="102"/>
    </row>
    <row r="89" spans="1:1" ht="12.75" customHeight="1" x14ac:dyDescent="0.25">
      <c r="A89" s="103"/>
    </row>
    <row r="90" spans="1:1" ht="12.75" customHeight="1" x14ac:dyDescent="0.25">
      <c r="A90" s="102"/>
    </row>
    <row r="91" spans="1:1" ht="12.75" customHeight="1" x14ac:dyDescent="0.25">
      <c r="A91" s="102"/>
    </row>
    <row r="92" spans="1:1" ht="12.75" customHeight="1" x14ac:dyDescent="0.25">
      <c r="A92" s="103"/>
    </row>
    <row r="93" spans="1:1" ht="12.75" customHeight="1" x14ac:dyDescent="0.25">
      <c r="A93" s="102"/>
    </row>
    <row r="94" spans="1:1" ht="12.75" customHeight="1" x14ac:dyDescent="0.25">
      <c r="A94" s="102"/>
    </row>
    <row r="95" spans="1:1" ht="12.75" customHeight="1" x14ac:dyDescent="0.25">
      <c r="A95" s="103"/>
    </row>
    <row r="96" spans="1:1" ht="12.75" customHeight="1" x14ac:dyDescent="0.25">
      <c r="A96" s="102"/>
    </row>
    <row r="97" spans="1:1" ht="12.75" customHeight="1" x14ac:dyDescent="0.25">
      <c r="A97" s="102"/>
    </row>
    <row r="98" spans="1:1" ht="12.75" customHeight="1" x14ac:dyDescent="0.25">
      <c r="A98" s="103"/>
    </row>
    <row r="99" spans="1:1" ht="12.75" customHeight="1" x14ac:dyDescent="0.25">
      <c r="A99" s="102"/>
    </row>
    <row r="100" spans="1:1" ht="12.75" customHeight="1" x14ac:dyDescent="0.25">
      <c r="A100" s="102"/>
    </row>
    <row r="101" spans="1:1" ht="12.75" customHeight="1" x14ac:dyDescent="0.25">
      <c r="A101" s="103"/>
    </row>
    <row r="102" spans="1:1" ht="12.75" customHeight="1" x14ac:dyDescent="0.25">
      <c r="A102" s="102"/>
    </row>
    <row r="103" spans="1:1" ht="12.75" customHeight="1" x14ac:dyDescent="0.25">
      <c r="A103" s="102"/>
    </row>
    <row r="104" spans="1:1" ht="12.75" customHeight="1" x14ac:dyDescent="0.25">
      <c r="A104" s="103"/>
    </row>
    <row r="105" spans="1:1" ht="12.75" customHeight="1" x14ac:dyDescent="0.25">
      <c r="A105" s="102"/>
    </row>
    <row r="106" spans="1:1" ht="12.75" customHeight="1" x14ac:dyDescent="0.25">
      <c r="A106" s="102"/>
    </row>
    <row r="107" spans="1:1" ht="12.75" customHeight="1" x14ac:dyDescent="0.25">
      <c r="A107" s="103"/>
    </row>
    <row r="108" spans="1:1" ht="12.75" customHeight="1" x14ac:dyDescent="0.25">
      <c r="A108" s="103"/>
    </row>
    <row r="109" spans="1:1" ht="12.75" customHeight="1" x14ac:dyDescent="0.25">
      <c r="A109" s="103"/>
    </row>
    <row r="110" spans="1:1" ht="12.75" customHeight="1" x14ac:dyDescent="0.25">
      <c r="A110" s="102"/>
    </row>
    <row r="111" spans="1:1" ht="12.75" customHeight="1" x14ac:dyDescent="0.25">
      <c r="A111" s="102"/>
    </row>
    <row r="112" spans="1:1" ht="12.75" customHeight="1" x14ac:dyDescent="0.25">
      <c r="A112" s="103"/>
    </row>
    <row r="113" spans="1:1" ht="12.75" customHeight="1" x14ac:dyDescent="0.25">
      <c r="A113" s="102"/>
    </row>
    <row r="114" spans="1:1" ht="12.75" customHeight="1" x14ac:dyDescent="0.25">
      <c r="A114" s="102"/>
    </row>
    <row r="115" spans="1:1" ht="12.75" customHeight="1" x14ac:dyDescent="0.25">
      <c r="A115" s="103"/>
    </row>
    <row r="116" spans="1:1" ht="12.75" customHeight="1" x14ac:dyDescent="0.25">
      <c r="A116" s="102"/>
    </row>
    <row r="117" spans="1:1" ht="12.75" customHeight="1" x14ac:dyDescent="0.25">
      <c r="A117" s="102"/>
    </row>
    <row r="118" spans="1:1" ht="12.75" customHeight="1" x14ac:dyDescent="0.25"/>
    <row r="119" spans="1:1" ht="12.75" customHeight="1" x14ac:dyDescent="0.25"/>
    <row r="120" spans="1:1" ht="12.75" customHeight="1" x14ac:dyDescent="0.25">
      <c r="A120" s="102"/>
    </row>
    <row r="121" spans="1:1" ht="12.75" customHeight="1" x14ac:dyDescent="0.25">
      <c r="A121" s="102"/>
    </row>
    <row r="122" spans="1:1" ht="12.75" customHeight="1" x14ac:dyDescent="0.25">
      <c r="A122" s="102"/>
    </row>
    <row r="123" spans="1:1" ht="12.75" customHeight="1" x14ac:dyDescent="0.25">
      <c r="A123" s="102"/>
    </row>
    <row r="124" spans="1:1" ht="12.75" customHeight="1" x14ac:dyDescent="0.25">
      <c r="A124" s="102"/>
    </row>
    <row r="125" spans="1:1" ht="12.75" customHeight="1" x14ac:dyDescent="0.25">
      <c r="A125" s="102"/>
    </row>
    <row r="126" spans="1:1" ht="12.75" customHeight="1" x14ac:dyDescent="0.25">
      <c r="A126" s="102"/>
    </row>
    <row r="127" spans="1:1" ht="12.75" customHeight="1" x14ac:dyDescent="0.25">
      <c r="A127" s="102"/>
    </row>
    <row r="128" spans="1:1" ht="12.75" customHeight="1" x14ac:dyDescent="0.25">
      <c r="A128" s="102"/>
    </row>
    <row r="129" spans="1:1" ht="12.75" customHeight="1" x14ac:dyDescent="0.25">
      <c r="A129" s="102"/>
    </row>
    <row r="130" spans="1:1" ht="12.75" customHeight="1" x14ac:dyDescent="0.25">
      <c r="A130" s="102"/>
    </row>
    <row r="131" spans="1:1" ht="12.75" customHeight="1" x14ac:dyDescent="0.25">
      <c r="A131" s="102"/>
    </row>
    <row r="132" spans="1:1" ht="12.75" customHeight="1" x14ac:dyDescent="0.25">
      <c r="A132" s="102"/>
    </row>
    <row r="133" spans="1:1" ht="12.75" customHeight="1" x14ac:dyDescent="0.25">
      <c r="A133" s="102"/>
    </row>
    <row r="134" spans="1:1" ht="12.75" customHeight="1" x14ac:dyDescent="0.25">
      <c r="A134" s="102"/>
    </row>
    <row r="135" spans="1:1" ht="12.75" customHeight="1" x14ac:dyDescent="0.25">
      <c r="A135" s="102"/>
    </row>
    <row r="136" spans="1:1" ht="12.75" customHeight="1" x14ac:dyDescent="0.25">
      <c r="A136" s="102"/>
    </row>
    <row r="137" spans="1:1" ht="12.75" customHeight="1" x14ac:dyDescent="0.25">
      <c r="A137" s="102"/>
    </row>
    <row r="138" spans="1:1" ht="12.75" customHeight="1" x14ac:dyDescent="0.25">
      <c r="A138" s="102"/>
    </row>
    <row r="139" spans="1:1" ht="12.75" customHeight="1" x14ac:dyDescent="0.25">
      <c r="A139" s="102"/>
    </row>
    <row r="140" spans="1:1" ht="12.75" customHeight="1" x14ac:dyDescent="0.25">
      <c r="A140" s="102"/>
    </row>
    <row r="141" spans="1:1" ht="12.75" customHeight="1" x14ac:dyDescent="0.25">
      <c r="A141" s="102"/>
    </row>
    <row r="142" spans="1:1" ht="12.75" customHeight="1" x14ac:dyDescent="0.25">
      <c r="A142" s="102"/>
    </row>
    <row r="143" spans="1:1" ht="12.75" customHeight="1" x14ac:dyDescent="0.25">
      <c r="A143" s="102"/>
    </row>
    <row r="144" spans="1:1" ht="12.75" customHeight="1" x14ac:dyDescent="0.25"/>
    <row r="145" spans="1:3" ht="12.75" customHeight="1" x14ac:dyDescent="0.25"/>
    <row r="146" spans="1:3" ht="12.75" customHeight="1" x14ac:dyDescent="0.3">
      <c r="A146" s="60" t="s">
        <v>124</v>
      </c>
      <c r="B146" s="94">
        <v>5.91</v>
      </c>
      <c r="C146" s="31"/>
    </row>
    <row r="147" spans="1:3" ht="12.75" customHeight="1" x14ac:dyDescent="0.3">
      <c r="A147" s="60" t="s">
        <v>125</v>
      </c>
      <c r="B147" s="94">
        <v>4.88</v>
      </c>
      <c r="C147" s="26"/>
    </row>
    <row r="148" spans="1:3" ht="12.75" customHeight="1" x14ac:dyDescent="0.3">
      <c r="A148" s="60" t="s">
        <v>126</v>
      </c>
      <c r="B148" s="10">
        <f>+IF(B146&gt;=B147,B146,B147)</f>
        <v>5.91</v>
      </c>
      <c r="C148" s="31"/>
    </row>
    <row r="149" spans="1:3" ht="12.75" customHeight="1" x14ac:dyDescent="0.3">
      <c r="A149" s="60" t="s">
        <v>127</v>
      </c>
      <c r="B149" s="96">
        <f>IF(B146&lt;B147,0,+B146/B147)</f>
        <v>1.2110655737704918</v>
      </c>
      <c r="C149" s="2"/>
    </row>
    <row r="150" spans="1:3" ht="12.75" customHeight="1" x14ac:dyDescent="0.3">
      <c r="A150" s="60" t="s">
        <v>128</v>
      </c>
      <c r="B150" s="10">
        <f>+IF(B146&gt;=B147,B146-B147,0)</f>
        <v>1.0300000000000002</v>
      </c>
      <c r="C150" s="2"/>
    </row>
    <row r="151" spans="1:3" ht="12.75" customHeight="1" x14ac:dyDescent="0.3">
      <c r="A151" s="60"/>
      <c r="B151" s="60" t="s">
        <v>129</v>
      </c>
      <c r="C151" s="3">
        <v>1527</v>
      </c>
    </row>
    <row r="152" spans="1:3" ht="12.75" customHeight="1" x14ac:dyDescent="0.25">
      <c r="A152" s="2"/>
      <c r="B152" s="2"/>
      <c r="C152" s="28" t="s">
        <v>85</v>
      </c>
    </row>
    <row r="153" spans="1:3" ht="12.75" customHeight="1" x14ac:dyDescent="0.3">
      <c r="A153" s="2"/>
      <c r="B153" s="60" t="s">
        <v>102</v>
      </c>
      <c r="C153" s="42">
        <v>137.69999999999999</v>
      </c>
    </row>
    <row r="154" spans="1:3" ht="12.75" customHeight="1" x14ac:dyDescent="0.3">
      <c r="A154" s="2"/>
      <c r="B154" s="60" t="s">
        <v>130</v>
      </c>
      <c r="C154" s="75">
        <v>0.5</v>
      </c>
    </row>
    <row r="155" spans="1:3" ht="12.75" customHeight="1" x14ac:dyDescent="0.3">
      <c r="A155" s="2"/>
      <c r="B155" s="60" t="s">
        <v>131</v>
      </c>
      <c r="C155" s="42">
        <v>210</v>
      </c>
    </row>
    <row r="156" spans="1:3" ht="12.75" customHeight="1" x14ac:dyDescent="0.3">
      <c r="A156" s="2"/>
      <c r="B156" s="60" t="s">
        <v>132</v>
      </c>
      <c r="C156" s="98">
        <v>0.75</v>
      </c>
    </row>
    <row r="157" spans="1:3" ht="12.75" customHeight="1" x14ac:dyDescent="0.3">
      <c r="A157" s="2"/>
      <c r="B157" s="60" t="s">
        <v>133</v>
      </c>
      <c r="C157" s="49">
        <f>+C155*C156</f>
        <v>157.5</v>
      </c>
    </row>
    <row r="158" spans="1:3" ht="12.75" customHeight="1" x14ac:dyDescent="0.3">
      <c r="A158" s="2"/>
      <c r="B158" s="60" t="s">
        <v>134</v>
      </c>
      <c r="C158" s="10">
        <f>+C155*C156*$B$146</f>
        <v>930.82500000000005</v>
      </c>
    </row>
    <row r="159" spans="1:3" ht="12.75" customHeight="1" x14ac:dyDescent="0.3">
      <c r="A159" s="2"/>
      <c r="B159" s="60" t="s">
        <v>135</v>
      </c>
      <c r="C159" s="58">
        <f>+C155*C156*C153</f>
        <v>21687.75</v>
      </c>
    </row>
    <row r="160" spans="1:3" ht="12.75" customHeight="1" x14ac:dyDescent="0.3">
      <c r="A160" s="2"/>
      <c r="B160" s="60" t="s">
        <v>136</v>
      </c>
      <c r="C160" s="58">
        <f>+$B$149*C159</f>
        <v>26265.287397540986</v>
      </c>
    </row>
    <row r="161" spans="1:3" ht="12.75" customHeight="1" x14ac:dyDescent="0.3">
      <c r="A161" s="2"/>
      <c r="B161" s="60" t="s">
        <v>137</v>
      </c>
      <c r="C161" s="45">
        <f>+C159*$B$146</f>
        <v>128174.60250000001</v>
      </c>
    </row>
    <row r="162" spans="1:3" ht="12.75" customHeight="1" x14ac:dyDescent="0.3">
      <c r="A162" s="2"/>
      <c r="B162" s="60"/>
      <c r="C162" s="45">
        <f>+C161*C154</f>
        <v>64087.301250000004</v>
      </c>
    </row>
    <row r="163" spans="1:3" ht="12.75" customHeight="1" x14ac:dyDescent="0.3">
      <c r="A163" s="2"/>
      <c r="B163" s="60" t="s">
        <v>169</v>
      </c>
      <c r="C163" s="45">
        <f>IF($B$150=0,0,IF(+C168*$B$147&gt;=C165,0,+C168*$B$147))</f>
        <v>61698.815999999999</v>
      </c>
    </row>
    <row r="164" spans="1:3" ht="12.75" customHeight="1" x14ac:dyDescent="0.3">
      <c r="A164" s="2"/>
      <c r="B164" s="60" t="s">
        <v>139</v>
      </c>
      <c r="C164" s="45">
        <f>+C155*C156*$B$148</f>
        <v>930.82500000000005</v>
      </c>
    </row>
    <row r="165" spans="1:3" ht="12.75" customHeight="1" x14ac:dyDescent="0.3">
      <c r="A165" s="2"/>
      <c r="B165" s="60" t="s">
        <v>140</v>
      </c>
      <c r="C165" s="45">
        <f>+C159*$B$148</f>
        <v>128174.60250000001</v>
      </c>
    </row>
    <row r="166" spans="1:3" ht="12.75" customHeight="1" x14ac:dyDescent="0.3">
      <c r="A166" s="2"/>
      <c r="B166" s="60" t="s">
        <v>138</v>
      </c>
      <c r="C166" s="45">
        <f>+C168*$B$147</f>
        <v>61698.815999999999</v>
      </c>
    </row>
    <row r="167" spans="1:3" ht="12.75" customHeight="1" x14ac:dyDescent="0.3">
      <c r="A167" s="2"/>
      <c r="B167" s="60" t="s">
        <v>141</v>
      </c>
      <c r="C167" s="100">
        <v>230</v>
      </c>
    </row>
    <row r="168" spans="1:3" ht="12.75" customHeight="1" x14ac:dyDescent="0.3">
      <c r="A168" s="2"/>
      <c r="B168" s="60" t="s">
        <v>142</v>
      </c>
      <c r="C168" s="45">
        <v>12643.2</v>
      </c>
    </row>
    <row r="169" spans="1:3" ht="12.75" customHeight="1" x14ac:dyDescent="0.3">
      <c r="A169" s="2"/>
      <c r="B169" s="60"/>
      <c r="C169" s="2"/>
    </row>
    <row r="170" spans="1:3" ht="12.75" customHeight="1" x14ac:dyDescent="0.3">
      <c r="A170" s="2"/>
      <c r="B170" s="60" t="s">
        <v>170</v>
      </c>
      <c r="C170" s="45">
        <f>+C165-C166</f>
        <v>66475.786500000017</v>
      </c>
    </row>
    <row r="171" spans="1:3" ht="12.75" customHeight="1" x14ac:dyDescent="0.3">
      <c r="A171" s="2"/>
      <c r="B171" s="60"/>
      <c r="C171" s="45">
        <f>+C170*C154</f>
        <v>33237.893250000008</v>
      </c>
    </row>
    <row r="172" spans="1:3" ht="12.75" customHeight="1" x14ac:dyDescent="0.3">
      <c r="A172" s="2"/>
      <c r="B172" s="60"/>
      <c r="C172" s="45">
        <f>+C161-C163</f>
        <v>66475.786500000017</v>
      </c>
    </row>
    <row r="173" spans="1:3" ht="12.75" customHeight="1" x14ac:dyDescent="0.3">
      <c r="A173" s="2"/>
      <c r="B173" s="60"/>
      <c r="C173" s="45">
        <f>+C172-C175</f>
        <v>13022.496000000021</v>
      </c>
    </row>
    <row r="174" spans="1:3" ht="12.75" customHeight="1" x14ac:dyDescent="0.3">
      <c r="A174" s="2"/>
      <c r="B174" s="60" t="s">
        <v>143</v>
      </c>
      <c r="C174" s="58">
        <f>IF((+C159-C168)&lt;0,0,(C159-C168))</f>
        <v>9044.5499999999993</v>
      </c>
    </row>
    <row r="175" spans="1:3" ht="12.75" customHeight="1" x14ac:dyDescent="0.3">
      <c r="A175" s="5"/>
      <c r="B175" s="60" t="s">
        <v>144</v>
      </c>
      <c r="C175" s="45">
        <f>+C174*$B$146</f>
        <v>53453.290499999996</v>
      </c>
    </row>
    <row r="176" spans="1:3" ht="12.75" customHeight="1" x14ac:dyDescent="0.3">
      <c r="A176" s="2"/>
      <c r="B176" s="60" t="s">
        <v>145</v>
      </c>
      <c r="C176" s="45">
        <f>+C175*C154</f>
        <v>26726.645249999998</v>
      </c>
    </row>
    <row r="177" spans="1:3" ht="12.75" customHeight="1" x14ac:dyDescent="0.3">
      <c r="A177" s="2"/>
      <c r="B177" s="60" t="s">
        <v>146</v>
      </c>
      <c r="C177" s="45">
        <f>IF(C163=0,0,C161-C163-C175)</f>
        <v>13022.496000000021</v>
      </c>
    </row>
    <row r="178" spans="1:3" ht="12.75" customHeight="1" x14ac:dyDescent="0.3">
      <c r="A178" s="2"/>
      <c r="B178" s="60" t="s">
        <v>147</v>
      </c>
      <c r="C178" s="45">
        <f>+C177*C154</f>
        <v>6511.2480000000105</v>
      </c>
    </row>
    <row r="179" spans="1:3" ht="12.75" customHeight="1" x14ac:dyDescent="0.3">
      <c r="A179" s="2"/>
      <c r="B179" s="60" t="s">
        <v>148</v>
      </c>
      <c r="C179" s="45">
        <f>+C175+C177</f>
        <v>66475.786500000017</v>
      </c>
    </row>
    <row r="180" spans="1:3" ht="12.75" customHeight="1" x14ac:dyDescent="0.25">
      <c r="A180" s="11" t="s">
        <v>149</v>
      </c>
      <c r="C180" s="45">
        <f>+C179*C154</f>
        <v>33237.893250000008</v>
      </c>
    </row>
    <row r="181" spans="1:3" ht="12.75" customHeight="1" x14ac:dyDescent="0.25"/>
    <row r="182" spans="1:3" ht="12.75" customHeight="1" x14ac:dyDescent="0.25"/>
    <row r="183" spans="1:3" ht="12.75" customHeight="1" x14ac:dyDescent="0.25"/>
    <row r="184" spans="1:3" ht="12.75" customHeight="1" x14ac:dyDescent="0.25"/>
    <row r="185" spans="1:3" ht="12.75" customHeight="1" x14ac:dyDescent="0.25"/>
    <row r="186" spans="1:3" ht="12.75" customHeight="1" x14ac:dyDescent="0.25"/>
    <row r="187" spans="1:3" ht="12.75" customHeight="1" x14ac:dyDescent="0.25"/>
    <row r="188" spans="1:3" ht="12.75" customHeight="1" x14ac:dyDescent="0.25"/>
    <row r="189" spans="1:3" ht="12.75" customHeight="1" x14ac:dyDescent="0.25"/>
    <row r="190" spans="1:3" ht="12.75" customHeight="1" x14ac:dyDescent="0.25"/>
    <row r="191" spans="1:3" ht="12.75" customHeight="1" x14ac:dyDescent="0.25"/>
    <row r="192" spans="1:3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dataValidations count="2">
    <dataValidation type="list" allowBlank="1" showErrorMessage="1" sqref="F30:M30" xr:uid="{00000000-0002-0000-0500-000000000000}">
      <formula1>$A$36:$A$51</formula1>
    </dataValidation>
    <dataValidation type="list" allowBlank="1" showErrorMessage="1" sqref="C152" xr:uid="{00000000-0002-0000-0500-000001000000}">
      <formula1>$A$3:$A$15</formula1>
    </dataValidation>
  </dataValidations>
  <hyperlinks>
    <hyperlink ref="A180" r:id="rId1" xr:uid="{00000000-0004-0000-0500-000000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opLeftCell="A67" workbookViewId="0"/>
  </sheetViews>
  <sheetFormatPr defaultColWidth="12.6640625" defaultRowHeight="15" customHeight="1" x14ac:dyDescent="0.25"/>
  <cols>
    <col min="1" max="1" width="17.77734375" customWidth="1"/>
    <col min="2" max="2" width="10.44140625" customWidth="1"/>
    <col min="3" max="3" width="11.88671875" customWidth="1"/>
    <col min="4" max="4" width="14.77734375" customWidth="1"/>
    <col min="5" max="5" width="14.33203125" customWidth="1"/>
    <col min="6" max="6" width="13.33203125" customWidth="1"/>
    <col min="7" max="7" width="14" customWidth="1"/>
    <col min="8" max="8" width="14.33203125" customWidth="1"/>
    <col min="9" max="9" width="15.109375" customWidth="1"/>
    <col min="10" max="10" width="14.44140625" customWidth="1"/>
    <col min="11" max="11" width="12.33203125" customWidth="1"/>
    <col min="12" max="12" width="13" customWidth="1"/>
    <col min="13" max="26" width="8.6640625" customWidth="1"/>
  </cols>
  <sheetData>
    <row r="1" spans="1:12" ht="12.75" customHeight="1" x14ac:dyDescent="0.25">
      <c r="A1" s="2"/>
      <c r="B1" s="2"/>
      <c r="C1" s="45"/>
      <c r="D1" s="45"/>
      <c r="E1" s="45"/>
      <c r="F1" s="45"/>
      <c r="G1" s="45"/>
      <c r="H1" s="45"/>
      <c r="I1" s="45"/>
      <c r="J1" s="45"/>
      <c r="K1" s="2"/>
      <c r="L1" s="2"/>
    </row>
    <row r="2" spans="1:12" ht="12.75" customHeight="1" x14ac:dyDescent="0.25">
      <c r="A2" s="11" t="s">
        <v>8</v>
      </c>
      <c r="B2" s="2"/>
      <c r="C2" s="2"/>
      <c r="D2" s="2"/>
      <c r="E2" s="28"/>
      <c r="F2" s="2"/>
      <c r="G2" s="2"/>
      <c r="H2" s="58"/>
      <c r="I2" s="2"/>
      <c r="J2" s="2"/>
      <c r="K2" s="2"/>
      <c r="L2" s="5"/>
    </row>
    <row r="3" spans="1:12" ht="12.75" customHeight="1" x14ac:dyDescent="0.25">
      <c r="A3" s="76" t="s">
        <v>63</v>
      </c>
      <c r="B3" s="2"/>
      <c r="C3" s="2"/>
      <c r="D3" s="2"/>
      <c r="E3" s="28"/>
      <c r="F3" s="2"/>
      <c r="G3" s="2"/>
      <c r="H3" s="10"/>
      <c r="I3" s="2"/>
      <c r="J3" s="2"/>
      <c r="K3" s="2"/>
      <c r="L3" s="5"/>
    </row>
    <row r="4" spans="1:12" ht="12.75" customHeight="1" x14ac:dyDescent="0.25">
      <c r="A4" s="76" t="s">
        <v>64</v>
      </c>
      <c r="B4" s="28"/>
      <c r="C4" s="32"/>
      <c r="D4" s="2"/>
      <c r="E4" s="28"/>
      <c r="F4" s="28"/>
      <c r="G4" s="28"/>
      <c r="H4" s="77"/>
      <c r="I4" s="28"/>
      <c r="J4" s="2"/>
      <c r="K4" s="46"/>
      <c r="L4" s="5"/>
    </row>
    <row r="5" spans="1:12" ht="12.75" customHeight="1" x14ac:dyDescent="0.25">
      <c r="A5" s="76" t="s">
        <v>65</v>
      </c>
      <c r="B5" s="28"/>
      <c r="C5" s="32"/>
      <c r="D5" s="2"/>
      <c r="E5" s="28"/>
      <c r="F5" s="28"/>
      <c r="G5" s="2"/>
      <c r="H5" s="50">
        <v>1194.48</v>
      </c>
      <c r="I5" s="78" t="s">
        <v>66</v>
      </c>
      <c r="J5" s="2"/>
      <c r="K5" s="2"/>
      <c r="L5" s="20" t="s">
        <v>67</v>
      </c>
    </row>
    <row r="6" spans="1:12" ht="12.75" customHeight="1" x14ac:dyDescent="0.25">
      <c r="A6" s="44"/>
      <c r="B6" s="20" t="s">
        <v>68</v>
      </c>
      <c r="C6" s="79"/>
      <c r="D6" s="20" t="s">
        <v>69</v>
      </c>
      <c r="E6" s="20"/>
      <c r="F6" s="2"/>
      <c r="G6" s="20"/>
      <c r="H6" s="20"/>
      <c r="I6" s="20"/>
      <c r="J6" s="20"/>
      <c r="K6" s="44"/>
      <c r="L6" s="20" t="s">
        <v>70</v>
      </c>
    </row>
    <row r="7" spans="1:12" ht="12.75" customHeight="1" x14ac:dyDescent="0.25">
      <c r="A7" s="20" t="s">
        <v>71</v>
      </c>
      <c r="B7" s="20" t="s">
        <v>72</v>
      </c>
      <c r="C7" s="20" t="s">
        <v>73</v>
      </c>
      <c r="D7" s="20" t="s">
        <v>74</v>
      </c>
      <c r="E7" s="20" t="s">
        <v>75</v>
      </c>
      <c r="F7" s="28" t="s">
        <v>36</v>
      </c>
      <c r="G7" s="20" t="s">
        <v>76</v>
      </c>
      <c r="H7" s="20" t="s">
        <v>77</v>
      </c>
      <c r="I7" s="20" t="s">
        <v>78</v>
      </c>
      <c r="J7" s="20" t="s">
        <v>79</v>
      </c>
      <c r="K7" s="20" t="s">
        <v>80</v>
      </c>
      <c r="L7" s="20" t="s">
        <v>81</v>
      </c>
    </row>
    <row r="8" spans="1:12" ht="12.75" customHeight="1" x14ac:dyDescent="0.25">
      <c r="A8" s="2">
        <v>1</v>
      </c>
      <c r="B8" s="5" t="s">
        <v>80</v>
      </c>
      <c r="C8" s="80">
        <v>45204</v>
      </c>
      <c r="D8" s="3">
        <v>375738</v>
      </c>
      <c r="E8" s="81">
        <v>32519</v>
      </c>
      <c r="F8" s="30" t="str">
        <f>VLOOKUP(E8,'Summary-Contracts'!$C$30:$F$62,3,0)</f>
        <v>Y</v>
      </c>
      <c r="G8" s="2">
        <v>53653</v>
      </c>
      <c r="H8" s="4">
        <v>1196.7860000000001</v>
      </c>
      <c r="I8" s="4"/>
      <c r="J8" s="49">
        <v>12.4</v>
      </c>
      <c r="K8" s="2" t="s">
        <v>82</v>
      </c>
      <c r="L8" s="2"/>
    </row>
    <row r="9" spans="1:12" ht="12.75" customHeight="1" x14ac:dyDescent="0.25">
      <c r="A9" s="2">
        <v>2</v>
      </c>
      <c r="B9" s="5" t="s">
        <v>80</v>
      </c>
      <c r="C9" s="80">
        <v>45209</v>
      </c>
      <c r="D9" s="3">
        <v>437484</v>
      </c>
      <c r="E9" s="81">
        <v>32864</v>
      </c>
      <c r="F9" s="30" t="str">
        <f>VLOOKUP(E9,'Summary-Contracts'!$C$30:$F$62,3,0)</f>
        <v>Y</v>
      </c>
      <c r="G9" s="2">
        <v>53655</v>
      </c>
      <c r="H9" s="4">
        <v>1225.357</v>
      </c>
      <c r="I9" s="2"/>
      <c r="J9" s="49">
        <v>10.6</v>
      </c>
      <c r="K9" s="2" t="s">
        <v>83</v>
      </c>
      <c r="L9" s="2"/>
    </row>
    <row r="10" spans="1:12" ht="12.75" customHeight="1" x14ac:dyDescent="0.25">
      <c r="A10" s="2">
        <v>3</v>
      </c>
      <c r="B10" s="5" t="s">
        <v>80</v>
      </c>
      <c r="C10" s="80">
        <v>45204</v>
      </c>
      <c r="D10" s="3">
        <v>439611</v>
      </c>
      <c r="E10" s="81">
        <v>32820</v>
      </c>
      <c r="F10" s="30" t="str">
        <f>VLOOKUP(E10,'Summary-Contracts'!$C$30:$F$62,3,0)</f>
        <v>Y</v>
      </c>
      <c r="G10" s="2">
        <v>53654</v>
      </c>
      <c r="H10" s="4">
        <v>1225</v>
      </c>
      <c r="I10" s="4"/>
      <c r="J10" s="49">
        <v>13.1</v>
      </c>
      <c r="K10" s="2" t="s">
        <v>82</v>
      </c>
      <c r="L10" s="2"/>
    </row>
    <row r="11" spans="1:12" ht="12.75" customHeight="1" x14ac:dyDescent="0.25">
      <c r="A11" s="2">
        <v>4</v>
      </c>
      <c r="B11" s="5" t="s">
        <v>80</v>
      </c>
      <c r="C11" s="80">
        <v>45205</v>
      </c>
      <c r="D11" s="3">
        <v>439612</v>
      </c>
      <c r="E11" s="81">
        <v>32820</v>
      </c>
      <c r="F11" s="30" t="str">
        <f>VLOOKUP(E11,'Summary-Contracts'!$C$30:$F$62,3,0)</f>
        <v>Y</v>
      </c>
      <c r="G11" s="2">
        <v>53654</v>
      </c>
      <c r="H11" s="4">
        <v>1352.857</v>
      </c>
      <c r="I11" s="4"/>
      <c r="J11" s="49">
        <v>14.1</v>
      </c>
      <c r="K11" s="2" t="s">
        <v>82</v>
      </c>
      <c r="L11" s="2"/>
    </row>
    <row r="12" spans="1:12" ht="12.75" customHeight="1" x14ac:dyDescent="0.25">
      <c r="A12" s="2">
        <v>5</v>
      </c>
      <c r="B12" s="5" t="s">
        <v>80</v>
      </c>
      <c r="C12" s="80">
        <v>45208</v>
      </c>
      <c r="D12" s="3">
        <v>439613</v>
      </c>
      <c r="E12" s="81">
        <v>32820</v>
      </c>
      <c r="F12" s="30" t="str">
        <f>VLOOKUP(E12,'Summary-Contracts'!$C$30:$F$62,3,0)</f>
        <v>Y</v>
      </c>
      <c r="G12" s="2">
        <v>53654</v>
      </c>
      <c r="H12" s="4">
        <v>1257.5</v>
      </c>
      <c r="I12" s="4"/>
      <c r="J12" s="49">
        <v>11.7</v>
      </c>
      <c r="K12" s="2" t="s">
        <v>83</v>
      </c>
      <c r="L12" s="2"/>
    </row>
    <row r="13" spans="1:12" ht="12.75" customHeight="1" x14ac:dyDescent="0.25">
      <c r="A13" s="2">
        <v>6</v>
      </c>
      <c r="B13" s="5" t="s">
        <v>80</v>
      </c>
      <c r="C13" s="80">
        <v>45209</v>
      </c>
      <c r="D13" s="3">
        <v>439614</v>
      </c>
      <c r="E13" s="81">
        <v>32820</v>
      </c>
      <c r="F13" s="30" t="str">
        <f>VLOOKUP(E13,'Summary-Contracts'!$C$30:$F$62,3,0)</f>
        <v>Y</v>
      </c>
      <c r="G13" s="2">
        <v>53654</v>
      </c>
      <c r="H13" s="4">
        <v>1277.143</v>
      </c>
      <c r="I13" s="4"/>
      <c r="J13" s="49">
        <v>10.6</v>
      </c>
      <c r="K13" s="2" t="s">
        <v>83</v>
      </c>
      <c r="L13" s="2"/>
    </row>
    <row r="14" spans="1:12" ht="12.75" customHeight="1" x14ac:dyDescent="0.25">
      <c r="A14" s="2">
        <v>7</v>
      </c>
      <c r="B14" s="5" t="s">
        <v>80</v>
      </c>
      <c r="C14" s="80">
        <v>45204</v>
      </c>
      <c r="D14" s="3">
        <v>443217</v>
      </c>
      <c r="E14" s="81">
        <v>32820</v>
      </c>
      <c r="F14" s="30" t="str">
        <f>VLOOKUP(E14,'Summary-Contracts'!$C$30:$F$62,3,0)</f>
        <v>Y</v>
      </c>
      <c r="G14" s="2">
        <v>53654</v>
      </c>
      <c r="H14" s="4">
        <v>970.71400000000006</v>
      </c>
      <c r="I14" s="4"/>
      <c r="J14" s="49">
        <v>12.9</v>
      </c>
      <c r="K14" s="2" t="s">
        <v>82</v>
      </c>
      <c r="L14" s="2"/>
    </row>
    <row r="15" spans="1:12" ht="12.75" customHeight="1" x14ac:dyDescent="0.25">
      <c r="A15" s="2">
        <v>8</v>
      </c>
      <c r="B15" s="5" t="s">
        <v>80</v>
      </c>
      <c r="C15" s="80">
        <v>45208</v>
      </c>
      <c r="D15" s="3">
        <v>443218</v>
      </c>
      <c r="E15" s="81">
        <v>32864</v>
      </c>
      <c r="F15" s="30" t="str">
        <f>VLOOKUP(E15,'Summary-Contracts'!$C$30:$F$62,3,0)</f>
        <v>Y</v>
      </c>
      <c r="G15" s="2">
        <v>53655</v>
      </c>
      <c r="H15" s="4">
        <v>1212.143</v>
      </c>
      <c r="I15" s="4"/>
      <c r="J15" s="49">
        <v>12.8</v>
      </c>
      <c r="K15" s="2" t="s">
        <v>82</v>
      </c>
      <c r="L15" s="2"/>
    </row>
    <row r="16" spans="1:12" ht="12.75" customHeight="1" x14ac:dyDescent="0.25">
      <c r="A16" s="2">
        <v>9</v>
      </c>
      <c r="B16" s="5" t="s">
        <v>80</v>
      </c>
      <c r="C16" s="80">
        <v>45209</v>
      </c>
      <c r="D16" s="3">
        <v>443219</v>
      </c>
      <c r="E16" s="81">
        <v>32820</v>
      </c>
      <c r="F16" s="30" t="str">
        <f>VLOOKUP(E16,'Summary-Contracts'!$C$30:$F$62,3,0)</f>
        <v>Y</v>
      </c>
      <c r="G16" s="2">
        <v>53654</v>
      </c>
      <c r="H16" s="4">
        <v>1248.9290000000001</v>
      </c>
      <c r="I16" s="4"/>
      <c r="J16" s="49">
        <v>11.1</v>
      </c>
      <c r="K16" s="2" t="s">
        <v>83</v>
      </c>
      <c r="L16" s="2"/>
    </row>
    <row r="17" spans="1:12" ht="12.75" customHeight="1" x14ac:dyDescent="0.25">
      <c r="A17" s="2">
        <v>10</v>
      </c>
      <c r="B17" s="5" t="s">
        <v>80</v>
      </c>
      <c r="C17" s="80">
        <v>45209</v>
      </c>
      <c r="D17" s="3">
        <v>443220</v>
      </c>
      <c r="E17" s="81">
        <v>32864</v>
      </c>
      <c r="F17" s="30" t="str">
        <f>VLOOKUP(E17,'Summary-Contracts'!$C$30:$F$62,3,0)</f>
        <v>Y</v>
      </c>
      <c r="G17" s="2">
        <v>53655</v>
      </c>
      <c r="H17" s="4">
        <v>1186.7860000000001</v>
      </c>
      <c r="I17" s="4"/>
      <c r="J17" s="49">
        <v>10.8</v>
      </c>
      <c r="K17" s="2" t="s">
        <v>83</v>
      </c>
      <c r="L17" s="2"/>
    </row>
    <row r="18" spans="1:12" ht="12.75" customHeight="1" x14ac:dyDescent="0.25">
      <c r="A18" s="2">
        <v>11</v>
      </c>
      <c r="B18" s="5" t="s">
        <v>80</v>
      </c>
      <c r="C18" s="80">
        <v>45204</v>
      </c>
      <c r="D18" s="3">
        <v>443221</v>
      </c>
      <c r="E18" s="81">
        <v>32820</v>
      </c>
      <c r="F18" s="30" t="str">
        <f>VLOOKUP(E18,'Summary-Contracts'!$C$30:$F$62,3,0)</f>
        <v>Y</v>
      </c>
      <c r="G18" s="2">
        <v>53654</v>
      </c>
      <c r="H18" s="4">
        <v>910.71400000000006</v>
      </c>
      <c r="I18" s="4"/>
      <c r="J18" s="49">
        <v>10.8</v>
      </c>
      <c r="K18" s="2" t="s">
        <v>83</v>
      </c>
      <c r="L18" s="2"/>
    </row>
    <row r="19" spans="1:12" ht="12.75" customHeight="1" x14ac:dyDescent="0.25">
      <c r="A19" s="2">
        <v>12</v>
      </c>
      <c r="B19" s="5" t="s">
        <v>80</v>
      </c>
      <c r="C19" s="80">
        <v>45222</v>
      </c>
      <c r="D19" s="3">
        <v>443222</v>
      </c>
      <c r="E19" s="81">
        <v>32519</v>
      </c>
      <c r="F19" s="30" t="str">
        <f>VLOOKUP(E19,'Summary-Contracts'!$C$30:$F$62,3,0)</f>
        <v>Y</v>
      </c>
      <c r="G19" s="2">
        <v>53653</v>
      </c>
      <c r="H19" s="4">
        <v>1184.22</v>
      </c>
      <c r="I19" s="4"/>
      <c r="J19" s="49">
        <v>16.2</v>
      </c>
      <c r="K19" s="2" t="s">
        <v>84</v>
      </c>
      <c r="L19" s="2"/>
    </row>
    <row r="20" spans="1:12" ht="12.75" customHeight="1" x14ac:dyDescent="0.25">
      <c r="A20" s="2">
        <v>13</v>
      </c>
      <c r="B20" s="5" t="s">
        <v>80</v>
      </c>
      <c r="C20" s="80">
        <v>45218</v>
      </c>
      <c r="D20" s="3">
        <v>443223</v>
      </c>
      <c r="E20" s="81">
        <v>32864</v>
      </c>
      <c r="F20" s="30" t="str">
        <f>VLOOKUP(E20,'Summary-Contracts'!$C$30:$F$62,3,0)</f>
        <v>Y</v>
      </c>
      <c r="G20" s="2">
        <v>53655</v>
      </c>
      <c r="H20" s="4">
        <v>1225.7819999999999</v>
      </c>
      <c r="I20" s="4"/>
      <c r="J20" s="49">
        <v>16.899999999999999</v>
      </c>
      <c r="K20" s="2" t="s">
        <v>85</v>
      </c>
      <c r="L20" s="2"/>
    </row>
    <row r="21" spans="1:12" ht="12.75" customHeight="1" x14ac:dyDescent="0.25">
      <c r="A21" s="2">
        <v>14</v>
      </c>
      <c r="B21" s="5" t="s">
        <v>80</v>
      </c>
      <c r="C21" s="80">
        <v>45222</v>
      </c>
      <c r="D21" s="3">
        <v>443224</v>
      </c>
      <c r="E21" s="81">
        <v>32519</v>
      </c>
      <c r="F21" s="30" t="str">
        <f>VLOOKUP(E21,'Summary-Contracts'!$C$30:$F$62,3,0)</f>
        <v>Y</v>
      </c>
      <c r="G21" s="2">
        <v>53653</v>
      </c>
      <c r="H21" s="4">
        <v>1085.27</v>
      </c>
      <c r="I21" s="4"/>
      <c r="J21" s="49">
        <v>16.2</v>
      </c>
      <c r="K21" s="2" t="s">
        <v>84</v>
      </c>
      <c r="L21" s="2"/>
    </row>
    <row r="22" spans="1:12" ht="12.75" customHeight="1" x14ac:dyDescent="0.25">
      <c r="A22" s="2">
        <v>15</v>
      </c>
      <c r="B22" s="5" t="s">
        <v>80</v>
      </c>
      <c r="C22" s="80">
        <v>45222</v>
      </c>
      <c r="D22" s="3">
        <v>443225</v>
      </c>
      <c r="E22" s="81">
        <v>32519</v>
      </c>
      <c r="F22" s="30" t="str">
        <f>VLOOKUP(E22,'Summary-Contracts'!$C$30:$F$62,3,0)</f>
        <v>Y</v>
      </c>
      <c r="G22" s="2">
        <v>53653</v>
      </c>
      <c r="H22" s="4">
        <v>1258.83</v>
      </c>
      <c r="I22" s="4"/>
      <c r="J22" s="49">
        <v>15.9</v>
      </c>
      <c r="K22" s="2" t="s">
        <v>84</v>
      </c>
      <c r="L22" s="2"/>
    </row>
    <row r="23" spans="1:12" ht="12.75" customHeight="1" x14ac:dyDescent="0.25">
      <c r="A23" s="2">
        <v>16</v>
      </c>
      <c r="B23" s="5" t="s">
        <v>80</v>
      </c>
      <c r="C23" s="80">
        <v>45222</v>
      </c>
      <c r="D23" s="3">
        <v>443226</v>
      </c>
      <c r="E23" s="81">
        <v>32864</v>
      </c>
      <c r="F23" s="30" t="str">
        <f>VLOOKUP(E23,'Summary-Contracts'!$C$30:$F$62,3,0)</f>
        <v>Y</v>
      </c>
      <c r="G23" s="2">
        <v>53655</v>
      </c>
      <c r="H23" s="4">
        <v>1175.405</v>
      </c>
      <c r="I23" s="4"/>
      <c r="J23" s="49">
        <v>15.3</v>
      </c>
      <c r="K23" s="2" t="s">
        <v>84</v>
      </c>
      <c r="L23" s="2"/>
    </row>
    <row r="24" spans="1:12" ht="12.75" customHeight="1" x14ac:dyDescent="0.25">
      <c r="A24" s="2">
        <v>17</v>
      </c>
      <c r="B24" s="5" t="s">
        <v>80</v>
      </c>
      <c r="C24" s="80">
        <v>45222</v>
      </c>
      <c r="D24" s="3">
        <v>443227</v>
      </c>
      <c r="E24" s="81">
        <v>33686</v>
      </c>
      <c r="F24" s="30" t="str">
        <f>VLOOKUP(E24,'Summary-Contracts'!$C$30:$F$62,3,0)</f>
        <v>Y</v>
      </c>
      <c r="G24" s="2">
        <v>53660</v>
      </c>
      <c r="H24" s="4">
        <v>1135.357</v>
      </c>
      <c r="I24" s="4"/>
      <c r="J24" s="49">
        <v>15.5</v>
      </c>
      <c r="K24" s="2" t="s">
        <v>84</v>
      </c>
      <c r="L24" s="2"/>
    </row>
    <row r="25" spans="1:12" ht="12.75" customHeight="1" x14ac:dyDescent="0.25">
      <c r="A25" s="2">
        <v>18</v>
      </c>
      <c r="B25" s="5" t="s">
        <v>80</v>
      </c>
      <c r="C25" s="80">
        <v>45222</v>
      </c>
      <c r="D25" s="3">
        <v>443228</v>
      </c>
      <c r="E25" s="81">
        <v>33686</v>
      </c>
      <c r="F25" s="30" t="str">
        <f>VLOOKUP(E25,'Summary-Contracts'!$C$30:$F$62,3,0)</f>
        <v>Y</v>
      </c>
      <c r="G25" s="2">
        <v>53660</v>
      </c>
      <c r="H25" s="4">
        <v>1253.7280000000001</v>
      </c>
      <c r="I25" s="4"/>
      <c r="J25" s="49">
        <v>15.7</v>
      </c>
      <c r="K25" s="2" t="s">
        <v>84</v>
      </c>
      <c r="L25" s="2"/>
    </row>
    <row r="26" spans="1:12" ht="12.75" customHeight="1" x14ac:dyDescent="0.25">
      <c r="A26" s="2">
        <v>19</v>
      </c>
      <c r="B26" s="5" t="s">
        <v>80</v>
      </c>
      <c r="C26" s="80">
        <v>45222</v>
      </c>
      <c r="D26" s="3">
        <v>443229</v>
      </c>
      <c r="E26" s="81">
        <v>33686</v>
      </c>
      <c r="F26" s="30" t="str">
        <f>VLOOKUP(E26,'Summary-Contracts'!$C$30:$F$62,3,0)</f>
        <v>Y</v>
      </c>
      <c r="G26" s="2">
        <v>53660</v>
      </c>
      <c r="H26" s="4">
        <v>1166.896</v>
      </c>
      <c r="I26" s="4"/>
      <c r="J26" s="49">
        <v>16</v>
      </c>
      <c r="K26" s="2" t="s">
        <v>84</v>
      </c>
      <c r="L26" s="2"/>
    </row>
    <row r="27" spans="1:12" ht="12.75" customHeight="1" x14ac:dyDescent="0.25">
      <c r="A27" s="2">
        <v>20</v>
      </c>
      <c r="B27" s="5" t="s">
        <v>80</v>
      </c>
      <c r="C27" s="80">
        <v>45223</v>
      </c>
      <c r="D27" s="3">
        <v>443230</v>
      </c>
      <c r="E27" s="81">
        <v>32820</v>
      </c>
      <c r="F27" s="30" t="str">
        <f>VLOOKUP(E27,'Summary-Contracts'!$C$30:$F$62,3,0)</f>
        <v>Y</v>
      </c>
      <c r="G27" s="2">
        <v>53654</v>
      </c>
      <c r="H27" s="4">
        <v>1232.143</v>
      </c>
      <c r="I27" s="4"/>
      <c r="J27" s="49">
        <v>15.5</v>
      </c>
      <c r="K27" s="2" t="s">
        <v>86</v>
      </c>
      <c r="L27" s="2"/>
    </row>
    <row r="28" spans="1:12" ht="12.75" customHeight="1" x14ac:dyDescent="0.25">
      <c r="A28" s="2">
        <v>21</v>
      </c>
      <c r="B28" s="5" t="s">
        <v>80</v>
      </c>
      <c r="C28" s="80">
        <v>45223</v>
      </c>
      <c r="D28" s="3">
        <v>443232</v>
      </c>
      <c r="E28" s="81">
        <v>33687</v>
      </c>
      <c r="F28" s="30" t="str">
        <f>VLOOKUP(E28,'Summary-Contracts'!$C$30:$F$62,3,0)</f>
        <v>Y</v>
      </c>
      <c r="G28" s="2">
        <v>53657</v>
      </c>
      <c r="H28" s="4">
        <v>1231.0709999999999</v>
      </c>
      <c r="I28" s="4"/>
      <c r="J28" s="49">
        <v>15.4</v>
      </c>
      <c r="K28" s="2" t="s">
        <v>86</v>
      </c>
      <c r="L28" s="2"/>
    </row>
    <row r="29" spans="1:12" ht="12.75" customHeight="1" x14ac:dyDescent="0.25">
      <c r="A29" s="2">
        <v>22</v>
      </c>
      <c r="B29" s="5" t="s">
        <v>80</v>
      </c>
      <c r="C29" s="80">
        <v>45222</v>
      </c>
      <c r="D29" s="3">
        <v>443233</v>
      </c>
      <c r="E29" s="81">
        <v>32820</v>
      </c>
      <c r="F29" s="30" t="str">
        <f>VLOOKUP(E29,'Summary-Contracts'!$C$30:$F$62,3,0)</f>
        <v>Y</v>
      </c>
      <c r="G29" s="2">
        <v>53654</v>
      </c>
      <c r="H29" s="4">
        <v>29.286000000000001</v>
      </c>
      <c r="I29" s="4"/>
      <c r="J29" s="49">
        <v>15.2</v>
      </c>
      <c r="K29" s="2" t="s">
        <v>86</v>
      </c>
      <c r="L29" s="2"/>
    </row>
    <row r="30" spans="1:12" ht="12.75" customHeight="1" x14ac:dyDescent="0.25">
      <c r="A30" s="2">
        <v>22.5</v>
      </c>
      <c r="B30" s="5" t="s">
        <v>80</v>
      </c>
      <c r="C30" s="80">
        <v>45222</v>
      </c>
      <c r="D30" s="3">
        <v>443233</v>
      </c>
      <c r="E30" s="81">
        <v>32519</v>
      </c>
      <c r="F30" s="30" t="str">
        <f>VLOOKUP(E30,'Summary-Contracts'!$C$30:$F$62,3,0)</f>
        <v>Y</v>
      </c>
      <c r="G30" s="2">
        <v>53653</v>
      </c>
      <c r="H30" s="4">
        <v>274.89400000000001</v>
      </c>
      <c r="I30" s="4"/>
      <c r="J30" s="49">
        <v>15.2</v>
      </c>
      <c r="K30" s="2" t="s">
        <v>86</v>
      </c>
      <c r="L30" s="2"/>
    </row>
    <row r="31" spans="1:12" ht="12.75" customHeight="1" x14ac:dyDescent="0.25">
      <c r="A31" s="2">
        <v>22.6</v>
      </c>
      <c r="B31" s="5" t="s">
        <v>80</v>
      </c>
      <c r="C31" s="80">
        <v>45222</v>
      </c>
      <c r="D31" s="3">
        <v>443233</v>
      </c>
      <c r="E31" s="81">
        <v>33687</v>
      </c>
      <c r="F31" s="30" t="str">
        <f>VLOOKUP(E31,'Summary-Contracts'!$C$30:$F$62,3,0)</f>
        <v>Y</v>
      </c>
      <c r="G31" s="2">
        <v>53657</v>
      </c>
      <c r="H31" s="4">
        <v>794.43700000000001</v>
      </c>
      <c r="I31" s="4"/>
      <c r="J31" s="49">
        <v>15.2</v>
      </c>
      <c r="K31" s="2" t="s">
        <v>86</v>
      </c>
      <c r="L31" s="2"/>
    </row>
    <row r="32" spans="1:12" ht="12.75" customHeight="1" x14ac:dyDescent="0.25">
      <c r="A32" s="2">
        <v>22.7</v>
      </c>
      <c r="B32" s="5" t="s">
        <v>80</v>
      </c>
      <c r="C32" s="80">
        <v>45222</v>
      </c>
      <c r="D32" s="3">
        <v>443233</v>
      </c>
      <c r="E32" s="81">
        <v>33826</v>
      </c>
      <c r="F32" s="30" t="str">
        <f>VLOOKUP(E32,'Summary-Contracts'!$C$30:$F$62,3,0)</f>
        <v>Y</v>
      </c>
      <c r="G32" s="2">
        <v>53658</v>
      </c>
      <c r="H32" s="4">
        <v>27.774000000000001</v>
      </c>
      <c r="I32" s="4"/>
      <c r="J32" s="49">
        <v>15.2</v>
      </c>
      <c r="K32" s="2" t="s">
        <v>86</v>
      </c>
      <c r="L32" s="2"/>
    </row>
    <row r="33" spans="1:12" ht="12.75" customHeight="1" x14ac:dyDescent="0.25">
      <c r="A33" s="2">
        <v>22.8</v>
      </c>
      <c r="B33" s="5" t="s">
        <v>80</v>
      </c>
      <c r="C33" s="80">
        <v>45222</v>
      </c>
      <c r="D33" s="3">
        <v>443233</v>
      </c>
      <c r="E33" s="81">
        <v>34570</v>
      </c>
      <c r="F33" s="30" t="str">
        <f>VLOOKUP(E33,'Summary-Contracts'!$C$30:$F$62,3,0)</f>
        <v>Y</v>
      </c>
      <c r="G33" s="2"/>
      <c r="H33" s="4">
        <v>127.895</v>
      </c>
      <c r="I33" s="4"/>
      <c r="J33" s="49">
        <v>15.2</v>
      </c>
      <c r="K33" s="2" t="s">
        <v>86</v>
      </c>
      <c r="L33" s="2"/>
    </row>
    <row r="34" spans="1:12" ht="12.75" customHeight="1" x14ac:dyDescent="0.25">
      <c r="A34" s="2">
        <v>23</v>
      </c>
      <c r="B34" s="5" t="s">
        <v>80</v>
      </c>
      <c r="C34" s="80">
        <v>45226</v>
      </c>
      <c r="D34" s="3">
        <v>443234</v>
      </c>
      <c r="E34" s="81">
        <v>33826</v>
      </c>
      <c r="F34" s="30" t="str">
        <f>VLOOKUP(E34,'Summary-Contracts'!$C$30:$F$62,3,0)</f>
        <v>Y</v>
      </c>
      <c r="G34" s="2">
        <v>53658</v>
      </c>
      <c r="H34" s="4">
        <v>1206.348</v>
      </c>
      <c r="I34" s="4"/>
      <c r="J34" s="49">
        <v>16.399999999999999</v>
      </c>
      <c r="K34" s="2" t="s">
        <v>86</v>
      </c>
      <c r="L34" s="2"/>
    </row>
    <row r="35" spans="1:12" ht="12.75" customHeight="1" x14ac:dyDescent="0.25">
      <c r="A35" s="2">
        <v>24</v>
      </c>
      <c r="B35" s="5" t="s">
        <v>80</v>
      </c>
      <c r="C35" s="80">
        <v>45226</v>
      </c>
      <c r="D35" s="3">
        <v>443235</v>
      </c>
      <c r="E35" s="81">
        <v>33826</v>
      </c>
      <c r="F35" s="30" t="str">
        <f>VLOOKUP(E35,'Summary-Contracts'!$C$30:$F$62,3,0)</f>
        <v>Y</v>
      </c>
      <c r="G35" s="2">
        <v>53658</v>
      </c>
      <c r="H35" s="4">
        <v>1239.8109999999999</v>
      </c>
      <c r="I35" s="4"/>
      <c r="J35" s="49">
        <v>16.100000000000001</v>
      </c>
      <c r="K35" s="2" t="s">
        <v>86</v>
      </c>
      <c r="L35" s="2"/>
    </row>
    <row r="36" spans="1:12" ht="12.75" customHeight="1" x14ac:dyDescent="0.25">
      <c r="A36" s="2">
        <v>25</v>
      </c>
      <c r="B36" s="5" t="s">
        <v>80</v>
      </c>
      <c r="C36" s="80">
        <v>45223</v>
      </c>
      <c r="D36" s="3">
        <v>443245</v>
      </c>
      <c r="E36" s="81">
        <v>32820</v>
      </c>
      <c r="F36" s="30" t="str">
        <f>VLOOKUP(E36,'Summary-Contracts'!$C$30:$F$62,3,0)</f>
        <v>Y</v>
      </c>
      <c r="G36" s="2">
        <v>53654</v>
      </c>
      <c r="H36" s="4">
        <v>657.99599999999998</v>
      </c>
      <c r="I36" s="4"/>
      <c r="J36" s="49">
        <v>15.6</v>
      </c>
      <c r="K36" s="2" t="s">
        <v>86</v>
      </c>
      <c r="L36" s="2"/>
    </row>
    <row r="37" spans="1:12" ht="12.75" customHeight="1" x14ac:dyDescent="0.25">
      <c r="A37" s="2">
        <v>25.5</v>
      </c>
      <c r="B37" s="5" t="s">
        <v>80</v>
      </c>
      <c r="C37" s="80">
        <v>45223</v>
      </c>
      <c r="D37" s="3">
        <v>443245</v>
      </c>
      <c r="E37" s="81">
        <v>33687</v>
      </c>
      <c r="F37" s="30" t="str">
        <f>VLOOKUP(E37,'Summary-Contracts'!$C$30:$F$62,3,0)</f>
        <v>Y</v>
      </c>
      <c r="G37" s="2">
        <v>53657</v>
      </c>
      <c r="H37" s="4">
        <v>539.13499999999999</v>
      </c>
      <c r="I37" s="4"/>
      <c r="J37" s="49">
        <v>15.6</v>
      </c>
      <c r="K37" s="2" t="s">
        <v>86</v>
      </c>
      <c r="L37" s="2"/>
    </row>
    <row r="38" spans="1:12" ht="12.75" customHeight="1" x14ac:dyDescent="0.25">
      <c r="A38" s="2">
        <v>26</v>
      </c>
      <c r="B38" s="5" t="s">
        <v>80</v>
      </c>
      <c r="C38" s="80">
        <v>45222</v>
      </c>
      <c r="D38" s="3">
        <v>443246</v>
      </c>
      <c r="E38" s="81">
        <v>32864</v>
      </c>
      <c r="F38" s="30" t="str">
        <f>VLOOKUP(E38,'Summary-Contracts'!$C$30:$F$62,3,0)</f>
        <v>Y</v>
      </c>
      <c r="G38" s="2">
        <v>53655</v>
      </c>
      <c r="H38" s="4">
        <v>1177.857</v>
      </c>
      <c r="I38" s="4"/>
      <c r="J38" s="49">
        <v>15.3</v>
      </c>
      <c r="K38" s="2" t="s">
        <v>84</v>
      </c>
      <c r="L38" s="2"/>
    </row>
    <row r="39" spans="1:12" ht="12.75" customHeight="1" x14ac:dyDescent="0.25">
      <c r="A39" s="2">
        <v>27</v>
      </c>
      <c r="B39" s="5" t="s">
        <v>80</v>
      </c>
      <c r="C39" s="80">
        <v>45222</v>
      </c>
      <c r="D39" s="3">
        <v>443247</v>
      </c>
      <c r="E39" s="81">
        <v>32864</v>
      </c>
      <c r="F39" s="30" t="str">
        <f>VLOOKUP(E39,'Summary-Contracts'!$C$30:$F$62,3,0)</f>
        <v>Y</v>
      </c>
      <c r="G39" s="2">
        <v>53655</v>
      </c>
      <c r="H39" s="4">
        <v>1197.876</v>
      </c>
      <c r="I39" s="4"/>
      <c r="J39" s="49">
        <v>16.899999999999999</v>
      </c>
      <c r="K39" s="2" t="s">
        <v>84</v>
      </c>
      <c r="L39" s="2"/>
    </row>
    <row r="40" spans="1:12" ht="12.75" customHeight="1" x14ac:dyDescent="0.25">
      <c r="A40" s="2">
        <v>28</v>
      </c>
      <c r="B40" s="5" t="s">
        <v>80</v>
      </c>
      <c r="C40" s="80">
        <v>45222</v>
      </c>
      <c r="D40" s="3">
        <v>443248</v>
      </c>
      <c r="E40" s="81">
        <v>32864</v>
      </c>
      <c r="F40" s="30" t="str">
        <f>VLOOKUP(E40,'Summary-Contracts'!$C$30:$F$62,3,0)</f>
        <v>Y</v>
      </c>
      <c r="G40" s="2">
        <v>53655</v>
      </c>
      <c r="H40" s="4">
        <v>1181.0709999999999</v>
      </c>
      <c r="I40" s="4"/>
      <c r="J40" s="49">
        <v>15.3</v>
      </c>
      <c r="K40" s="2" t="s">
        <v>84</v>
      </c>
      <c r="L40" s="2"/>
    </row>
    <row r="41" spans="1:12" ht="12.75" customHeight="1" x14ac:dyDescent="0.25">
      <c r="A41" s="2">
        <v>29</v>
      </c>
      <c r="B41" s="5" t="s">
        <v>80</v>
      </c>
      <c r="C41" s="80">
        <v>45222</v>
      </c>
      <c r="D41" s="3">
        <v>443249</v>
      </c>
      <c r="E41" s="81">
        <v>33826</v>
      </c>
      <c r="F41" s="30" t="str">
        <f>VLOOKUP(E41,'Summary-Contracts'!$C$30:$F$62,3,0)</f>
        <v>Y</v>
      </c>
      <c r="G41" s="2">
        <v>53658</v>
      </c>
      <c r="H41" s="4">
        <v>1137.857</v>
      </c>
      <c r="I41" s="4"/>
      <c r="J41" s="49">
        <v>14.5</v>
      </c>
      <c r="K41" s="2" t="s">
        <v>84</v>
      </c>
      <c r="L41" s="2"/>
    </row>
    <row r="42" spans="1:12" ht="12.75" customHeight="1" x14ac:dyDescent="0.25">
      <c r="A42" s="2">
        <v>30</v>
      </c>
      <c r="B42" s="5" t="s">
        <v>80</v>
      </c>
      <c r="C42" s="80">
        <v>45222</v>
      </c>
      <c r="D42" s="3">
        <v>443250</v>
      </c>
      <c r="E42" s="81">
        <v>33686</v>
      </c>
      <c r="F42" s="30" t="str">
        <f>VLOOKUP(E42,'Summary-Contracts'!$C$30:$F$62,3,0)</f>
        <v>Y</v>
      </c>
      <c r="G42" s="2">
        <v>53660</v>
      </c>
      <c r="H42" s="4">
        <v>1224.643</v>
      </c>
      <c r="I42" s="4"/>
      <c r="J42" s="49">
        <v>14.6</v>
      </c>
      <c r="K42" s="2" t="s">
        <v>84</v>
      </c>
      <c r="L42" s="2"/>
    </row>
    <row r="43" spans="1:12" ht="12.75" customHeight="1" x14ac:dyDescent="0.25">
      <c r="A43" s="2">
        <v>31</v>
      </c>
      <c r="B43" s="5" t="s">
        <v>80</v>
      </c>
      <c r="C43" s="80">
        <v>45222</v>
      </c>
      <c r="D43" s="3">
        <v>443251</v>
      </c>
      <c r="E43" s="81">
        <v>33686</v>
      </c>
      <c r="F43" s="30" t="str">
        <f>VLOOKUP(E43,'Summary-Contracts'!$C$30:$F$62,3,0)</f>
        <v>Y</v>
      </c>
      <c r="G43" s="2">
        <v>53660</v>
      </c>
      <c r="H43" s="4">
        <v>1175.404</v>
      </c>
      <c r="I43" s="4"/>
      <c r="J43" s="49">
        <v>16</v>
      </c>
      <c r="K43" s="2" t="s">
        <v>84</v>
      </c>
      <c r="L43" s="2"/>
    </row>
    <row r="44" spans="1:12" ht="12.75" customHeight="1" x14ac:dyDescent="0.25">
      <c r="A44" s="2">
        <v>32</v>
      </c>
      <c r="B44" s="5" t="s">
        <v>80</v>
      </c>
      <c r="C44" s="80">
        <v>45222</v>
      </c>
      <c r="D44" s="3">
        <v>443252</v>
      </c>
      <c r="E44" s="81">
        <v>33686</v>
      </c>
      <c r="F44" s="30" t="str">
        <f>VLOOKUP(E44,'Summary-Contracts'!$C$30:$F$62,3,0)</f>
        <v>Y</v>
      </c>
      <c r="G44" s="2">
        <v>53660</v>
      </c>
      <c r="H44" s="4">
        <v>1225.8150000000001</v>
      </c>
      <c r="I44" s="4"/>
      <c r="J44" s="49">
        <v>15.9</v>
      </c>
      <c r="K44" s="2" t="s">
        <v>84</v>
      </c>
      <c r="L44" s="2"/>
    </row>
    <row r="45" spans="1:12" ht="12.75" customHeight="1" x14ac:dyDescent="0.25">
      <c r="A45" s="2">
        <v>33</v>
      </c>
      <c r="B45" s="5" t="s">
        <v>80</v>
      </c>
      <c r="C45" s="80">
        <v>45223</v>
      </c>
      <c r="D45" s="3">
        <v>443253</v>
      </c>
      <c r="E45" s="81">
        <v>33686</v>
      </c>
      <c r="F45" s="30" t="str">
        <f>VLOOKUP(E45,'Summary-Contracts'!$C$30:$F$62,3,0)</f>
        <v>Y</v>
      </c>
      <c r="G45" s="2">
        <v>53660</v>
      </c>
      <c r="H45" s="4">
        <v>1166.818</v>
      </c>
      <c r="I45" s="4"/>
      <c r="J45" s="49">
        <v>15.6</v>
      </c>
      <c r="K45" s="2" t="s">
        <v>84</v>
      </c>
      <c r="L45" s="2"/>
    </row>
    <row r="46" spans="1:12" ht="12.75" customHeight="1" x14ac:dyDescent="0.25">
      <c r="A46" s="2">
        <v>34</v>
      </c>
      <c r="B46" s="5" t="s">
        <v>80</v>
      </c>
      <c r="C46" s="80">
        <v>45223</v>
      </c>
      <c r="D46" s="3">
        <v>443254</v>
      </c>
      <c r="E46" s="81">
        <v>32820</v>
      </c>
      <c r="F46" s="30" t="str">
        <f>VLOOKUP(E46,'Summary-Contracts'!$C$30:$F$62,3,0)</f>
        <v>Y</v>
      </c>
      <c r="G46" s="2">
        <v>53654</v>
      </c>
      <c r="H46" s="4">
        <v>1018.375</v>
      </c>
      <c r="I46" s="4"/>
      <c r="J46" s="49">
        <v>16</v>
      </c>
      <c r="K46" s="2" t="s">
        <v>84</v>
      </c>
      <c r="L46" s="2"/>
    </row>
    <row r="47" spans="1:12" ht="12.75" customHeight="1" x14ac:dyDescent="0.25">
      <c r="A47" s="2">
        <v>35</v>
      </c>
      <c r="B47" s="5" t="s">
        <v>80</v>
      </c>
      <c r="C47" s="80">
        <v>45223</v>
      </c>
      <c r="D47" s="3">
        <v>443255</v>
      </c>
      <c r="E47" s="81">
        <v>33686</v>
      </c>
      <c r="F47" s="30" t="str">
        <f>VLOOKUP(E47,'Summary-Contracts'!$C$30:$F$62,3,0)</f>
        <v>Y</v>
      </c>
      <c r="G47" s="2">
        <v>53660</v>
      </c>
      <c r="H47" s="4">
        <v>1156.2629999999999</v>
      </c>
      <c r="I47" s="4"/>
      <c r="J47" s="49">
        <v>16</v>
      </c>
      <c r="K47" s="2" t="s">
        <v>84</v>
      </c>
      <c r="L47" s="2"/>
    </row>
    <row r="48" spans="1:12" ht="12.75" customHeight="1" x14ac:dyDescent="0.25">
      <c r="A48" s="2">
        <v>36</v>
      </c>
      <c r="B48" s="5" t="s">
        <v>80</v>
      </c>
      <c r="C48" s="80">
        <v>45223</v>
      </c>
      <c r="D48" s="3">
        <v>443256</v>
      </c>
      <c r="E48" s="81">
        <v>32820</v>
      </c>
      <c r="F48" s="30" t="str">
        <f>VLOOKUP(E48,'Summary-Contracts'!$C$30:$F$62,3,0)</f>
        <v>Y</v>
      </c>
      <c r="G48" s="2">
        <v>53654</v>
      </c>
      <c r="H48" s="4">
        <v>312.55799999999999</v>
      </c>
      <c r="I48" s="4"/>
      <c r="J48" s="49">
        <v>14.9</v>
      </c>
      <c r="K48" s="2" t="s">
        <v>84</v>
      </c>
      <c r="L48" s="2"/>
    </row>
    <row r="49" spans="1:12" ht="12.75" customHeight="1" x14ac:dyDescent="0.25">
      <c r="A49" s="2">
        <v>36.5</v>
      </c>
      <c r="B49" s="5" t="s">
        <v>80</v>
      </c>
      <c r="C49" s="80">
        <v>45223</v>
      </c>
      <c r="D49" s="3">
        <v>443256</v>
      </c>
      <c r="E49" s="81">
        <v>32864</v>
      </c>
      <c r="F49" s="30" t="str">
        <f>VLOOKUP(E49,'Summary-Contracts'!$C$30:$F$62,3,0)</f>
        <v>Y</v>
      </c>
      <c r="G49" s="2">
        <v>53655</v>
      </c>
      <c r="H49" s="4">
        <v>417.72300000000001</v>
      </c>
      <c r="I49" s="4"/>
      <c r="J49" s="49">
        <v>14.9</v>
      </c>
      <c r="K49" s="2" t="s">
        <v>84</v>
      </c>
      <c r="L49" s="2"/>
    </row>
    <row r="50" spans="1:12" ht="12.75" customHeight="1" x14ac:dyDescent="0.25">
      <c r="A50" s="2">
        <v>36.6</v>
      </c>
      <c r="B50" s="5" t="s">
        <v>80</v>
      </c>
      <c r="C50" s="80">
        <v>45223</v>
      </c>
      <c r="D50" s="3">
        <v>443256</v>
      </c>
      <c r="E50" s="81">
        <v>33686</v>
      </c>
      <c r="F50" s="30" t="str">
        <f>VLOOKUP(E50,'Summary-Contracts'!$C$30:$F$62,3,0)</f>
        <v>Y</v>
      </c>
      <c r="G50" s="2">
        <v>53660</v>
      </c>
      <c r="H50" s="4">
        <v>495.07600000000002</v>
      </c>
      <c r="I50" s="4"/>
      <c r="J50" s="49">
        <v>14.9</v>
      </c>
      <c r="K50" s="2" t="s">
        <v>84</v>
      </c>
      <c r="L50" s="2"/>
    </row>
    <row r="51" spans="1:12" ht="12.75" customHeight="1" x14ac:dyDescent="0.25">
      <c r="A51" s="2">
        <v>37</v>
      </c>
      <c r="B51" s="5" t="s">
        <v>80</v>
      </c>
      <c r="C51" s="80">
        <v>45223</v>
      </c>
      <c r="D51" s="3">
        <v>443257</v>
      </c>
      <c r="E51" s="81">
        <v>32820</v>
      </c>
      <c r="F51" s="30" t="str">
        <f>VLOOKUP(E51,'Summary-Contracts'!$C$30:$F$62,3,0)</f>
        <v>Y</v>
      </c>
      <c r="G51" s="2">
        <v>53654</v>
      </c>
      <c r="H51" s="4">
        <v>1060</v>
      </c>
      <c r="I51" s="4"/>
      <c r="J51" s="49">
        <v>15.1</v>
      </c>
      <c r="K51" s="2" t="s">
        <v>86</v>
      </c>
      <c r="L51" s="2"/>
    </row>
    <row r="52" spans="1:12" ht="12.75" customHeight="1" x14ac:dyDescent="0.25">
      <c r="A52" s="2">
        <v>38</v>
      </c>
      <c r="B52" s="5" t="s">
        <v>80</v>
      </c>
      <c r="C52" s="80">
        <v>45223</v>
      </c>
      <c r="D52" s="3">
        <v>443258</v>
      </c>
      <c r="E52" s="81">
        <v>32820</v>
      </c>
      <c r="F52" s="30" t="str">
        <f>VLOOKUP(E52,'Summary-Contracts'!$C$30:$F$62,3,0)</f>
        <v>Y</v>
      </c>
      <c r="G52" s="2">
        <v>53654</v>
      </c>
      <c r="H52" s="4">
        <v>1208.2139999999999</v>
      </c>
      <c r="I52" s="4"/>
      <c r="J52" s="49">
        <v>15.1</v>
      </c>
      <c r="K52" s="2" t="s">
        <v>86</v>
      </c>
      <c r="L52" s="2"/>
    </row>
    <row r="53" spans="1:12" ht="12.75" customHeight="1" x14ac:dyDescent="0.25">
      <c r="A53" s="2">
        <v>39</v>
      </c>
      <c r="B53" s="5" t="s">
        <v>80</v>
      </c>
      <c r="C53" s="80">
        <v>45223</v>
      </c>
      <c r="D53" s="3">
        <v>443259</v>
      </c>
      <c r="E53" s="81">
        <v>33687</v>
      </c>
      <c r="F53" s="30" t="str">
        <f>VLOOKUP(E53,'Summary-Contracts'!$C$30:$F$62,3,0)</f>
        <v>Y</v>
      </c>
      <c r="G53" s="2">
        <v>53657</v>
      </c>
      <c r="H53" s="4">
        <v>1207.143</v>
      </c>
      <c r="I53" s="4"/>
      <c r="J53" s="49">
        <v>15</v>
      </c>
      <c r="K53" s="2" t="s">
        <v>86</v>
      </c>
      <c r="L53" s="2"/>
    </row>
    <row r="54" spans="1:12" ht="12.75" customHeight="1" x14ac:dyDescent="0.25">
      <c r="A54" s="2">
        <v>40</v>
      </c>
      <c r="B54" s="5" t="s">
        <v>80</v>
      </c>
      <c r="C54" s="80">
        <v>45223</v>
      </c>
      <c r="D54" s="3">
        <v>443260</v>
      </c>
      <c r="E54" s="81">
        <v>33687</v>
      </c>
      <c r="F54" s="30" t="str">
        <f>VLOOKUP(E54,'Summary-Contracts'!$C$30:$F$62,3,0)</f>
        <v>Y</v>
      </c>
      <c r="G54" s="2">
        <v>53657</v>
      </c>
      <c r="H54" s="4">
        <v>1228.2139999999999</v>
      </c>
      <c r="I54" s="4"/>
      <c r="J54" s="49">
        <v>15.2</v>
      </c>
      <c r="K54" s="2" t="s">
        <v>86</v>
      </c>
      <c r="L54" s="2"/>
    </row>
    <row r="55" spans="1:12" ht="12.75" customHeight="1" x14ac:dyDescent="0.25">
      <c r="A55" s="2">
        <v>41</v>
      </c>
      <c r="B55" s="5" t="s">
        <v>80</v>
      </c>
      <c r="C55" s="80">
        <v>45204</v>
      </c>
      <c r="D55" s="3">
        <v>443300</v>
      </c>
      <c r="E55" s="81">
        <v>32820</v>
      </c>
      <c r="F55" s="30" t="str">
        <f>VLOOKUP(E55,'Summary-Contracts'!$C$30:$F$62,3,0)</f>
        <v>Y</v>
      </c>
      <c r="G55" s="2">
        <v>53654</v>
      </c>
      <c r="H55" s="4">
        <v>1238.5709999999999</v>
      </c>
      <c r="I55" s="4"/>
      <c r="J55" s="49">
        <v>13.9</v>
      </c>
      <c r="K55" s="2" t="s">
        <v>82</v>
      </c>
      <c r="L55" s="2"/>
    </row>
    <row r="56" spans="1:12" ht="12.75" customHeight="1" x14ac:dyDescent="0.25">
      <c r="A56" s="2">
        <f t="shared" ref="A56:A232" si="0">+A55+1</f>
        <v>42</v>
      </c>
      <c r="B56" s="5" t="s">
        <v>87</v>
      </c>
      <c r="C56" s="80">
        <v>45222</v>
      </c>
      <c r="D56" s="3">
        <v>350</v>
      </c>
      <c r="E56" s="81"/>
      <c r="F56" s="30" t="str">
        <f>VLOOKUP(E56,'Summary-Contracts'!$C$30:$F$62,3,0)</f>
        <v>N</v>
      </c>
      <c r="G56" s="2"/>
      <c r="H56" s="4">
        <v>1110.7142857142858</v>
      </c>
      <c r="I56" s="2" t="s">
        <v>88</v>
      </c>
      <c r="J56" s="2"/>
      <c r="K56" s="2" t="s">
        <v>84</v>
      </c>
      <c r="L56" s="2" t="s">
        <v>89</v>
      </c>
    </row>
    <row r="57" spans="1:12" ht="12.75" customHeight="1" x14ac:dyDescent="0.25">
      <c r="A57" s="2">
        <f t="shared" si="0"/>
        <v>43</v>
      </c>
      <c r="B57" s="5" t="s">
        <v>87</v>
      </c>
      <c r="C57" s="80">
        <v>45222</v>
      </c>
      <c r="D57" s="3">
        <v>351</v>
      </c>
      <c r="E57" s="81"/>
      <c r="F57" s="30" t="str">
        <f>VLOOKUP(E57,'Summary-Contracts'!$C$30:$F$62,3,0)</f>
        <v>N</v>
      </c>
      <c r="G57" s="2"/>
      <c r="H57" s="4">
        <v>1113.9285714285713</v>
      </c>
      <c r="I57" s="2" t="s">
        <v>90</v>
      </c>
      <c r="J57" s="2"/>
      <c r="K57" s="2" t="s">
        <v>84</v>
      </c>
      <c r="L57" s="2" t="s">
        <v>89</v>
      </c>
    </row>
    <row r="58" spans="1:12" ht="12.75" customHeight="1" x14ac:dyDescent="0.25">
      <c r="A58" s="2">
        <f t="shared" si="0"/>
        <v>44</v>
      </c>
      <c r="B58" s="5" t="s">
        <v>87</v>
      </c>
      <c r="C58" s="80">
        <v>45222</v>
      </c>
      <c r="D58" s="3">
        <v>352</v>
      </c>
      <c r="E58" s="81"/>
      <c r="F58" s="30" t="str">
        <f>VLOOKUP(E58,'Summary-Contracts'!$C$30:$F$62,3,0)</f>
        <v>N</v>
      </c>
      <c r="G58" s="2"/>
      <c r="H58" s="4">
        <v>1096.7857142857142</v>
      </c>
      <c r="I58" s="2" t="s">
        <v>88</v>
      </c>
      <c r="J58" s="2"/>
      <c r="K58" s="2" t="s">
        <v>84</v>
      </c>
      <c r="L58" s="2" t="s">
        <v>89</v>
      </c>
    </row>
    <row r="59" spans="1:12" ht="12.75" customHeight="1" x14ac:dyDescent="0.25">
      <c r="A59" s="2">
        <f t="shared" si="0"/>
        <v>45</v>
      </c>
      <c r="B59" s="5" t="s">
        <v>87</v>
      </c>
      <c r="C59" s="80">
        <v>45203</v>
      </c>
      <c r="D59" s="3">
        <v>353</v>
      </c>
      <c r="E59" s="81"/>
      <c r="F59" s="30" t="str">
        <f>VLOOKUP(E59,'Summary-Contracts'!$C$30:$F$62,3,0)</f>
        <v>N</v>
      </c>
      <c r="G59" s="2"/>
      <c r="H59" s="4">
        <v>1110.7142857142858</v>
      </c>
      <c r="I59" s="32" t="s">
        <v>91</v>
      </c>
      <c r="J59" s="2"/>
      <c r="K59" s="2" t="s">
        <v>82</v>
      </c>
      <c r="L59" s="2" t="s">
        <v>89</v>
      </c>
    </row>
    <row r="60" spans="1:12" ht="12.75" customHeight="1" x14ac:dyDescent="0.25">
      <c r="A60" s="2">
        <f t="shared" si="0"/>
        <v>46</v>
      </c>
      <c r="B60" s="5" t="s">
        <v>87</v>
      </c>
      <c r="C60" s="80">
        <v>45222</v>
      </c>
      <c r="D60" s="3">
        <v>354</v>
      </c>
      <c r="E60" s="81"/>
      <c r="F60" s="30" t="str">
        <f>VLOOKUP(E60,'Summary-Contracts'!$C$30:$F$62,3,0)</f>
        <v>N</v>
      </c>
      <c r="G60" s="2"/>
      <c r="H60" s="4">
        <v>1088.5714285714287</v>
      </c>
      <c r="I60" s="2" t="s">
        <v>91</v>
      </c>
      <c r="J60" s="2"/>
      <c r="K60" s="2" t="s">
        <v>84</v>
      </c>
      <c r="L60" s="2" t="s">
        <v>89</v>
      </c>
    </row>
    <row r="61" spans="1:12" ht="12.75" customHeight="1" x14ac:dyDescent="0.25">
      <c r="A61" s="2">
        <f t="shared" si="0"/>
        <v>47</v>
      </c>
      <c r="B61" s="5" t="s">
        <v>87</v>
      </c>
      <c r="C61" s="80">
        <v>45223</v>
      </c>
      <c r="D61" s="3">
        <v>355</v>
      </c>
      <c r="E61" s="81"/>
      <c r="F61" s="30" t="str">
        <f>VLOOKUP(E61,'Summary-Contracts'!$C$30:$F$62,3,0)</f>
        <v>N</v>
      </c>
      <c r="G61" s="2"/>
      <c r="H61" s="4">
        <v>1167.5</v>
      </c>
      <c r="I61" s="2" t="s">
        <v>90</v>
      </c>
      <c r="J61" s="2"/>
      <c r="K61" s="2" t="s">
        <v>84</v>
      </c>
      <c r="L61" s="2" t="s">
        <v>89</v>
      </c>
    </row>
    <row r="62" spans="1:12" ht="12.75" customHeight="1" x14ac:dyDescent="0.25">
      <c r="A62" s="2">
        <f t="shared" si="0"/>
        <v>48</v>
      </c>
      <c r="B62" s="5" t="s">
        <v>87</v>
      </c>
      <c r="C62" s="80">
        <v>45223</v>
      </c>
      <c r="D62" s="3">
        <v>356</v>
      </c>
      <c r="E62" s="81"/>
      <c r="F62" s="30" t="str">
        <f>VLOOKUP(E62,'Summary-Contracts'!$C$30:$F$62,3,0)</f>
        <v>N</v>
      </c>
      <c r="G62" s="2"/>
      <c r="H62" s="4">
        <v>1105.3571428571429</v>
      </c>
      <c r="I62" s="2" t="s">
        <v>91</v>
      </c>
      <c r="J62" s="2"/>
      <c r="K62" s="2" t="s">
        <v>86</v>
      </c>
      <c r="L62" s="2" t="s">
        <v>89</v>
      </c>
    </row>
    <row r="63" spans="1:12" ht="12.75" customHeight="1" x14ac:dyDescent="0.25">
      <c r="A63" s="2">
        <f t="shared" si="0"/>
        <v>49</v>
      </c>
      <c r="B63" s="5" t="s">
        <v>87</v>
      </c>
      <c r="C63" s="80">
        <v>45224</v>
      </c>
      <c r="D63" s="3">
        <v>357</v>
      </c>
      <c r="E63" s="81"/>
      <c r="F63" s="30" t="str">
        <f>VLOOKUP(E63,'Summary-Contracts'!$C$30:$F$62,3,0)</f>
        <v>N</v>
      </c>
      <c r="G63" s="2"/>
      <c r="H63" s="4">
        <v>1115.7142857142858</v>
      </c>
      <c r="I63" s="2" t="s">
        <v>90</v>
      </c>
      <c r="J63" s="2"/>
      <c r="K63" s="2" t="s">
        <v>86</v>
      </c>
      <c r="L63" s="2" t="s">
        <v>89</v>
      </c>
    </row>
    <row r="64" spans="1:12" ht="12.75" customHeight="1" x14ac:dyDescent="0.25">
      <c r="A64" s="2">
        <f t="shared" si="0"/>
        <v>50</v>
      </c>
      <c r="B64" s="5" t="s">
        <v>87</v>
      </c>
      <c r="C64" s="80">
        <v>45226</v>
      </c>
      <c r="D64" s="3">
        <v>358</v>
      </c>
      <c r="E64" s="81"/>
      <c r="F64" s="30" t="str">
        <f>VLOOKUP(E64,'Summary-Contracts'!$C$30:$F$62,3,0)</f>
        <v>N</v>
      </c>
      <c r="G64" s="2"/>
      <c r="H64" s="4">
        <v>1124.2857142857142</v>
      </c>
      <c r="I64" s="2" t="s">
        <v>91</v>
      </c>
      <c r="J64" s="2"/>
      <c r="K64" s="2" t="s">
        <v>86</v>
      </c>
      <c r="L64" s="2" t="s">
        <v>89</v>
      </c>
    </row>
    <row r="65" spans="1:12" ht="12.75" customHeight="1" x14ac:dyDescent="0.25">
      <c r="A65" s="2">
        <f t="shared" si="0"/>
        <v>51</v>
      </c>
      <c r="B65" s="5" t="s">
        <v>87</v>
      </c>
      <c r="C65" s="80">
        <v>45226</v>
      </c>
      <c r="D65" s="3">
        <v>359</v>
      </c>
      <c r="E65" s="81"/>
      <c r="F65" s="30" t="str">
        <f>VLOOKUP(E65,'Summary-Contracts'!$C$30:$F$62,3,0)</f>
        <v>N</v>
      </c>
      <c r="G65" s="2"/>
      <c r="H65" s="4">
        <v>1161.0714285714287</v>
      </c>
      <c r="I65" s="2" t="s">
        <v>88</v>
      </c>
      <c r="J65" s="2"/>
      <c r="K65" s="2" t="s">
        <v>86</v>
      </c>
      <c r="L65" s="2" t="s">
        <v>89</v>
      </c>
    </row>
    <row r="66" spans="1:12" ht="12.75" customHeight="1" x14ac:dyDescent="0.25">
      <c r="A66" s="2">
        <f t="shared" si="0"/>
        <v>52</v>
      </c>
      <c r="B66" s="5" t="s">
        <v>87</v>
      </c>
      <c r="C66" s="80">
        <v>45221</v>
      </c>
      <c r="D66" s="3">
        <v>360</v>
      </c>
      <c r="E66" s="81"/>
      <c r="F66" s="30" t="str">
        <f>VLOOKUP(E66,'Summary-Contracts'!$C$30:$F$62,3,0)</f>
        <v>N</v>
      </c>
      <c r="G66" s="2"/>
      <c r="H66" s="4">
        <v>1089.2857142857142</v>
      </c>
      <c r="I66" s="2" t="s">
        <v>91</v>
      </c>
      <c r="J66" s="49"/>
      <c r="K66" s="2" t="s">
        <v>84</v>
      </c>
      <c r="L66" s="2" t="s">
        <v>89</v>
      </c>
    </row>
    <row r="67" spans="1:12" ht="12.75" customHeight="1" x14ac:dyDescent="0.25">
      <c r="A67" s="2">
        <f t="shared" si="0"/>
        <v>53</v>
      </c>
      <c r="B67" s="5" t="s">
        <v>87</v>
      </c>
      <c r="C67" s="80">
        <v>45236</v>
      </c>
      <c r="D67" s="3">
        <v>626</v>
      </c>
      <c r="E67" s="81"/>
      <c r="F67" s="30" t="str">
        <f>VLOOKUP(E67,'Summary-Contracts'!$C$30:$F$62,3,0)</f>
        <v>N</v>
      </c>
      <c r="G67" s="2"/>
      <c r="H67" s="4">
        <v>1089.2857142857142</v>
      </c>
      <c r="I67" s="32" t="s">
        <v>91</v>
      </c>
      <c r="J67" s="49"/>
      <c r="K67" s="2" t="s">
        <v>86</v>
      </c>
      <c r="L67" s="2" t="s">
        <v>89</v>
      </c>
    </row>
    <row r="68" spans="1:12" ht="12.75" customHeight="1" x14ac:dyDescent="0.25">
      <c r="A68" s="2">
        <f t="shared" si="0"/>
        <v>54</v>
      </c>
      <c r="B68" s="5" t="s">
        <v>87</v>
      </c>
      <c r="C68" s="80">
        <v>45239</v>
      </c>
      <c r="D68" s="3">
        <v>627</v>
      </c>
      <c r="E68" s="81"/>
      <c r="F68" s="30" t="str">
        <f>VLOOKUP(E68,'Summary-Contracts'!$C$30:$F$62,3,0)</f>
        <v>N</v>
      </c>
      <c r="G68" s="2"/>
      <c r="H68" s="4">
        <v>1111.4285714285713</v>
      </c>
      <c r="I68" s="32" t="s">
        <v>90</v>
      </c>
      <c r="J68" s="49"/>
      <c r="K68" s="2" t="s">
        <v>86</v>
      </c>
      <c r="L68" s="2" t="s">
        <v>89</v>
      </c>
    </row>
    <row r="69" spans="1:12" ht="12.75" customHeight="1" x14ac:dyDescent="0.25">
      <c r="A69" s="2">
        <f t="shared" si="0"/>
        <v>55</v>
      </c>
      <c r="B69" s="5" t="s">
        <v>87</v>
      </c>
      <c r="C69" s="80">
        <v>45239</v>
      </c>
      <c r="D69" s="3">
        <v>628</v>
      </c>
      <c r="E69" s="81"/>
      <c r="F69" s="30" t="str">
        <f>VLOOKUP(E69,'Summary-Contracts'!$C$30:$F$62,3,0)</f>
        <v>N</v>
      </c>
      <c r="G69" s="2"/>
      <c r="H69" s="4">
        <v>1127.5</v>
      </c>
      <c r="I69" s="32" t="s">
        <v>90</v>
      </c>
      <c r="J69" s="49"/>
      <c r="K69" s="2" t="s">
        <v>86</v>
      </c>
      <c r="L69" s="2" t="s">
        <v>92</v>
      </c>
    </row>
    <row r="70" spans="1:12" ht="12.75" customHeight="1" x14ac:dyDescent="0.25">
      <c r="A70" s="2">
        <f t="shared" si="0"/>
        <v>56</v>
      </c>
      <c r="B70" s="5" t="s">
        <v>87</v>
      </c>
      <c r="C70" s="80">
        <v>45232</v>
      </c>
      <c r="D70" s="3">
        <v>629</v>
      </c>
      <c r="E70" s="81"/>
      <c r="F70" s="30" t="str">
        <f>VLOOKUP(E70,'Summary-Contracts'!$C$30:$F$62,3,0)</f>
        <v>N</v>
      </c>
      <c r="G70" s="2"/>
      <c r="H70" s="4">
        <v>1171.0714285714287</v>
      </c>
      <c r="I70" s="32" t="s">
        <v>91</v>
      </c>
      <c r="J70" s="49"/>
      <c r="K70" s="2" t="s">
        <v>86</v>
      </c>
      <c r="L70" s="2" t="s">
        <v>92</v>
      </c>
    </row>
    <row r="71" spans="1:12" ht="12.75" customHeight="1" x14ac:dyDescent="0.25">
      <c r="A71" s="2">
        <f t="shared" si="0"/>
        <v>57</v>
      </c>
      <c r="B71" s="5" t="s">
        <v>87</v>
      </c>
      <c r="C71" s="80">
        <v>45239</v>
      </c>
      <c r="D71" s="3">
        <v>630</v>
      </c>
      <c r="E71" s="81"/>
      <c r="F71" s="30" t="str">
        <f>VLOOKUP(E71,'Summary-Contracts'!$C$30:$F$62,3,0)</f>
        <v>N</v>
      </c>
      <c r="G71" s="2"/>
      <c r="H71" s="4">
        <v>1143.5714285714287</v>
      </c>
      <c r="I71" s="32" t="s">
        <v>90</v>
      </c>
      <c r="J71" s="49"/>
      <c r="K71" s="2" t="s">
        <v>86</v>
      </c>
      <c r="L71" s="2" t="s">
        <v>92</v>
      </c>
    </row>
    <row r="72" spans="1:12" ht="12.75" customHeight="1" x14ac:dyDescent="0.25">
      <c r="A72" s="2">
        <f t="shared" si="0"/>
        <v>58</v>
      </c>
      <c r="B72" s="5" t="s">
        <v>87</v>
      </c>
      <c r="C72" s="80">
        <v>45232</v>
      </c>
      <c r="D72" s="3">
        <v>632</v>
      </c>
      <c r="E72" s="81"/>
      <c r="F72" s="30" t="str">
        <f>VLOOKUP(E72,'Summary-Contracts'!$C$30:$F$62,3,0)</f>
        <v>N</v>
      </c>
      <c r="G72" s="2"/>
      <c r="H72" s="4">
        <v>1147.5</v>
      </c>
      <c r="I72" s="2" t="s">
        <v>91</v>
      </c>
      <c r="J72" s="49"/>
      <c r="K72" s="2" t="s">
        <v>86</v>
      </c>
      <c r="L72" s="2" t="s">
        <v>92</v>
      </c>
    </row>
    <row r="73" spans="1:12" ht="12.75" customHeight="1" x14ac:dyDescent="0.25">
      <c r="A73" s="2">
        <f t="shared" si="0"/>
        <v>59</v>
      </c>
      <c r="B73" s="5" t="s">
        <v>87</v>
      </c>
      <c r="C73" s="80">
        <v>45232</v>
      </c>
      <c r="D73" s="3">
        <v>633</v>
      </c>
      <c r="E73" s="81"/>
      <c r="F73" s="30" t="str">
        <f>VLOOKUP(E73,'Summary-Contracts'!$C$30:$F$62,3,0)</f>
        <v>N</v>
      </c>
      <c r="G73" s="2"/>
      <c r="H73" s="4">
        <v>1162.5</v>
      </c>
      <c r="I73" s="32" t="s">
        <v>88</v>
      </c>
      <c r="J73" s="49"/>
      <c r="K73" s="2" t="s">
        <v>86</v>
      </c>
      <c r="L73" s="2" t="s">
        <v>92</v>
      </c>
    </row>
    <row r="74" spans="1:12" ht="12.75" customHeight="1" x14ac:dyDescent="0.25">
      <c r="A74" s="2">
        <f t="shared" si="0"/>
        <v>60</v>
      </c>
      <c r="B74" s="5" t="s">
        <v>87</v>
      </c>
      <c r="C74" s="80">
        <v>45239</v>
      </c>
      <c r="D74" s="3">
        <v>634</v>
      </c>
      <c r="E74" s="81"/>
      <c r="F74" s="30" t="str">
        <f>VLOOKUP(E74,'Summary-Contracts'!$C$30:$F$62,3,0)</f>
        <v>N</v>
      </c>
      <c r="G74" s="2"/>
      <c r="H74" s="4">
        <v>1153.5714285714287</v>
      </c>
      <c r="I74" s="32" t="s">
        <v>90</v>
      </c>
      <c r="J74" s="49"/>
      <c r="K74" s="2" t="s">
        <v>86</v>
      </c>
      <c r="L74" s="2" t="s">
        <v>93</v>
      </c>
    </row>
    <row r="75" spans="1:12" ht="12.75" customHeight="1" x14ac:dyDescent="0.25">
      <c r="A75" s="2">
        <f t="shared" si="0"/>
        <v>61</v>
      </c>
      <c r="B75" s="5" t="s">
        <v>87</v>
      </c>
      <c r="C75" s="80">
        <v>45232</v>
      </c>
      <c r="D75" s="3">
        <v>635</v>
      </c>
      <c r="E75" s="81"/>
      <c r="F75" s="30" t="str">
        <f>VLOOKUP(E75,'Summary-Contracts'!$C$30:$F$62,3,0)</f>
        <v>N</v>
      </c>
      <c r="G75" s="2"/>
      <c r="H75" s="4">
        <v>1157.1428571428571</v>
      </c>
      <c r="I75" s="32" t="s">
        <v>91</v>
      </c>
      <c r="J75" s="49"/>
      <c r="K75" s="2" t="s">
        <v>86</v>
      </c>
      <c r="L75" s="2" t="s">
        <v>93</v>
      </c>
    </row>
    <row r="76" spans="1:12" ht="12.75" customHeight="1" x14ac:dyDescent="0.25">
      <c r="A76" s="2">
        <f t="shared" si="0"/>
        <v>62</v>
      </c>
      <c r="B76" s="5" t="s">
        <v>87</v>
      </c>
      <c r="C76" s="80">
        <v>45239</v>
      </c>
      <c r="D76" s="3">
        <v>253142</v>
      </c>
      <c r="E76" s="81"/>
      <c r="F76" s="30" t="str">
        <f>VLOOKUP(E76,'Summary-Contracts'!$C$30:$F$62,3,0)</f>
        <v>N</v>
      </c>
      <c r="G76" s="2"/>
      <c r="H76" s="4">
        <v>321.42857142857144</v>
      </c>
      <c r="I76" s="4"/>
      <c r="J76" s="49"/>
      <c r="K76" s="2" t="s">
        <v>86</v>
      </c>
      <c r="L76" s="2" t="s">
        <v>93</v>
      </c>
    </row>
    <row r="77" spans="1:12" ht="12.75" customHeight="1" x14ac:dyDescent="0.25">
      <c r="A77" s="2">
        <f t="shared" si="0"/>
        <v>63</v>
      </c>
      <c r="B77" s="5" t="s">
        <v>94</v>
      </c>
      <c r="C77" s="80">
        <v>45257</v>
      </c>
      <c r="D77" s="3"/>
      <c r="E77" s="81"/>
      <c r="F77" s="30" t="str">
        <f>VLOOKUP(E77,'Summary-Contracts'!$C$30:$F$62,3,0)</f>
        <v>N</v>
      </c>
      <c r="G77" s="2"/>
      <c r="H77" s="4">
        <v>3005.9</v>
      </c>
      <c r="I77" s="4"/>
      <c r="J77" s="49"/>
      <c r="K77" s="2" t="s">
        <v>85</v>
      </c>
      <c r="L77" s="3" t="s">
        <v>93</v>
      </c>
    </row>
    <row r="78" spans="1:12" ht="12.75" customHeight="1" x14ac:dyDescent="0.25">
      <c r="A78" s="2">
        <f t="shared" si="0"/>
        <v>64</v>
      </c>
      <c r="B78" s="5" t="s">
        <v>94</v>
      </c>
      <c r="C78" s="80">
        <v>45257</v>
      </c>
      <c r="D78" s="3"/>
      <c r="E78" s="81"/>
      <c r="F78" s="30" t="str">
        <f>VLOOKUP(E78,'Summary-Contracts'!$C$30:$F$62,3,0)</f>
        <v>N</v>
      </c>
      <c r="G78" s="2"/>
      <c r="H78" s="4">
        <v>1998.43</v>
      </c>
      <c r="I78" s="4"/>
      <c r="J78" s="49"/>
      <c r="K78" s="2" t="s">
        <v>95</v>
      </c>
      <c r="L78" s="3" t="s">
        <v>93</v>
      </c>
    </row>
    <row r="79" spans="1:12" ht="12.75" customHeight="1" x14ac:dyDescent="0.25">
      <c r="A79" s="2">
        <f t="shared" si="0"/>
        <v>65</v>
      </c>
      <c r="B79" s="5" t="s">
        <v>94</v>
      </c>
      <c r="C79" s="80">
        <v>45257</v>
      </c>
      <c r="D79" s="3"/>
      <c r="E79" s="81"/>
      <c r="F79" s="30" t="str">
        <f>VLOOKUP(E79,'Summary-Contracts'!$C$30:$F$62,3,0)</f>
        <v>N</v>
      </c>
      <c r="G79" s="2"/>
      <c r="H79" s="4">
        <v>3657.7983488000009</v>
      </c>
      <c r="I79" s="4"/>
      <c r="J79" s="49"/>
      <c r="K79" s="2" t="s">
        <v>96</v>
      </c>
      <c r="L79" s="3" t="s">
        <v>93</v>
      </c>
    </row>
    <row r="80" spans="1:12" ht="12.75" customHeight="1" x14ac:dyDescent="0.25">
      <c r="A80" s="2">
        <f t="shared" si="0"/>
        <v>66</v>
      </c>
      <c r="B80" s="5" t="s">
        <v>94</v>
      </c>
      <c r="C80" s="80">
        <v>45257</v>
      </c>
      <c r="D80" s="3"/>
      <c r="E80" s="81"/>
      <c r="F80" s="30" t="str">
        <f>VLOOKUP(E80,'Summary-Contracts'!$C$30:$F$62,3,0)</f>
        <v>N</v>
      </c>
      <c r="G80" s="2"/>
      <c r="H80" s="4">
        <v>2867.62</v>
      </c>
      <c r="I80" s="4"/>
      <c r="J80" s="49"/>
      <c r="K80" s="2" t="s">
        <v>82</v>
      </c>
      <c r="L80" s="3" t="s">
        <v>93</v>
      </c>
    </row>
    <row r="81" spans="1:12" ht="12.75" customHeight="1" x14ac:dyDescent="0.25">
      <c r="A81" s="2">
        <f t="shared" si="0"/>
        <v>67</v>
      </c>
      <c r="B81" s="5" t="s">
        <v>94</v>
      </c>
      <c r="C81" s="80">
        <v>45257</v>
      </c>
      <c r="D81" s="3"/>
      <c r="E81" s="81"/>
      <c r="F81" s="30" t="str">
        <f>VLOOKUP(E81,'Summary-Contracts'!$C$30:$F$62,3,0)</f>
        <v>N</v>
      </c>
      <c r="G81" s="2"/>
      <c r="H81" s="4">
        <v>8379.1</v>
      </c>
      <c r="I81" s="4"/>
      <c r="J81" s="49"/>
      <c r="K81" s="2" t="s">
        <v>85</v>
      </c>
      <c r="L81" s="3" t="s">
        <v>92</v>
      </c>
    </row>
    <row r="82" spans="1:12" ht="12.75" customHeight="1" x14ac:dyDescent="0.25">
      <c r="A82" s="2">
        <f t="shared" si="0"/>
        <v>68</v>
      </c>
      <c r="B82" s="5" t="s">
        <v>94</v>
      </c>
      <c r="C82" s="80">
        <v>45257</v>
      </c>
      <c r="D82" s="3"/>
      <c r="E82" s="81"/>
      <c r="F82" s="30" t="str">
        <f>VLOOKUP(E82,'Summary-Contracts'!$C$30:$F$62,3,0)</f>
        <v>N</v>
      </c>
      <c r="G82" s="2"/>
      <c r="H82" s="4">
        <v>6423.4116608000004</v>
      </c>
      <c r="I82" s="4"/>
      <c r="J82" s="49"/>
      <c r="K82" s="2" t="s">
        <v>97</v>
      </c>
      <c r="L82" s="3" t="s">
        <v>98</v>
      </c>
    </row>
    <row r="83" spans="1:12" ht="12.75" customHeight="1" x14ac:dyDescent="0.25">
      <c r="A83" s="2">
        <f t="shared" si="0"/>
        <v>69</v>
      </c>
      <c r="B83" s="5" t="s">
        <v>99</v>
      </c>
      <c r="C83" s="80">
        <v>45251</v>
      </c>
      <c r="D83" s="3">
        <v>407037</v>
      </c>
      <c r="E83" s="81">
        <v>34570</v>
      </c>
      <c r="F83" s="30" t="str">
        <f>VLOOKUP(E83,'Summary-Contracts'!$C$30:$F$62,3,0)</f>
        <v>Y</v>
      </c>
      <c r="G83" s="2"/>
      <c r="H83" s="4">
        <v>1174.643</v>
      </c>
      <c r="I83" s="4"/>
      <c r="J83" s="49"/>
      <c r="K83" s="2"/>
      <c r="L83" s="2" t="s">
        <v>93</v>
      </c>
    </row>
    <row r="84" spans="1:12" ht="12.75" customHeight="1" x14ac:dyDescent="0.25">
      <c r="A84" s="2">
        <f t="shared" si="0"/>
        <v>70</v>
      </c>
      <c r="B84" s="5" t="s">
        <v>99</v>
      </c>
      <c r="C84" s="80">
        <v>45251</v>
      </c>
      <c r="D84" s="3">
        <v>407038</v>
      </c>
      <c r="E84" s="81">
        <v>34570</v>
      </c>
      <c r="F84" s="30" t="str">
        <f>VLOOKUP(E84,'Summary-Contracts'!$C$30:$F$62,3,0)</f>
        <v>Y</v>
      </c>
      <c r="G84" s="2"/>
      <c r="H84" s="22">
        <v>1105.7139999999999</v>
      </c>
      <c r="I84" s="4"/>
      <c r="J84" s="49"/>
      <c r="K84" s="2"/>
      <c r="L84" s="2" t="s">
        <v>92</v>
      </c>
    </row>
    <row r="85" spans="1:12" ht="12.75" customHeight="1" x14ac:dyDescent="0.25">
      <c r="A85" s="2">
        <f t="shared" si="0"/>
        <v>71</v>
      </c>
      <c r="B85" s="5" t="s">
        <v>99</v>
      </c>
      <c r="C85" s="80">
        <v>45251</v>
      </c>
      <c r="D85" s="3">
        <v>407039</v>
      </c>
      <c r="E85" s="81">
        <v>34570</v>
      </c>
      <c r="F85" s="30" t="str">
        <f>VLOOKUP(E85,'Summary-Contracts'!$C$30:$F$62,3,0)</f>
        <v>Y</v>
      </c>
      <c r="G85" s="2"/>
      <c r="H85" s="4">
        <v>1195.7139999999999</v>
      </c>
      <c r="I85" s="4"/>
      <c r="J85" s="49"/>
      <c r="K85" s="2"/>
      <c r="L85" s="2" t="s">
        <v>89</v>
      </c>
    </row>
    <row r="86" spans="1:12" ht="12.75" customHeight="1" x14ac:dyDescent="0.25">
      <c r="A86" s="2">
        <f t="shared" si="0"/>
        <v>72</v>
      </c>
      <c r="B86" s="5" t="s">
        <v>99</v>
      </c>
      <c r="C86" s="80">
        <v>45282</v>
      </c>
      <c r="D86" s="3">
        <v>253186</v>
      </c>
      <c r="E86" s="81">
        <v>253186</v>
      </c>
      <c r="F86" s="30" t="str">
        <f>VLOOKUP(E86,'Summary-Contracts'!$C$30:$F$62,3,0)</f>
        <v>Y</v>
      </c>
      <c r="G86" s="2">
        <v>253186</v>
      </c>
      <c r="H86" s="4">
        <v>1043</v>
      </c>
      <c r="I86" s="4"/>
      <c r="J86" s="49">
        <v>15.1</v>
      </c>
      <c r="K86" s="2"/>
      <c r="L86" s="2" t="s">
        <v>98</v>
      </c>
    </row>
    <row r="87" spans="1:12" ht="12.75" customHeight="1" x14ac:dyDescent="0.25">
      <c r="A87" s="2">
        <f t="shared" si="0"/>
        <v>73</v>
      </c>
      <c r="B87" s="5" t="s">
        <v>99</v>
      </c>
      <c r="C87" s="80">
        <v>45403</v>
      </c>
      <c r="D87" s="3">
        <v>391752</v>
      </c>
      <c r="E87" s="81">
        <v>34442</v>
      </c>
      <c r="F87" s="30" t="str">
        <f>VLOOKUP(E87,'Summary-Contracts'!$C$30:$F$62,3,0)</f>
        <v>Y</v>
      </c>
      <c r="G87" s="2"/>
      <c r="H87" s="22">
        <v>1194.48</v>
      </c>
      <c r="I87" s="4"/>
      <c r="J87" s="49"/>
      <c r="K87" s="2"/>
      <c r="L87" s="2" t="s">
        <v>89</v>
      </c>
    </row>
    <row r="88" spans="1:12" ht="12.75" customHeight="1" x14ac:dyDescent="0.25">
      <c r="A88" s="2">
        <f t="shared" si="0"/>
        <v>74</v>
      </c>
      <c r="B88" s="5" t="s">
        <v>99</v>
      </c>
      <c r="C88" s="80">
        <v>45403</v>
      </c>
      <c r="D88" s="3">
        <v>380349</v>
      </c>
      <c r="E88" s="81">
        <v>34442</v>
      </c>
      <c r="F88" s="30" t="str">
        <f>VLOOKUP(E88,'Summary-Contracts'!$C$30:$F$62,3,0)</f>
        <v>Y</v>
      </c>
      <c r="G88" s="2"/>
      <c r="H88" s="22">
        <v>1194.48</v>
      </c>
      <c r="I88" s="4"/>
      <c r="J88" s="49"/>
      <c r="K88" s="2"/>
      <c r="L88" s="2" t="s">
        <v>92</v>
      </c>
    </row>
    <row r="89" spans="1:12" ht="12.75" customHeight="1" x14ac:dyDescent="0.25">
      <c r="A89" s="2">
        <f t="shared" si="0"/>
        <v>75</v>
      </c>
      <c r="B89" s="5" t="s">
        <v>99</v>
      </c>
      <c r="C89" s="80">
        <v>45403</v>
      </c>
      <c r="D89" s="3">
        <v>391751</v>
      </c>
      <c r="E89" s="81">
        <v>34442</v>
      </c>
      <c r="F89" s="30" t="str">
        <f>VLOOKUP(E89,'Summary-Contracts'!$C$30:$F$62,3,0)</f>
        <v>Y</v>
      </c>
      <c r="G89" s="2"/>
      <c r="H89" s="22">
        <v>1194.48</v>
      </c>
      <c r="I89" s="4"/>
      <c r="J89" s="49"/>
      <c r="K89" s="2"/>
      <c r="L89" s="2" t="s">
        <v>93</v>
      </c>
    </row>
    <row r="90" spans="1:12" ht="12.75" customHeight="1" x14ac:dyDescent="0.25">
      <c r="A90" s="2">
        <f t="shared" si="0"/>
        <v>76</v>
      </c>
      <c r="B90" s="5" t="s">
        <v>99</v>
      </c>
      <c r="C90" s="80">
        <v>45404</v>
      </c>
      <c r="D90" s="3">
        <v>391750</v>
      </c>
      <c r="E90" s="81">
        <v>34442</v>
      </c>
      <c r="F90" s="30" t="str">
        <f>VLOOKUP(E90,'Summary-Contracts'!$C$30:$F$62,3,0)</f>
        <v>Y</v>
      </c>
      <c r="G90" s="2"/>
      <c r="H90" s="22">
        <v>1194.48</v>
      </c>
      <c r="I90" s="4"/>
      <c r="J90" s="49"/>
      <c r="K90" s="2"/>
      <c r="L90" s="2" t="s">
        <v>93</v>
      </c>
    </row>
    <row r="91" spans="1:12" ht="12.75" customHeight="1" x14ac:dyDescent="0.25">
      <c r="A91" s="2">
        <f t="shared" si="0"/>
        <v>77</v>
      </c>
      <c r="B91" s="5" t="s">
        <v>99</v>
      </c>
      <c r="C91" s="80">
        <v>45404</v>
      </c>
      <c r="D91" s="3">
        <v>391753</v>
      </c>
      <c r="E91" s="81">
        <v>34442</v>
      </c>
      <c r="F91" s="30" t="str">
        <f>VLOOKUP(E91,'Summary-Contracts'!$C$30:$F$62,3,0)</f>
        <v>Y</v>
      </c>
      <c r="G91" s="2"/>
      <c r="H91" s="22">
        <v>1194.48</v>
      </c>
      <c r="I91" s="4"/>
      <c r="J91" s="49"/>
      <c r="K91" s="2"/>
      <c r="L91" s="2" t="s">
        <v>89</v>
      </c>
    </row>
    <row r="92" spans="1:12" ht="12.75" customHeight="1" x14ac:dyDescent="0.25">
      <c r="A92" s="2">
        <f t="shared" si="0"/>
        <v>78</v>
      </c>
      <c r="B92" s="5" t="s">
        <v>99</v>
      </c>
      <c r="C92" s="80">
        <v>45427</v>
      </c>
      <c r="D92" s="3">
        <v>442701</v>
      </c>
      <c r="E92" s="81">
        <v>34571</v>
      </c>
      <c r="F92" s="30" t="str">
        <f>VLOOKUP(E92,'Summary-Contracts'!$C$30:$F$62,3,0)</f>
        <v>Y</v>
      </c>
      <c r="G92" s="2"/>
      <c r="H92" s="22">
        <v>1194.48</v>
      </c>
      <c r="I92" s="4"/>
      <c r="J92" s="49"/>
      <c r="K92" s="2"/>
      <c r="L92" s="2" t="s">
        <v>92</v>
      </c>
    </row>
    <row r="93" spans="1:12" ht="12.75" customHeight="1" x14ac:dyDescent="0.25">
      <c r="A93" s="2">
        <f t="shared" si="0"/>
        <v>79</v>
      </c>
      <c r="B93" s="5" t="s">
        <v>99</v>
      </c>
      <c r="C93" s="80">
        <v>45427</v>
      </c>
      <c r="D93" s="3">
        <v>442702</v>
      </c>
      <c r="E93" s="81">
        <v>34571</v>
      </c>
      <c r="F93" s="30" t="str">
        <f>VLOOKUP(E93,'Summary-Contracts'!$C$30:$F$62,3,0)</f>
        <v>Y</v>
      </c>
      <c r="G93" s="2"/>
      <c r="H93" s="22">
        <v>1194.48</v>
      </c>
      <c r="I93" s="4"/>
      <c r="J93" s="49"/>
      <c r="K93" s="2"/>
      <c r="L93" s="2" t="s">
        <v>89</v>
      </c>
    </row>
    <row r="94" spans="1:12" ht="12.75" customHeight="1" x14ac:dyDescent="0.25">
      <c r="A94" s="2">
        <f t="shared" si="0"/>
        <v>80</v>
      </c>
      <c r="B94" s="5" t="s">
        <v>99</v>
      </c>
      <c r="C94" s="80">
        <v>45427</v>
      </c>
      <c r="D94" s="3">
        <v>442703</v>
      </c>
      <c r="E94" s="81">
        <v>34571</v>
      </c>
      <c r="F94" s="30" t="str">
        <f>VLOOKUP(E94,'Summary-Contracts'!$C$30:$F$62,3,0)</f>
        <v>Y</v>
      </c>
      <c r="G94" s="2"/>
      <c r="H94" s="22">
        <v>1194.48</v>
      </c>
      <c r="I94" s="4"/>
      <c r="J94" s="49"/>
      <c r="K94" s="2"/>
      <c r="L94" s="2" t="s">
        <v>92</v>
      </c>
    </row>
    <row r="95" spans="1:12" ht="12.75" customHeight="1" x14ac:dyDescent="0.25">
      <c r="A95" s="2">
        <f t="shared" si="0"/>
        <v>81</v>
      </c>
      <c r="B95" s="5" t="s">
        <v>99</v>
      </c>
      <c r="C95" s="80">
        <v>45428</v>
      </c>
      <c r="D95" s="3">
        <v>442704</v>
      </c>
      <c r="E95" s="81">
        <v>34571</v>
      </c>
      <c r="F95" s="30" t="str">
        <f>VLOOKUP(E95,'Summary-Contracts'!$C$30:$F$62,3,0)</f>
        <v>Y</v>
      </c>
      <c r="G95" s="2"/>
      <c r="H95" s="22">
        <v>1194.48</v>
      </c>
      <c r="I95" s="4"/>
      <c r="J95" s="49"/>
      <c r="K95" s="2"/>
      <c r="L95" s="2" t="s">
        <v>89</v>
      </c>
    </row>
    <row r="96" spans="1:12" ht="12.75" customHeight="1" x14ac:dyDescent="0.25">
      <c r="A96" s="2">
        <f t="shared" si="0"/>
        <v>82</v>
      </c>
      <c r="B96" s="5" t="s">
        <v>99</v>
      </c>
      <c r="C96" s="80">
        <v>45432</v>
      </c>
      <c r="D96" s="3">
        <v>442705</v>
      </c>
      <c r="E96" s="81">
        <v>34571</v>
      </c>
      <c r="F96" s="30" t="str">
        <f>VLOOKUP(E96,'Summary-Contracts'!$C$30:$F$62,3,0)</f>
        <v>Y</v>
      </c>
      <c r="G96" s="2"/>
      <c r="H96" s="22">
        <v>1194.48</v>
      </c>
      <c r="I96" s="4"/>
      <c r="J96" s="49"/>
      <c r="K96" s="2"/>
      <c r="L96" s="2" t="s">
        <v>89</v>
      </c>
    </row>
    <row r="97" spans="1:12" ht="12.75" customHeight="1" x14ac:dyDescent="0.25">
      <c r="A97" s="2">
        <f t="shared" si="0"/>
        <v>83</v>
      </c>
      <c r="B97" s="5" t="s">
        <v>99</v>
      </c>
      <c r="C97" s="80">
        <v>45432</v>
      </c>
      <c r="D97" s="37">
        <v>253114</v>
      </c>
      <c r="E97" s="81" t="s">
        <v>47</v>
      </c>
      <c r="F97" s="30" t="str">
        <f>VLOOKUP(E97,'Summary-Contracts'!$C$30:$F$62,3,0)</f>
        <v>Y</v>
      </c>
      <c r="G97" s="2"/>
      <c r="H97" s="22">
        <v>936</v>
      </c>
      <c r="I97" s="4"/>
      <c r="J97" s="49"/>
      <c r="K97" s="2"/>
      <c r="L97" s="2" t="s">
        <v>89</v>
      </c>
    </row>
    <row r="98" spans="1:12" ht="12.75" customHeight="1" x14ac:dyDescent="0.25">
      <c r="A98" s="2">
        <f t="shared" si="0"/>
        <v>84</v>
      </c>
      <c r="B98" s="5" t="s">
        <v>99</v>
      </c>
      <c r="C98" s="80">
        <v>45436</v>
      </c>
      <c r="D98" s="37">
        <v>253122</v>
      </c>
      <c r="E98" s="81" t="s">
        <v>47</v>
      </c>
      <c r="F98" s="30" t="str">
        <f>VLOOKUP(E98,'Summary-Contracts'!$C$30:$F$62,3,0)</f>
        <v>Y</v>
      </c>
      <c r="G98" s="2"/>
      <c r="H98" s="22">
        <v>1151</v>
      </c>
      <c r="I98" s="4"/>
      <c r="J98" s="49"/>
      <c r="K98" s="2"/>
      <c r="L98" s="2" t="s">
        <v>89</v>
      </c>
    </row>
    <row r="99" spans="1:12" ht="12.75" customHeight="1" x14ac:dyDescent="0.25">
      <c r="A99" s="2">
        <f t="shared" si="0"/>
        <v>85</v>
      </c>
      <c r="B99" s="5" t="s">
        <v>99</v>
      </c>
      <c r="C99" s="80">
        <v>45449</v>
      </c>
      <c r="D99" s="3">
        <v>26810</v>
      </c>
      <c r="E99" s="81" t="s">
        <v>45</v>
      </c>
      <c r="F99" s="30" t="str">
        <f>VLOOKUP(E99,'Summary-Contracts'!$C$30:$F$62,3,0)</f>
        <v>Y</v>
      </c>
      <c r="G99" s="2" t="s">
        <v>62</v>
      </c>
      <c r="H99" s="22">
        <v>1278.21</v>
      </c>
      <c r="I99" s="4"/>
      <c r="J99" s="49"/>
      <c r="K99" s="2"/>
      <c r="L99" s="2" t="s">
        <v>89</v>
      </c>
    </row>
    <row r="100" spans="1:12" ht="12.75" customHeight="1" x14ac:dyDescent="0.25">
      <c r="A100" s="2">
        <f t="shared" si="0"/>
        <v>86</v>
      </c>
      <c r="B100" s="5" t="s">
        <v>99</v>
      </c>
      <c r="C100" s="80">
        <v>45449</v>
      </c>
      <c r="D100" s="3">
        <v>26173</v>
      </c>
      <c r="E100" s="81" t="s">
        <v>45</v>
      </c>
      <c r="F100" s="30" t="str">
        <f>VLOOKUP(E100,'Summary-Contracts'!$C$30:$F$62,3,0)</f>
        <v>Y</v>
      </c>
      <c r="G100" s="2" t="s">
        <v>61</v>
      </c>
      <c r="H100" s="22">
        <v>1183.57</v>
      </c>
      <c r="I100" s="4"/>
      <c r="J100" s="49"/>
      <c r="K100" s="2"/>
      <c r="L100" s="2" t="s">
        <v>92</v>
      </c>
    </row>
    <row r="101" spans="1:12" ht="12.75" customHeight="1" x14ac:dyDescent="0.25">
      <c r="A101" s="2">
        <f t="shared" si="0"/>
        <v>87</v>
      </c>
      <c r="B101" s="5" t="s">
        <v>99</v>
      </c>
      <c r="C101" s="80">
        <v>45447</v>
      </c>
      <c r="D101" s="3">
        <v>26171</v>
      </c>
      <c r="E101" s="81" t="s">
        <v>45</v>
      </c>
      <c r="F101" s="30" t="str">
        <f>VLOOKUP(E101,'Summary-Contracts'!$C$30:$F$62,3,0)</f>
        <v>Y</v>
      </c>
      <c r="G101" s="2" t="s">
        <v>61</v>
      </c>
      <c r="H101" s="22">
        <v>1215.3599999999999</v>
      </c>
      <c r="I101" s="4"/>
      <c r="J101" s="49"/>
      <c r="K101" s="2"/>
      <c r="L101" s="2" t="s">
        <v>93</v>
      </c>
    </row>
    <row r="102" spans="1:12" ht="12.75" customHeight="1" x14ac:dyDescent="0.25">
      <c r="A102" s="2">
        <f t="shared" si="0"/>
        <v>88</v>
      </c>
      <c r="B102" s="5" t="s">
        <v>99</v>
      </c>
      <c r="C102" s="80">
        <v>45447</v>
      </c>
      <c r="D102" s="3">
        <v>26172</v>
      </c>
      <c r="E102" s="81" t="s">
        <v>45</v>
      </c>
      <c r="F102" s="30" t="str">
        <f>VLOOKUP(E102,'Summary-Contracts'!$C$30:$F$62,3,0)</f>
        <v>Y</v>
      </c>
      <c r="G102" s="2" t="s">
        <v>61</v>
      </c>
      <c r="H102" s="22">
        <v>1212.1400000000001</v>
      </c>
      <c r="I102" s="4"/>
      <c r="J102" s="49"/>
      <c r="K102" s="2"/>
      <c r="L102" s="2" t="s">
        <v>89</v>
      </c>
    </row>
    <row r="103" spans="1:12" ht="12.75" customHeight="1" x14ac:dyDescent="0.25">
      <c r="A103" s="2">
        <f t="shared" si="0"/>
        <v>89</v>
      </c>
      <c r="B103" s="5" t="s">
        <v>99</v>
      </c>
      <c r="C103" s="80">
        <v>45446</v>
      </c>
      <c r="D103" s="3">
        <v>27352</v>
      </c>
      <c r="E103" s="81" t="s">
        <v>46</v>
      </c>
      <c r="F103" s="30" t="str">
        <f>VLOOKUP(E103,'Summary-Contracts'!$C$30:$F$62,3,0)</f>
        <v>Y</v>
      </c>
      <c r="G103" s="2" t="s">
        <v>61</v>
      </c>
      <c r="H103" s="22">
        <v>1170.3599999999999</v>
      </c>
      <c r="I103" s="4"/>
      <c r="J103" s="49"/>
      <c r="K103" s="2"/>
      <c r="L103" s="2" t="s">
        <v>89</v>
      </c>
    </row>
    <row r="104" spans="1:12" ht="12.75" customHeight="1" x14ac:dyDescent="0.25">
      <c r="A104" s="2">
        <f t="shared" si="0"/>
        <v>90</v>
      </c>
      <c r="B104" s="5" t="s">
        <v>99</v>
      </c>
      <c r="C104" s="80">
        <v>45449</v>
      </c>
      <c r="D104" s="3">
        <v>26174</v>
      </c>
      <c r="E104" s="81" t="s">
        <v>46</v>
      </c>
      <c r="F104" s="30" t="str">
        <f>VLOOKUP(E104,'Summary-Contracts'!$C$30:$F$62,3,0)</f>
        <v>Y</v>
      </c>
      <c r="G104" s="2" t="s">
        <v>62</v>
      </c>
      <c r="H104" s="22">
        <v>1211.43</v>
      </c>
      <c r="I104" s="4"/>
      <c r="J104" s="49"/>
      <c r="K104" s="2"/>
      <c r="L104" s="2" t="s">
        <v>89</v>
      </c>
    </row>
    <row r="105" spans="1:12" ht="12.75" customHeight="1" x14ac:dyDescent="0.25">
      <c r="A105" s="2">
        <f t="shared" si="0"/>
        <v>91</v>
      </c>
      <c r="B105" s="5" t="s">
        <v>99</v>
      </c>
      <c r="C105" s="80">
        <v>45449</v>
      </c>
      <c r="D105" s="3">
        <v>26811</v>
      </c>
      <c r="E105" s="81" t="s">
        <v>46</v>
      </c>
      <c r="F105" s="30" t="str">
        <f>VLOOKUP(E105,'Summary-Contracts'!$C$30:$F$62,3,0)</f>
        <v>Y</v>
      </c>
      <c r="G105" s="2" t="s">
        <v>62</v>
      </c>
      <c r="H105" s="22">
        <v>1212.8599999999999</v>
      </c>
      <c r="I105" s="4"/>
      <c r="J105" s="49"/>
      <c r="K105" s="2"/>
      <c r="L105" s="2" t="s">
        <v>89</v>
      </c>
    </row>
    <row r="106" spans="1:12" ht="12.75" customHeight="1" x14ac:dyDescent="0.25">
      <c r="A106" s="2">
        <f t="shared" si="0"/>
        <v>92</v>
      </c>
      <c r="B106" s="5" t="s">
        <v>99</v>
      </c>
      <c r="C106" s="80">
        <v>45450</v>
      </c>
      <c r="D106" s="3">
        <v>26175</v>
      </c>
      <c r="E106" s="81" t="s">
        <v>46</v>
      </c>
      <c r="F106" s="30" t="str">
        <f>VLOOKUP(E106,'Summary-Contracts'!$C$30:$F$62,3,0)</f>
        <v>Y</v>
      </c>
      <c r="G106" s="2" t="s">
        <v>62</v>
      </c>
      <c r="H106" s="22">
        <v>1240</v>
      </c>
      <c r="I106" s="4"/>
      <c r="J106" s="49"/>
      <c r="K106" s="2"/>
      <c r="L106" s="2" t="s">
        <v>92</v>
      </c>
    </row>
    <row r="107" spans="1:12" ht="12.75" customHeight="1" x14ac:dyDescent="0.25">
      <c r="A107" s="2">
        <f t="shared" si="0"/>
        <v>93</v>
      </c>
      <c r="B107" s="5" t="s">
        <v>99</v>
      </c>
      <c r="C107" s="80">
        <v>45460</v>
      </c>
      <c r="D107" s="37">
        <v>442706</v>
      </c>
      <c r="E107" s="81">
        <v>34570</v>
      </c>
      <c r="F107" s="30" t="str">
        <f>VLOOKUP(E107,'Summary-Contracts'!$C$30:$F$62,3,0)</f>
        <v>Y</v>
      </c>
      <c r="G107" s="2"/>
      <c r="H107" s="22">
        <v>1194.48</v>
      </c>
      <c r="I107" s="4"/>
      <c r="J107" s="49"/>
      <c r="K107" s="2"/>
      <c r="L107" s="2" t="s">
        <v>89</v>
      </c>
    </row>
    <row r="108" spans="1:12" ht="12.75" customHeight="1" x14ac:dyDescent="0.25">
      <c r="A108" s="2">
        <f t="shared" si="0"/>
        <v>94</v>
      </c>
      <c r="B108" s="5" t="s">
        <v>99</v>
      </c>
      <c r="C108" s="80">
        <v>45460</v>
      </c>
      <c r="D108" s="37">
        <v>442707</v>
      </c>
      <c r="E108" s="81">
        <v>34570</v>
      </c>
      <c r="F108" s="30" t="str">
        <f>VLOOKUP(E108,'Summary-Contracts'!$C$30:$F$62,3,0)</f>
        <v>Y</v>
      </c>
      <c r="G108" s="2"/>
      <c r="H108" s="22">
        <v>1194.48</v>
      </c>
      <c r="I108" s="4"/>
      <c r="J108" s="49"/>
      <c r="K108" s="2"/>
      <c r="L108" s="2" t="s">
        <v>92</v>
      </c>
    </row>
    <row r="109" spans="1:12" ht="12.75" customHeight="1" x14ac:dyDescent="0.25">
      <c r="A109" s="2">
        <f t="shared" si="0"/>
        <v>95</v>
      </c>
      <c r="B109" s="5" t="s">
        <v>99</v>
      </c>
      <c r="C109" s="80">
        <v>45462</v>
      </c>
      <c r="D109" s="37">
        <v>442708</v>
      </c>
      <c r="E109" s="81">
        <v>34570</v>
      </c>
      <c r="F109" s="30" t="str">
        <f>VLOOKUP(E109,'Summary-Contracts'!$C$30:$F$62,3,0)</f>
        <v>Y</v>
      </c>
      <c r="G109" s="2"/>
      <c r="H109" s="22">
        <v>1194.48</v>
      </c>
      <c r="I109" s="4"/>
      <c r="J109" s="49"/>
      <c r="K109" s="2"/>
      <c r="L109" s="2" t="s">
        <v>92</v>
      </c>
    </row>
    <row r="110" spans="1:12" ht="12.75" customHeight="1" x14ac:dyDescent="0.25">
      <c r="A110" s="2">
        <f t="shared" si="0"/>
        <v>96</v>
      </c>
      <c r="B110" s="5" t="s">
        <v>99</v>
      </c>
      <c r="C110" s="80">
        <v>45463</v>
      </c>
      <c r="D110" s="37">
        <v>442709</v>
      </c>
      <c r="E110" s="81">
        <v>34570</v>
      </c>
      <c r="F110" s="30" t="str">
        <f>VLOOKUP(E110,'Summary-Contracts'!$C$30:$F$62,3,0)</f>
        <v>Y</v>
      </c>
      <c r="G110" s="2"/>
      <c r="H110" s="22">
        <v>1194.48</v>
      </c>
      <c r="I110" s="4"/>
      <c r="J110" s="49"/>
      <c r="K110" s="2"/>
      <c r="L110" s="2" t="s">
        <v>89</v>
      </c>
    </row>
    <row r="111" spans="1:12" ht="12.75" customHeight="1" x14ac:dyDescent="0.25">
      <c r="A111" s="2">
        <f t="shared" si="0"/>
        <v>97</v>
      </c>
      <c r="B111" s="5" t="s">
        <v>99</v>
      </c>
      <c r="C111" s="80">
        <v>45463</v>
      </c>
      <c r="D111" s="37">
        <v>442710</v>
      </c>
      <c r="E111" s="81">
        <v>34570</v>
      </c>
      <c r="F111" s="30" t="str">
        <f>VLOOKUP(E111,'Summary-Contracts'!$C$30:$F$62,3,0)</f>
        <v>Y</v>
      </c>
      <c r="G111" s="2"/>
      <c r="H111" s="22">
        <v>1194.48</v>
      </c>
      <c r="I111" s="4"/>
      <c r="J111" s="49"/>
      <c r="K111" s="2"/>
      <c r="L111" s="2" t="s">
        <v>89</v>
      </c>
    </row>
    <row r="112" spans="1:12" ht="12.75" customHeight="1" x14ac:dyDescent="0.25">
      <c r="A112" s="2">
        <f t="shared" si="0"/>
        <v>98</v>
      </c>
      <c r="B112" s="5"/>
      <c r="C112" s="80"/>
      <c r="D112" s="3"/>
      <c r="E112" s="81"/>
      <c r="F112" s="30" t="str">
        <f>VLOOKUP(E112,'Summary-Contracts'!$C$30:$F$62,3,0)</f>
        <v>N</v>
      </c>
      <c r="G112" s="2"/>
      <c r="H112" s="22">
        <v>0</v>
      </c>
      <c r="I112" s="4"/>
      <c r="J112" s="49"/>
      <c r="K112" s="2"/>
      <c r="L112" s="2"/>
    </row>
    <row r="113" spans="1:12" ht="12.75" customHeight="1" x14ac:dyDescent="0.25">
      <c r="A113" s="2">
        <f t="shared" si="0"/>
        <v>99</v>
      </c>
      <c r="B113" s="5"/>
      <c r="C113" s="80"/>
      <c r="D113" s="3"/>
      <c r="E113" s="81"/>
      <c r="F113" s="30" t="str">
        <f>VLOOKUP(E113,'Summary-Contracts'!$C$30:$F$62,3,0)</f>
        <v>N</v>
      </c>
      <c r="G113" s="2"/>
      <c r="H113" s="22">
        <v>0</v>
      </c>
      <c r="I113" s="4"/>
      <c r="J113" s="49"/>
      <c r="K113" s="2"/>
      <c r="L113" s="2"/>
    </row>
    <row r="114" spans="1:12" ht="12.75" customHeight="1" x14ac:dyDescent="0.25">
      <c r="A114" s="2">
        <f t="shared" si="0"/>
        <v>100</v>
      </c>
      <c r="B114" s="5"/>
      <c r="C114" s="80"/>
      <c r="D114" s="3"/>
      <c r="E114" s="81"/>
      <c r="F114" s="30" t="str">
        <f>VLOOKUP(E114,'Summary-Contracts'!$C$30:$F$62,3,0)</f>
        <v>N</v>
      </c>
      <c r="G114" s="2"/>
      <c r="H114" s="22">
        <v>0</v>
      </c>
      <c r="I114" s="4"/>
      <c r="J114" s="49"/>
      <c r="K114" s="2"/>
      <c r="L114" s="2"/>
    </row>
    <row r="115" spans="1:12" ht="12.75" customHeight="1" x14ac:dyDescent="0.25">
      <c r="A115" s="2">
        <f t="shared" si="0"/>
        <v>101</v>
      </c>
      <c r="B115" s="5"/>
      <c r="C115" s="80"/>
      <c r="D115" s="3"/>
      <c r="E115" s="81"/>
      <c r="F115" s="30" t="str">
        <f>VLOOKUP(E115,'Summary-Contracts'!$C$30:$F$62,3,0)</f>
        <v>N</v>
      </c>
      <c r="G115" s="2"/>
      <c r="H115" s="22">
        <v>0</v>
      </c>
      <c r="I115" s="4"/>
      <c r="J115" s="49"/>
      <c r="K115" s="2"/>
      <c r="L115" s="2"/>
    </row>
    <row r="116" spans="1:12" ht="12.75" customHeight="1" x14ac:dyDescent="0.25">
      <c r="A116" s="2">
        <f t="shared" si="0"/>
        <v>102</v>
      </c>
      <c r="B116" s="5"/>
      <c r="C116" s="80"/>
      <c r="D116" s="3"/>
      <c r="E116" s="81"/>
      <c r="F116" s="30" t="str">
        <f>VLOOKUP(E116,'Summary-Contracts'!$C$30:$F$62,3,0)</f>
        <v>N</v>
      </c>
      <c r="G116" s="2"/>
      <c r="H116" s="22">
        <v>0</v>
      </c>
      <c r="I116" s="4"/>
      <c r="J116" s="49"/>
      <c r="K116" s="2"/>
      <c r="L116" s="2"/>
    </row>
    <row r="117" spans="1:12" ht="12.75" customHeight="1" x14ac:dyDescent="0.25">
      <c r="A117" s="2">
        <f t="shared" si="0"/>
        <v>103</v>
      </c>
      <c r="B117" s="5"/>
      <c r="C117" s="80"/>
      <c r="D117" s="3"/>
      <c r="E117" s="81"/>
      <c r="F117" s="30" t="str">
        <f>VLOOKUP(E117,'Summary-Contracts'!$C$30:$F$62,3,0)</f>
        <v>N</v>
      </c>
      <c r="G117" s="2"/>
      <c r="H117" s="22">
        <v>0</v>
      </c>
      <c r="I117" s="4"/>
      <c r="J117" s="49"/>
      <c r="K117" s="2"/>
      <c r="L117" s="2"/>
    </row>
    <row r="118" spans="1:12" ht="12.75" customHeight="1" x14ac:dyDescent="0.25">
      <c r="A118" s="2">
        <f t="shared" si="0"/>
        <v>104</v>
      </c>
      <c r="B118" s="5"/>
      <c r="C118" s="80"/>
      <c r="D118" s="3"/>
      <c r="E118" s="81"/>
      <c r="F118" s="30" t="str">
        <f>VLOOKUP(E118,'Summary-Contracts'!$C$30:$F$62,3,0)</f>
        <v>N</v>
      </c>
      <c r="G118" s="2"/>
      <c r="H118" s="22">
        <v>0</v>
      </c>
      <c r="I118" s="4"/>
      <c r="J118" s="49"/>
      <c r="K118" s="2"/>
      <c r="L118" s="2"/>
    </row>
    <row r="119" spans="1:12" ht="12.75" customHeight="1" x14ac:dyDescent="0.25">
      <c r="A119" s="2">
        <f t="shared" si="0"/>
        <v>105</v>
      </c>
      <c r="B119" s="5"/>
      <c r="C119" s="80"/>
      <c r="D119" s="3"/>
      <c r="E119" s="81"/>
      <c r="F119" s="30" t="str">
        <f>VLOOKUP(E119,'Summary-Contracts'!$C$30:$F$62,3,0)</f>
        <v>N</v>
      </c>
      <c r="G119" s="2"/>
      <c r="H119" s="22">
        <v>0</v>
      </c>
      <c r="I119" s="4"/>
      <c r="J119" s="49"/>
      <c r="K119" s="2"/>
      <c r="L119" s="2"/>
    </row>
    <row r="120" spans="1:12" ht="12.75" customHeight="1" x14ac:dyDescent="0.25">
      <c r="A120" s="2">
        <f t="shared" si="0"/>
        <v>106</v>
      </c>
      <c r="B120" s="5"/>
      <c r="C120" s="80"/>
      <c r="D120" s="3"/>
      <c r="E120" s="81"/>
      <c r="F120" s="30" t="str">
        <f>VLOOKUP(E120,'Summary-Contracts'!$C$30:$F$62,3,0)</f>
        <v>N</v>
      </c>
      <c r="G120" s="2"/>
      <c r="H120" s="22">
        <v>0</v>
      </c>
      <c r="I120" s="4"/>
      <c r="J120" s="49"/>
      <c r="K120" s="2"/>
      <c r="L120" s="2"/>
    </row>
    <row r="121" spans="1:12" ht="12.75" customHeight="1" x14ac:dyDescent="0.25">
      <c r="A121" s="2">
        <f t="shared" si="0"/>
        <v>107</v>
      </c>
      <c r="B121" s="5"/>
      <c r="C121" s="80"/>
      <c r="D121" s="3"/>
      <c r="E121" s="81"/>
      <c r="F121" s="30" t="str">
        <f>VLOOKUP(E121,'Summary-Contracts'!$C$30:$F$62,3,0)</f>
        <v>N</v>
      </c>
      <c r="G121" s="2"/>
      <c r="H121" s="22">
        <v>0</v>
      </c>
      <c r="I121" s="4"/>
      <c r="J121" s="49"/>
      <c r="K121" s="2"/>
      <c r="L121" s="2"/>
    </row>
    <row r="122" spans="1:12" ht="12.75" customHeight="1" x14ac:dyDescent="0.25">
      <c r="A122" s="2">
        <f t="shared" si="0"/>
        <v>108</v>
      </c>
      <c r="B122" s="5"/>
      <c r="C122" s="80"/>
      <c r="D122" s="3"/>
      <c r="E122" s="81"/>
      <c r="F122" s="30" t="str">
        <f>VLOOKUP(E122,'Summary-Contracts'!$C$30:$F$62,3,0)</f>
        <v>N</v>
      </c>
      <c r="G122" s="2"/>
      <c r="H122" s="22">
        <v>0</v>
      </c>
      <c r="I122" s="4"/>
      <c r="J122" s="49"/>
      <c r="K122" s="2"/>
      <c r="L122" s="2"/>
    </row>
    <row r="123" spans="1:12" ht="12.75" customHeight="1" x14ac:dyDescent="0.25">
      <c r="A123" s="2">
        <f t="shared" si="0"/>
        <v>109</v>
      </c>
      <c r="B123" s="5"/>
      <c r="C123" s="80"/>
      <c r="D123" s="3"/>
      <c r="E123" s="81"/>
      <c r="F123" s="30" t="str">
        <f>VLOOKUP(E123,'Summary-Contracts'!$C$30:$F$62,3,0)</f>
        <v>N</v>
      </c>
      <c r="G123" s="2"/>
      <c r="H123" s="22">
        <v>0</v>
      </c>
      <c r="I123" s="4"/>
      <c r="J123" s="49"/>
      <c r="K123" s="2"/>
      <c r="L123" s="2"/>
    </row>
    <row r="124" spans="1:12" ht="12.75" customHeight="1" x14ac:dyDescent="0.25">
      <c r="A124" s="2">
        <f t="shared" si="0"/>
        <v>110</v>
      </c>
      <c r="B124" s="5"/>
      <c r="C124" s="80"/>
      <c r="D124" s="3"/>
      <c r="E124" s="81"/>
      <c r="F124" s="30" t="str">
        <f>VLOOKUP(E124,'Summary-Contracts'!$C$30:$F$62,3,0)</f>
        <v>N</v>
      </c>
      <c r="G124" s="2"/>
      <c r="H124" s="22">
        <v>0</v>
      </c>
      <c r="I124" s="4"/>
      <c r="J124" s="49"/>
      <c r="K124" s="2"/>
      <c r="L124" s="2"/>
    </row>
    <row r="125" spans="1:12" ht="12.75" customHeight="1" x14ac:dyDescent="0.25">
      <c r="A125" s="2">
        <f t="shared" si="0"/>
        <v>111</v>
      </c>
      <c r="B125" s="5"/>
      <c r="C125" s="80"/>
      <c r="D125" s="3"/>
      <c r="E125" s="81"/>
      <c r="F125" s="30" t="str">
        <f>VLOOKUP(E125,'Summary-Contracts'!$C$30:$F$62,3,0)</f>
        <v>N</v>
      </c>
      <c r="G125" s="2"/>
      <c r="H125" s="22">
        <v>0</v>
      </c>
      <c r="I125" s="4"/>
      <c r="J125" s="49"/>
      <c r="K125" s="2"/>
      <c r="L125" s="2"/>
    </row>
    <row r="126" spans="1:12" ht="12.75" customHeight="1" x14ac:dyDescent="0.25">
      <c r="A126" s="2">
        <f t="shared" si="0"/>
        <v>112</v>
      </c>
      <c r="B126" s="5"/>
      <c r="C126" s="80"/>
      <c r="D126" s="3"/>
      <c r="E126" s="81"/>
      <c r="F126" s="30" t="str">
        <f>VLOOKUP(E126,'Summary-Contracts'!$C$30:$F$62,3,0)</f>
        <v>N</v>
      </c>
      <c r="G126" s="2"/>
      <c r="H126" s="22">
        <v>0</v>
      </c>
      <c r="I126" s="4"/>
      <c r="J126" s="49"/>
      <c r="K126" s="2"/>
      <c r="L126" s="2"/>
    </row>
    <row r="127" spans="1:12" ht="12.75" customHeight="1" x14ac:dyDescent="0.25">
      <c r="A127" s="2">
        <f t="shared" si="0"/>
        <v>113</v>
      </c>
      <c r="B127" s="5"/>
      <c r="C127" s="80"/>
      <c r="D127" s="3"/>
      <c r="E127" s="81"/>
      <c r="F127" s="30" t="str">
        <f>VLOOKUP(E127,'Summary-Contracts'!$C$30:$F$62,3,0)</f>
        <v>N</v>
      </c>
      <c r="G127" s="2"/>
      <c r="H127" s="22">
        <v>0</v>
      </c>
      <c r="I127" s="4"/>
      <c r="J127" s="49"/>
      <c r="K127" s="2"/>
      <c r="L127" s="2"/>
    </row>
    <row r="128" spans="1:12" ht="12.75" customHeight="1" x14ac:dyDescent="0.25">
      <c r="A128" s="2">
        <f t="shared" si="0"/>
        <v>114</v>
      </c>
      <c r="B128" s="5"/>
      <c r="C128" s="80"/>
      <c r="D128" s="3"/>
      <c r="E128" s="81"/>
      <c r="F128" s="30" t="str">
        <f>VLOOKUP(E128,'Summary-Contracts'!$C$30:$F$62,3,0)</f>
        <v>N</v>
      </c>
      <c r="G128" s="2"/>
      <c r="H128" s="22">
        <v>0</v>
      </c>
      <c r="I128" s="4"/>
      <c r="J128" s="49"/>
      <c r="K128" s="2"/>
      <c r="L128" s="2"/>
    </row>
    <row r="129" spans="1:12" ht="12.75" customHeight="1" x14ac:dyDescent="0.25">
      <c r="A129" s="2">
        <f t="shared" si="0"/>
        <v>115</v>
      </c>
      <c r="B129" s="5"/>
      <c r="C129" s="80"/>
      <c r="D129" s="3"/>
      <c r="E129" s="81"/>
      <c r="F129" s="30" t="str">
        <f>VLOOKUP(E129,'Summary-Contracts'!$C$30:$F$62,3,0)</f>
        <v>N</v>
      </c>
      <c r="G129" s="2"/>
      <c r="H129" s="22">
        <v>0</v>
      </c>
      <c r="I129" s="4"/>
      <c r="J129" s="49"/>
      <c r="K129" s="2"/>
      <c r="L129" s="2"/>
    </row>
    <row r="130" spans="1:12" ht="12.75" customHeight="1" x14ac:dyDescent="0.25">
      <c r="A130" s="2">
        <f t="shared" si="0"/>
        <v>116</v>
      </c>
      <c r="B130" s="5"/>
      <c r="C130" s="80"/>
      <c r="D130" s="3"/>
      <c r="E130" s="81"/>
      <c r="F130" s="30" t="str">
        <f>VLOOKUP(E130,'Summary-Contracts'!$C$30:$F$62,3,0)</f>
        <v>N</v>
      </c>
      <c r="G130" s="2"/>
      <c r="H130" s="22">
        <v>0</v>
      </c>
      <c r="I130" s="4"/>
      <c r="J130" s="49"/>
      <c r="K130" s="2"/>
      <c r="L130" s="2"/>
    </row>
    <row r="131" spans="1:12" ht="12.75" customHeight="1" x14ac:dyDescent="0.25">
      <c r="A131" s="2">
        <f t="shared" si="0"/>
        <v>117</v>
      </c>
      <c r="B131" s="5"/>
      <c r="C131" s="80"/>
      <c r="D131" s="3"/>
      <c r="E131" s="81"/>
      <c r="F131" s="30" t="str">
        <f>VLOOKUP(E131,'Summary-Contracts'!$C$30:$F$62,3,0)</f>
        <v>N</v>
      </c>
      <c r="G131" s="2"/>
      <c r="H131" s="22">
        <v>0</v>
      </c>
      <c r="I131" s="4"/>
      <c r="J131" s="49"/>
      <c r="K131" s="2"/>
      <c r="L131" s="2"/>
    </row>
    <row r="132" spans="1:12" ht="12.75" customHeight="1" x14ac:dyDescent="0.25">
      <c r="A132" s="2">
        <f t="shared" si="0"/>
        <v>118</v>
      </c>
      <c r="B132" s="5"/>
      <c r="C132" s="80"/>
      <c r="D132" s="3"/>
      <c r="E132" s="81"/>
      <c r="F132" s="30" t="str">
        <f>VLOOKUP(E132,'Summary-Contracts'!$C$30:$F$62,3,0)</f>
        <v>N</v>
      </c>
      <c r="G132" s="2"/>
      <c r="H132" s="22">
        <v>0</v>
      </c>
      <c r="I132" s="4"/>
      <c r="J132" s="49"/>
      <c r="K132" s="2"/>
      <c r="L132" s="2"/>
    </row>
    <row r="133" spans="1:12" ht="12.75" customHeight="1" x14ac:dyDescent="0.25">
      <c r="A133" s="2">
        <f t="shared" si="0"/>
        <v>119</v>
      </c>
      <c r="B133" s="5"/>
      <c r="C133" s="80"/>
      <c r="D133" s="3"/>
      <c r="E133" s="81"/>
      <c r="F133" s="30" t="str">
        <f>VLOOKUP(E133,'Summary-Contracts'!$C$30:$F$62,3,0)</f>
        <v>N</v>
      </c>
      <c r="G133" s="2"/>
      <c r="H133" s="22">
        <v>0</v>
      </c>
      <c r="I133" s="4"/>
      <c r="J133" s="49"/>
      <c r="K133" s="2"/>
      <c r="L133" s="2"/>
    </row>
    <row r="134" spans="1:12" ht="12.75" customHeight="1" x14ac:dyDescent="0.25">
      <c r="A134" s="2">
        <f t="shared" si="0"/>
        <v>120</v>
      </c>
      <c r="B134" s="5"/>
      <c r="C134" s="80"/>
      <c r="D134" s="3"/>
      <c r="E134" s="81"/>
      <c r="F134" s="30" t="str">
        <f>VLOOKUP(E134,'Summary-Contracts'!$C$30:$F$62,3,0)</f>
        <v>N</v>
      </c>
      <c r="G134" s="2"/>
      <c r="H134" s="22">
        <v>0</v>
      </c>
      <c r="I134" s="4"/>
      <c r="J134" s="49"/>
      <c r="K134" s="2"/>
      <c r="L134" s="2"/>
    </row>
    <row r="135" spans="1:12" ht="12.75" customHeight="1" x14ac:dyDescent="0.25">
      <c r="A135" s="2">
        <f t="shared" si="0"/>
        <v>121</v>
      </c>
      <c r="B135" s="5"/>
      <c r="C135" s="80"/>
      <c r="D135" s="3"/>
      <c r="E135" s="81"/>
      <c r="F135" s="30" t="str">
        <f>VLOOKUP(E135,'Summary-Contracts'!$C$30:$F$62,3,0)</f>
        <v>N</v>
      </c>
      <c r="G135" s="2"/>
      <c r="H135" s="22">
        <v>0</v>
      </c>
      <c r="I135" s="4"/>
      <c r="J135" s="49"/>
      <c r="K135" s="2"/>
      <c r="L135" s="2"/>
    </row>
    <row r="136" spans="1:12" ht="12.75" customHeight="1" x14ac:dyDescent="0.25">
      <c r="A136" s="2">
        <f t="shared" si="0"/>
        <v>122</v>
      </c>
      <c r="B136" s="5"/>
      <c r="C136" s="80"/>
      <c r="D136" s="3"/>
      <c r="E136" s="81"/>
      <c r="F136" s="30" t="str">
        <f>VLOOKUP(E136,'Summary-Contracts'!$C$30:$F$62,3,0)</f>
        <v>N</v>
      </c>
      <c r="G136" s="2"/>
      <c r="H136" s="22">
        <v>0</v>
      </c>
      <c r="I136" s="4"/>
      <c r="J136" s="49"/>
      <c r="K136" s="2"/>
      <c r="L136" s="2"/>
    </row>
    <row r="137" spans="1:12" ht="12.75" customHeight="1" x14ac:dyDescent="0.25">
      <c r="A137" s="2">
        <f t="shared" si="0"/>
        <v>123</v>
      </c>
      <c r="B137" s="5"/>
      <c r="C137" s="80"/>
      <c r="D137" s="3"/>
      <c r="E137" s="81"/>
      <c r="F137" s="30" t="str">
        <f>VLOOKUP(E137,'Summary-Contracts'!$C$30:$F$62,3,0)</f>
        <v>N</v>
      </c>
      <c r="G137" s="2"/>
      <c r="H137" s="22">
        <v>0</v>
      </c>
      <c r="I137" s="4"/>
      <c r="J137" s="49"/>
      <c r="K137" s="2"/>
      <c r="L137" s="2"/>
    </row>
    <row r="138" spans="1:12" ht="12.75" customHeight="1" x14ac:dyDescent="0.25">
      <c r="A138" s="2">
        <f t="shared" si="0"/>
        <v>124</v>
      </c>
      <c r="B138" s="5"/>
      <c r="C138" s="80"/>
      <c r="D138" s="3"/>
      <c r="E138" s="81"/>
      <c r="F138" s="30" t="str">
        <f>VLOOKUP(E138,'Summary-Contracts'!$C$30:$F$62,3,0)</f>
        <v>N</v>
      </c>
      <c r="G138" s="2"/>
      <c r="H138" s="22">
        <v>0</v>
      </c>
      <c r="I138" s="4"/>
      <c r="J138" s="49"/>
      <c r="K138" s="2"/>
      <c r="L138" s="2"/>
    </row>
    <row r="139" spans="1:12" ht="12.75" customHeight="1" x14ac:dyDescent="0.25">
      <c r="A139" s="2">
        <f t="shared" si="0"/>
        <v>125</v>
      </c>
      <c r="B139" s="5"/>
      <c r="C139" s="80"/>
      <c r="D139" s="3"/>
      <c r="E139" s="81"/>
      <c r="F139" s="30" t="str">
        <f>VLOOKUP(E139,'Summary-Contracts'!$C$30:$F$62,3,0)</f>
        <v>N</v>
      </c>
      <c r="G139" s="2"/>
      <c r="H139" s="22">
        <v>0</v>
      </c>
      <c r="I139" s="4"/>
      <c r="J139" s="49"/>
      <c r="K139" s="2"/>
      <c r="L139" s="2"/>
    </row>
    <row r="140" spans="1:12" ht="12.75" customHeight="1" x14ac:dyDescent="0.25">
      <c r="A140" s="2">
        <f t="shared" si="0"/>
        <v>126</v>
      </c>
      <c r="B140" s="5"/>
      <c r="C140" s="80"/>
      <c r="D140" s="3"/>
      <c r="E140" s="81"/>
      <c r="F140" s="30" t="str">
        <f>VLOOKUP(E140,'Summary-Contracts'!$C$30:$F$62,3,0)</f>
        <v>N</v>
      </c>
      <c r="G140" s="2"/>
      <c r="H140" s="22">
        <v>0</v>
      </c>
      <c r="I140" s="4"/>
      <c r="J140" s="49"/>
      <c r="K140" s="2"/>
      <c r="L140" s="2"/>
    </row>
    <row r="141" spans="1:12" ht="12.75" customHeight="1" x14ac:dyDescent="0.25">
      <c r="A141" s="2">
        <f t="shared" si="0"/>
        <v>127</v>
      </c>
      <c r="B141" s="5"/>
      <c r="C141" s="80"/>
      <c r="D141" s="3"/>
      <c r="E141" s="81"/>
      <c r="F141" s="30" t="str">
        <f>VLOOKUP(E141,'Summary-Contracts'!$C$30:$F$62,3,0)</f>
        <v>N</v>
      </c>
      <c r="G141" s="2"/>
      <c r="H141" s="22">
        <v>0</v>
      </c>
      <c r="I141" s="4"/>
      <c r="J141" s="49"/>
      <c r="K141" s="2"/>
      <c r="L141" s="2"/>
    </row>
    <row r="142" spans="1:12" ht="12.75" customHeight="1" x14ac:dyDescent="0.25">
      <c r="A142" s="2">
        <f t="shared" si="0"/>
        <v>128</v>
      </c>
      <c r="B142" s="5"/>
      <c r="C142" s="80"/>
      <c r="D142" s="3"/>
      <c r="E142" s="81"/>
      <c r="F142" s="30" t="str">
        <f>VLOOKUP(E142,'Summary-Contracts'!$C$30:$F$62,3,0)</f>
        <v>N</v>
      </c>
      <c r="G142" s="2"/>
      <c r="H142" s="22">
        <v>0</v>
      </c>
      <c r="I142" s="4"/>
      <c r="J142" s="49"/>
      <c r="K142" s="2"/>
      <c r="L142" s="2"/>
    </row>
    <row r="143" spans="1:12" ht="12.75" customHeight="1" x14ac:dyDescent="0.25">
      <c r="A143" s="2">
        <f t="shared" si="0"/>
        <v>129</v>
      </c>
      <c r="B143" s="5"/>
      <c r="C143" s="80"/>
      <c r="D143" s="3"/>
      <c r="E143" s="81"/>
      <c r="F143" s="30" t="str">
        <f>VLOOKUP(E143,'Summary-Contracts'!$C$30:$F$62,3,0)</f>
        <v>N</v>
      </c>
      <c r="G143" s="2"/>
      <c r="H143" s="22">
        <v>0</v>
      </c>
      <c r="I143" s="4"/>
      <c r="J143" s="49"/>
      <c r="K143" s="2"/>
      <c r="L143" s="2"/>
    </row>
    <row r="144" spans="1:12" ht="12.75" customHeight="1" x14ac:dyDescent="0.25">
      <c r="A144" s="2">
        <f t="shared" si="0"/>
        <v>130</v>
      </c>
      <c r="B144" s="5"/>
      <c r="C144" s="80"/>
      <c r="D144" s="3"/>
      <c r="E144" s="81"/>
      <c r="F144" s="30" t="str">
        <f>VLOOKUP(E144,'Summary-Contracts'!$C$30:$F$62,3,0)</f>
        <v>N</v>
      </c>
      <c r="G144" s="2"/>
      <c r="H144" s="22">
        <v>0</v>
      </c>
      <c r="I144" s="4"/>
      <c r="J144" s="49"/>
      <c r="K144" s="2"/>
      <c r="L144" s="2"/>
    </row>
    <row r="145" spans="1:12" ht="12.75" customHeight="1" x14ac:dyDescent="0.25">
      <c r="A145" s="2">
        <f t="shared" si="0"/>
        <v>131</v>
      </c>
      <c r="B145" s="5"/>
      <c r="C145" s="80"/>
      <c r="D145" s="3"/>
      <c r="E145" s="81"/>
      <c r="F145" s="30" t="str">
        <f>VLOOKUP(E145,'Summary-Contracts'!$C$30:$F$62,3,0)</f>
        <v>N</v>
      </c>
      <c r="G145" s="2"/>
      <c r="H145" s="22">
        <v>0</v>
      </c>
      <c r="I145" s="4"/>
      <c r="J145" s="49"/>
      <c r="K145" s="2"/>
      <c r="L145" s="2"/>
    </row>
    <row r="146" spans="1:12" ht="12.75" customHeight="1" x14ac:dyDescent="0.25">
      <c r="A146" s="2">
        <f t="shared" si="0"/>
        <v>132</v>
      </c>
      <c r="B146" s="5"/>
      <c r="C146" s="80"/>
      <c r="D146" s="3"/>
      <c r="E146" s="81"/>
      <c r="F146" s="30" t="str">
        <f>VLOOKUP(E146,'Summary-Contracts'!$C$30:$F$62,3,0)</f>
        <v>N</v>
      </c>
      <c r="G146" s="2"/>
      <c r="H146" s="22">
        <v>0</v>
      </c>
      <c r="I146" s="4"/>
      <c r="J146" s="49"/>
      <c r="K146" s="2"/>
      <c r="L146" s="2"/>
    </row>
    <row r="147" spans="1:12" ht="12.75" customHeight="1" x14ac:dyDescent="0.25">
      <c r="A147" s="2">
        <f t="shared" si="0"/>
        <v>133</v>
      </c>
      <c r="B147" s="5"/>
      <c r="C147" s="80"/>
      <c r="D147" s="3"/>
      <c r="E147" s="81"/>
      <c r="F147" s="30" t="str">
        <f>VLOOKUP(E147,'Summary-Contracts'!$C$30:$F$62,3,0)</f>
        <v>N</v>
      </c>
      <c r="G147" s="2"/>
      <c r="H147" s="22">
        <v>0</v>
      </c>
      <c r="I147" s="4"/>
      <c r="J147" s="49"/>
      <c r="K147" s="2"/>
      <c r="L147" s="2"/>
    </row>
    <row r="148" spans="1:12" ht="12.75" customHeight="1" x14ac:dyDescent="0.25">
      <c r="A148" s="2">
        <f t="shared" si="0"/>
        <v>134</v>
      </c>
      <c r="B148" s="5"/>
      <c r="C148" s="80"/>
      <c r="D148" s="3"/>
      <c r="E148" s="81"/>
      <c r="F148" s="30" t="str">
        <f>VLOOKUP(E148,'Summary-Contracts'!$C$30:$F$62,3,0)</f>
        <v>N</v>
      </c>
      <c r="G148" s="2"/>
      <c r="H148" s="22">
        <v>0</v>
      </c>
      <c r="I148" s="4"/>
      <c r="J148" s="49"/>
      <c r="K148" s="2"/>
      <c r="L148" s="2"/>
    </row>
    <row r="149" spans="1:12" ht="12.75" customHeight="1" x14ac:dyDescent="0.25">
      <c r="A149" s="2">
        <f t="shared" si="0"/>
        <v>135</v>
      </c>
      <c r="B149" s="5"/>
      <c r="C149" s="80"/>
      <c r="D149" s="3"/>
      <c r="E149" s="81"/>
      <c r="F149" s="30" t="str">
        <f>VLOOKUP(E149,'Summary-Contracts'!$C$30:$F$62,3,0)</f>
        <v>N</v>
      </c>
      <c r="G149" s="2"/>
      <c r="H149" s="22">
        <v>0</v>
      </c>
      <c r="I149" s="4"/>
      <c r="J149" s="49"/>
      <c r="K149" s="2"/>
      <c r="L149" s="2"/>
    </row>
    <row r="150" spans="1:12" ht="12.75" customHeight="1" x14ac:dyDescent="0.25">
      <c r="A150" s="2">
        <f t="shared" si="0"/>
        <v>136</v>
      </c>
      <c r="B150" s="5"/>
      <c r="C150" s="80"/>
      <c r="D150" s="3"/>
      <c r="E150" s="81"/>
      <c r="F150" s="30" t="str">
        <f>VLOOKUP(E150,'Summary-Contracts'!$C$30:$F$62,3,0)</f>
        <v>N</v>
      </c>
      <c r="G150" s="2"/>
      <c r="H150" s="22">
        <v>0</v>
      </c>
      <c r="I150" s="4"/>
      <c r="J150" s="49"/>
      <c r="K150" s="2"/>
      <c r="L150" s="2"/>
    </row>
    <row r="151" spans="1:12" ht="12.75" customHeight="1" x14ac:dyDescent="0.25">
      <c r="A151" s="2">
        <f t="shared" si="0"/>
        <v>137</v>
      </c>
      <c r="B151" s="5"/>
      <c r="C151" s="80"/>
      <c r="D151" s="3"/>
      <c r="E151" s="81"/>
      <c r="F151" s="30" t="str">
        <f>VLOOKUP(E151,'Summary-Contracts'!$C$30:$F$62,3,0)</f>
        <v>N</v>
      </c>
      <c r="G151" s="2"/>
      <c r="H151" s="22">
        <v>0</v>
      </c>
      <c r="I151" s="4"/>
      <c r="J151" s="49"/>
      <c r="K151" s="2"/>
      <c r="L151" s="2"/>
    </row>
    <row r="152" spans="1:12" ht="12.75" customHeight="1" x14ac:dyDescent="0.25">
      <c r="A152" s="2">
        <f t="shared" si="0"/>
        <v>138</v>
      </c>
      <c r="B152" s="5"/>
      <c r="C152" s="80"/>
      <c r="D152" s="3"/>
      <c r="E152" s="81"/>
      <c r="F152" s="30" t="str">
        <f>VLOOKUP(E152,'Summary-Contracts'!$C$30:$F$62,3,0)</f>
        <v>N</v>
      </c>
      <c r="G152" s="2"/>
      <c r="H152" s="22">
        <v>0</v>
      </c>
      <c r="I152" s="4"/>
      <c r="J152" s="49"/>
      <c r="K152" s="2"/>
      <c r="L152" s="2"/>
    </row>
    <row r="153" spans="1:12" ht="12.75" customHeight="1" x14ac:dyDescent="0.25">
      <c r="A153" s="2">
        <f t="shared" si="0"/>
        <v>139</v>
      </c>
      <c r="B153" s="5"/>
      <c r="C153" s="80"/>
      <c r="D153" s="3"/>
      <c r="E153" s="81"/>
      <c r="F153" s="30" t="str">
        <f>VLOOKUP(E153,'Summary-Contracts'!$C$30:$F$62,3,0)</f>
        <v>N</v>
      </c>
      <c r="G153" s="2"/>
      <c r="H153" s="22">
        <v>0</v>
      </c>
      <c r="I153" s="4"/>
      <c r="J153" s="49"/>
      <c r="K153" s="2"/>
      <c r="L153" s="2"/>
    </row>
    <row r="154" spans="1:12" ht="12.75" customHeight="1" x14ac:dyDescent="0.25">
      <c r="A154" s="2">
        <f t="shared" si="0"/>
        <v>140</v>
      </c>
      <c r="B154" s="5"/>
      <c r="C154" s="80"/>
      <c r="D154" s="3"/>
      <c r="E154" s="81"/>
      <c r="F154" s="30" t="str">
        <f>VLOOKUP(E154,'Summary-Contracts'!$C$30:$F$62,3,0)</f>
        <v>N</v>
      </c>
      <c r="G154" s="2"/>
      <c r="H154" s="22">
        <v>0</v>
      </c>
      <c r="I154" s="4"/>
      <c r="J154" s="49"/>
      <c r="K154" s="2"/>
      <c r="L154" s="2"/>
    </row>
    <row r="155" spans="1:12" ht="12.75" customHeight="1" x14ac:dyDescent="0.25">
      <c r="A155" s="2">
        <f t="shared" si="0"/>
        <v>141</v>
      </c>
      <c r="B155" s="5"/>
      <c r="C155" s="80"/>
      <c r="D155" s="3"/>
      <c r="E155" s="81"/>
      <c r="F155" s="30" t="str">
        <f>VLOOKUP(E155,'Summary-Contracts'!$C$30:$F$62,3,0)</f>
        <v>N</v>
      </c>
      <c r="G155" s="2"/>
      <c r="H155" s="22">
        <v>0</v>
      </c>
      <c r="I155" s="4"/>
      <c r="J155" s="49"/>
      <c r="K155" s="2"/>
      <c r="L155" s="2"/>
    </row>
    <row r="156" spans="1:12" ht="12.75" customHeight="1" x14ac:dyDescent="0.25">
      <c r="A156" s="2">
        <f t="shared" si="0"/>
        <v>142</v>
      </c>
      <c r="B156" s="5"/>
      <c r="C156" s="80"/>
      <c r="D156" s="3"/>
      <c r="E156" s="81"/>
      <c r="F156" s="30" t="str">
        <f>VLOOKUP(E156,'Summary-Contracts'!$C$30:$F$62,3,0)</f>
        <v>N</v>
      </c>
      <c r="G156" s="2"/>
      <c r="H156" s="22">
        <v>0</v>
      </c>
      <c r="I156" s="4"/>
      <c r="J156" s="49"/>
      <c r="K156" s="2"/>
      <c r="L156" s="2"/>
    </row>
    <row r="157" spans="1:12" ht="12.75" customHeight="1" x14ac:dyDescent="0.25">
      <c r="A157" s="2">
        <f t="shared" si="0"/>
        <v>143</v>
      </c>
      <c r="B157" s="5"/>
      <c r="C157" s="80"/>
      <c r="D157" s="3"/>
      <c r="E157" s="81"/>
      <c r="F157" s="30" t="str">
        <f>VLOOKUP(E157,'Summary-Contracts'!$C$30:$F$62,3,0)</f>
        <v>N</v>
      </c>
      <c r="G157" s="2"/>
      <c r="H157" s="22">
        <v>0</v>
      </c>
      <c r="I157" s="4"/>
      <c r="J157" s="49"/>
      <c r="K157" s="2"/>
      <c r="L157" s="2"/>
    </row>
    <row r="158" spans="1:12" ht="12.75" customHeight="1" x14ac:dyDescent="0.25">
      <c r="A158" s="2">
        <f t="shared" si="0"/>
        <v>144</v>
      </c>
      <c r="B158" s="5"/>
      <c r="C158" s="80"/>
      <c r="D158" s="3"/>
      <c r="E158" s="81"/>
      <c r="F158" s="30" t="str">
        <f>VLOOKUP(E158,'Summary-Contracts'!$C$30:$F$62,3,0)</f>
        <v>N</v>
      </c>
      <c r="G158" s="2"/>
      <c r="H158" s="22">
        <v>0</v>
      </c>
      <c r="I158" s="4"/>
      <c r="J158" s="49"/>
      <c r="K158" s="2"/>
      <c r="L158" s="2"/>
    </row>
    <row r="159" spans="1:12" ht="12.75" customHeight="1" x14ac:dyDescent="0.25">
      <c r="A159" s="2">
        <f t="shared" si="0"/>
        <v>145</v>
      </c>
      <c r="B159" s="5"/>
      <c r="C159" s="80"/>
      <c r="D159" s="3"/>
      <c r="E159" s="81"/>
      <c r="F159" s="30" t="str">
        <f>VLOOKUP(E159,'Summary-Contracts'!$C$30:$F$62,3,0)</f>
        <v>N</v>
      </c>
      <c r="G159" s="2"/>
      <c r="H159" s="22">
        <v>0</v>
      </c>
      <c r="I159" s="4"/>
      <c r="J159" s="49"/>
      <c r="K159" s="2"/>
      <c r="L159" s="2"/>
    </row>
    <row r="160" spans="1:12" ht="12.75" customHeight="1" x14ac:dyDescent="0.25">
      <c r="A160" s="2">
        <f t="shared" si="0"/>
        <v>146</v>
      </c>
      <c r="B160" s="5"/>
      <c r="C160" s="80"/>
      <c r="D160" s="3"/>
      <c r="E160" s="81"/>
      <c r="F160" s="30" t="str">
        <f>VLOOKUP(E160,'Summary-Contracts'!$C$30:$F$62,3,0)</f>
        <v>N</v>
      </c>
      <c r="G160" s="2"/>
      <c r="H160" s="22">
        <v>0</v>
      </c>
      <c r="I160" s="4"/>
      <c r="J160" s="49"/>
      <c r="K160" s="2"/>
      <c r="L160" s="2"/>
    </row>
    <row r="161" spans="1:12" ht="12.75" customHeight="1" x14ac:dyDescent="0.25">
      <c r="A161" s="2">
        <f t="shared" si="0"/>
        <v>147</v>
      </c>
      <c r="B161" s="5"/>
      <c r="C161" s="80"/>
      <c r="D161" s="3"/>
      <c r="E161" s="81"/>
      <c r="F161" s="30" t="str">
        <f>VLOOKUP(E161,'Summary-Contracts'!$C$30:$F$62,3,0)</f>
        <v>N</v>
      </c>
      <c r="G161" s="2"/>
      <c r="H161" s="22">
        <v>0</v>
      </c>
      <c r="I161" s="4"/>
      <c r="J161" s="49"/>
      <c r="K161" s="2"/>
      <c r="L161" s="2"/>
    </row>
    <row r="162" spans="1:12" ht="12.75" customHeight="1" x14ac:dyDescent="0.25">
      <c r="A162" s="2">
        <f t="shared" si="0"/>
        <v>148</v>
      </c>
      <c r="B162" s="5"/>
      <c r="C162" s="80"/>
      <c r="D162" s="3"/>
      <c r="E162" s="81"/>
      <c r="F162" s="30" t="str">
        <f>VLOOKUP(E162,'Summary-Contracts'!$C$30:$F$62,3,0)</f>
        <v>N</v>
      </c>
      <c r="G162" s="2"/>
      <c r="H162" s="22">
        <v>0</v>
      </c>
      <c r="I162" s="4"/>
      <c r="J162" s="49"/>
      <c r="K162" s="2"/>
      <c r="L162" s="2"/>
    </row>
    <row r="163" spans="1:12" ht="12.75" customHeight="1" x14ac:dyDescent="0.25">
      <c r="A163" s="2">
        <f t="shared" si="0"/>
        <v>149</v>
      </c>
      <c r="B163" s="5"/>
      <c r="C163" s="80"/>
      <c r="D163" s="3"/>
      <c r="E163" s="81"/>
      <c r="F163" s="30" t="str">
        <f>VLOOKUP(E163,'Summary-Contracts'!$C$30:$F$62,3,0)</f>
        <v>N</v>
      </c>
      <c r="G163" s="2"/>
      <c r="H163" s="22">
        <v>0</v>
      </c>
      <c r="I163" s="4"/>
      <c r="J163" s="49"/>
      <c r="K163" s="2"/>
      <c r="L163" s="2"/>
    </row>
    <row r="164" spans="1:12" ht="12.75" customHeight="1" x14ac:dyDescent="0.25">
      <c r="A164" s="2">
        <f t="shared" si="0"/>
        <v>150</v>
      </c>
      <c r="B164" s="5"/>
      <c r="C164" s="80"/>
      <c r="D164" s="3"/>
      <c r="E164" s="81"/>
      <c r="F164" s="30" t="str">
        <f>VLOOKUP(E164,'Summary-Contracts'!$C$30:$F$62,3,0)</f>
        <v>N</v>
      </c>
      <c r="G164" s="2"/>
      <c r="H164" s="22">
        <v>0</v>
      </c>
      <c r="I164" s="4"/>
      <c r="J164" s="49"/>
      <c r="K164" s="2"/>
      <c r="L164" s="2"/>
    </row>
    <row r="165" spans="1:12" ht="12.75" customHeight="1" x14ac:dyDescent="0.25">
      <c r="A165" s="2">
        <f t="shared" si="0"/>
        <v>151</v>
      </c>
      <c r="B165" s="5"/>
      <c r="C165" s="80"/>
      <c r="D165" s="3"/>
      <c r="E165" s="81"/>
      <c r="F165" s="30" t="str">
        <f>VLOOKUP(E165,'Summary-Contracts'!$C$30:$F$62,3,0)</f>
        <v>N</v>
      </c>
      <c r="G165" s="2"/>
      <c r="H165" s="22">
        <v>0</v>
      </c>
      <c r="I165" s="4"/>
      <c r="J165" s="49"/>
      <c r="K165" s="2"/>
      <c r="L165" s="2"/>
    </row>
    <row r="166" spans="1:12" ht="12.75" customHeight="1" x14ac:dyDescent="0.25">
      <c r="A166" s="2">
        <f t="shared" si="0"/>
        <v>152</v>
      </c>
      <c r="B166" s="5"/>
      <c r="C166" s="80"/>
      <c r="D166" s="3"/>
      <c r="E166" s="81"/>
      <c r="F166" s="30" t="str">
        <f>VLOOKUP(E166,'Summary-Contracts'!$C$30:$F$62,3,0)</f>
        <v>N</v>
      </c>
      <c r="G166" s="2"/>
      <c r="H166" s="22">
        <v>0</v>
      </c>
      <c r="I166" s="4"/>
      <c r="J166" s="49"/>
      <c r="K166" s="2"/>
      <c r="L166" s="2"/>
    </row>
    <row r="167" spans="1:12" ht="12.75" customHeight="1" x14ac:dyDescent="0.25">
      <c r="A167" s="2">
        <f t="shared" si="0"/>
        <v>153</v>
      </c>
      <c r="B167" s="5"/>
      <c r="C167" s="80"/>
      <c r="D167" s="3"/>
      <c r="E167" s="81"/>
      <c r="F167" s="30" t="str">
        <f>VLOOKUP(E167,'Summary-Contracts'!$C$30:$F$62,3,0)</f>
        <v>N</v>
      </c>
      <c r="G167" s="2"/>
      <c r="H167" s="22">
        <v>0</v>
      </c>
      <c r="I167" s="4"/>
      <c r="J167" s="49"/>
      <c r="K167" s="2"/>
      <c r="L167" s="2"/>
    </row>
    <row r="168" spans="1:12" ht="12.75" customHeight="1" x14ac:dyDescent="0.25">
      <c r="A168" s="2">
        <f t="shared" si="0"/>
        <v>154</v>
      </c>
      <c r="B168" s="5"/>
      <c r="C168" s="80"/>
      <c r="D168" s="3"/>
      <c r="E168" s="81"/>
      <c r="F168" s="30" t="str">
        <f>VLOOKUP(E168,'Summary-Contracts'!$C$30:$F$62,3,0)</f>
        <v>N</v>
      </c>
      <c r="G168" s="2"/>
      <c r="H168" s="22">
        <v>0</v>
      </c>
      <c r="I168" s="4"/>
      <c r="J168" s="49"/>
      <c r="K168" s="2"/>
      <c r="L168" s="2"/>
    </row>
    <row r="169" spans="1:12" ht="12.75" customHeight="1" x14ac:dyDescent="0.25">
      <c r="A169" s="2">
        <f t="shared" si="0"/>
        <v>155</v>
      </c>
      <c r="B169" s="5"/>
      <c r="C169" s="80"/>
      <c r="D169" s="3"/>
      <c r="E169" s="81"/>
      <c r="F169" s="30" t="str">
        <f>VLOOKUP(E169,'Summary-Contracts'!$C$30:$F$62,3,0)</f>
        <v>N</v>
      </c>
      <c r="G169" s="2"/>
      <c r="H169" s="22">
        <v>0</v>
      </c>
      <c r="I169" s="4"/>
      <c r="J169" s="49"/>
      <c r="K169" s="2"/>
      <c r="L169" s="2"/>
    </row>
    <row r="170" spans="1:12" ht="12.75" customHeight="1" x14ac:dyDescent="0.25">
      <c r="A170" s="2">
        <f t="shared" si="0"/>
        <v>156</v>
      </c>
      <c r="B170" s="5"/>
      <c r="C170" s="80"/>
      <c r="D170" s="3"/>
      <c r="E170" s="81"/>
      <c r="F170" s="30" t="str">
        <f>VLOOKUP(E170,'Summary-Contracts'!$C$30:$F$62,3,0)</f>
        <v>N</v>
      </c>
      <c r="G170" s="2"/>
      <c r="H170" s="22">
        <v>0</v>
      </c>
      <c r="I170" s="4"/>
      <c r="J170" s="49"/>
      <c r="K170" s="2"/>
      <c r="L170" s="2"/>
    </row>
    <row r="171" spans="1:12" ht="12.75" customHeight="1" x14ac:dyDescent="0.25">
      <c r="A171" s="2">
        <f t="shared" si="0"/>
        <v>157</v>
      </c>
      <c r="B171" s="5"/>
      <c r="C171" s="80"/>
      <c r="D171" s="3"/>
      <c r="E171" s="81"/>
      <c r="F171" s="30" t="str">
        <f>VLOOKUP(E171,'Summary-Contracts'!$C$30:$F$62,3,0)</f>
        <v>N</v>
      </c>
      <c r="G171" s="2"/>
      <c r="H171" s="22">
        <v>0</v>
      </c>
      <c r="I171" s="4"/>
      <c r="J171" s="49"/>
      <c r="K171" s="2"/>
      <c r="L171" s="2"/>
    </row>
    <row r="172" spans="1:12" ht="12.75" customHeight="1" x14ac:dyDescent="0.25">
      <c r="A172" s="2">
        <f t="shared" si="0"/>
        <v>158</v>
      </c>
      <c r="B172" s="5"/>
      <c r="C172" s="80"/>
      <c r="D172" s="3"/>
      <c r="E172" s="81"/>
      <c r="F172" s="30" t="str">
        <f>VLOOKUP(E172,'Summary-Contracts'!$C$30:$F$62,3,0)</f>
        <v>N</v>
      </c>
      <c r="G172" s="2"/>
      <c r="H172" s="22">
        <v>0</v>
      </c>
      <c r="I172" s="4"/>
      <c r="J172" s="49"/>
      <c r="K172" s="2"/>
      <c r="L172" s="2"/>
    </row>
    <row r="173" spans="1:12" ht="12.75" customHeight="1" x14ac:dyDescent="0.25">
      <c r="A173" s="2">
        <f t="shared" si="0"/>
        <v>159</v>
      </c>
      <c r="B173" s="5"/>
      <c r="C173" s="80"/>
      <c r="D173" s="3"/>
      <c r="E173" s="81"/>
      <c r="F173" s="30" t="str">
        <f>VLOOKUP(E173,'Summary-Contracts'!$C$30:$F$62,3,0)</f>
        <v>N</v>
      </c>
      <c r="G173" s="2"/>
      <c r="H173" s="22">
        <v>0</v>
      </c>
      <c r="I173" s="4"/>
      <c r="J173" s="49"/>
      <c r="K173" s="2"/>
      <c r="L173" s="2"/>
    </row>
    <row r="174" spans="1:12" ht="12.75" customHeight="1" x14ac:dyDescent="0.25">
      <c r="A174" s="2">
        <f t="shared" si="0"/>
        <v>160</v>
      </c>
      <c r="B174" s="5"/>
      <c r="C174" s="80"/>
      <c r="D174" s="3"/>
      <c r="E174" s="81"/>
      <c r="F174" s="30" t="str">
        <f>VLOOKUP(E174,'Summary-Contracts'!$C$30:$F$62,3,0)</f>
        <v>N</v>
      </c>
      <c r="G174" s="2"/>
      <c r="H174" s="22">
        <v>0</v>
      </c>
      <c r="I174" s="4"/>
      <c r="J174" s="49"/>
      <c r="K174" s="2"/>
      <c r="L174" s="2"/>
    </row>
    <row r="175" spans="1:12" ht="12.75" customHeight="1" x14ac:dyDescent="0.25">
      <c r="A175" s="2">
        <f t="shared" si="0"/>
        <v>161</v>
      </c>
      <c r="B175" s="5"/>
      <c r="C175" s="80"/>
      <c r="D175" s="3"/>
      <c r="E175" s="81"/>
      <c r="F175" s="30" t="str">
        <f>VLOOKUP(E175,'Summary-Contracts'!$C$30:$F$62,3,0)</f>
        <v>N</v>
      </c>
      <c r="G175" s="2"/>
      <c r="H175" s="22">
        <v>0</v>
      </c>
      <c r="I175" s="4"/>
      <c r="J175" s="49"/>
      <c r="K175" s="2"/>
      <c r="L175" s="2"/>
    </row>
    <row r="176" spans="1:12" ht="12.75" customHeight="1" x14ac:dyDescent="0.25">
      <c r="A176" s="2">
        <f t="shared" si="0"/>
        <v>162</v>
      </c>
      <c r="B176" s="5"/>
      <c r="C176" s="80"/>
      <c r="D176" s="3"/>
      <c r="E176" s="81"/>
      <c r="F176" s="30" t="str">
        <f>VLOOKUP(E176,'Summary-Contracts'!$C$30:$F$62,3,0)</f>
        <v>N</v>
      </c>
      <c r="G176" s="2"/>
      <c r="H176" s="22">
        <v>0</v>
      </c>
      <c r="I176" s="4"/>
      <c r="J176" s="49"/>
      <c r="K176" s="2"/>
      <c r="L176" s="2"/>
    </row>
    <row r="177" spans="1:12" ht="12.75" customHeight="1" x14ac:dyDescent="0.25">
      <c r="A177" s="2">
        <f t="shared" si="0"/>
        <v>163</v>
      </c>
      <c r="B177" s="5"/>
      <c r="C177" s="80"/>
      <c r="D177" s="3"/>
      <c r="E177" s="81"/>
      <c r="F177" s="30" t="str">
        <f>VLOOKUP(E177,'Summary-Contracts'!$C$30:$F$62,3,0)</f>
        <v>N</v>
      </c>
      <c r="G177" s="2"/>
      <c r="H177" s="22">
        <v>0</v>
      </c>
      <c r="I177" s="4"/>
      <c r="J177" s="49"/>
      <c r="K177" s="2"/>
      <c r="L177" s="2"/>
    </row>
    <row r="178" spans="1:12" ht="12.75" customHeight="1" x14ac:dyDescent="0.25">
      <c r="A178" s="2">
        <f t="shared" si="0"/>
        <v>164</v>
      </c>
      <c r="B178" s="5"/>
      <c r="C178" s="80"/>
      <c r="D178" s="3"/>
      <c r="E178" s="81"/>
      <c r="F178" s="30" t="str">
        <f>VLOOKUP(E178,'Summary-Contracts'!$C$30:$F$62,3,0)</f>
        <v>N</v>
      </c>
      <c r="G178" s="2"/>
      <c r="H178" s="22">
        <v>0</v>
      </c>
      <c r="I178" s="4"/>
      <c r="J178" s="49"/>
      <c r="K178" s="2"/>
      <c r="L178" s="2"/>
    </row>
    <row r="179" spans="1:12" ht="12.75" customHeight="1" x14ac:dyDescent="0.25">
      <c r="A179" s="2">
        <f t="shared" si="0"/>
        <v>165</v>
      </c>
      <c r="B179" s="5"/>
      <c r="C179" s="80"/>
      <c r="D179" s="3"/>
      <c r="E179" s="81"/>
      <c r="F179" s="30" t="str">
        <f>VLOOKUP(E179,'Summary-Contracts'!$C$30:$F$62,3,0)</f>
        <v>N</v>
      </c>
      <c r="G179" s="2"/>
      <c r="H179" s="22">
        <v>0</v>
      </c>
      <c r="I179" s="4"/>
      <c r="J179" s="49"/>
      <c r="K179" s="2"/>
      <c r="L179" s="2"/>
    </row>
    <row r="180" spans="1:12" ht="12.75" customHeight="1" x14ac:dyDescent="0.25">
      <c r="A180" s="2">
        <f t="shared" si="0"/>
        <v>166</v>
      </c>
      <c r="B180" s="5"/>
      <c r="C180" s="80"/>
      <c r="D180" s="3"/>
      <c r="E180" s="81"/>
      <c r="F180" s="30" t="str">
        <f>VLOOKUP(E180,'Summary-Contracts'!$C$30:$F$62,3,0)</f>
        <v>N</v>
      </c>
      <c r="G180" s="2"/>
      <c r="H180" s="22">
        <v>0</v>
      </c>
      <c r="I180" s="4"/>
      <c r="J180" s="49"/>
      <c r="K180" s="2"/>
      <c r="L180" s="2"/>
    </row>
    <row r="181" spans="1:12" ht="12.75" customHeight="1" x14ac:dyDescent="0.25">
      <c r="A181" s="2">
        <f t="shared" si="0"/>
        <v>167</v>
      </c>
      <c r="B181" s="5"/>
      <c r="C181" s="80"/>
      <c r="D181" s="3"/>
      <c r="E181" s="81"/>
      <c r="F181" s="30" t="str">
        <f>VLOOKUP(E181,'Summary-Contracts'!$C$30:$F$62,3,0)</f>
        <v>N</v>
      </c>
      <c r="G181" s="2"/>
      <c r="H181" s="22">
        <v>0</v>
      </c>
      <c r="I181" s="4"/>
      <c r="J181" s="49"/>
      <c r="K181" s="2"/>
      <c r="L181" s="2"/>
    </row>
    <row r="182" spans="1:12" ht="12.75" customHeight="1" x14ac:dyDescent="0.25">
      <c r="A182" s="2">
        <f t="shared" si="0"/>
        <v>168</v>
      </c>
      <c r="B182" s="5"/>
      <c r="C182" s="80"/>
      <c r="D182" s="3"/>
      <c r="E182" s="81"/>
      <c r="F182" s="30" t="str">
        <f>VLOOKUP(E182,'Summary-Contracts'!$C$30:$F$62,3,0)</f>
        <v>N</v>
      </c>
      <c r="G182" s="2"/>
      <c r="H182" s="22">
        <v>0</v>
      </c>
      <c r="I182" s="4"/>
      <c r="J182" s="49"/>
      <c r="K182" s="2"/>
      <c r="L182" s="2"/>
    </row>
    <row r="183" spans="1:12" ht="12.75" customHeight="1" x14ac:dyDescent="0.25">
      <c r="A183" s="2">
        <f t="shared" si="0"/>
        <v>169</v>
      </c>
      <c r="B183" s="5"/>
      <c r="C183" s="80"/>
      <c r="D183" s="3"/>
      <c r="E183" s="81"/>
      <c r="F183" s="30" t="str">
        <f>VLOOKUP(E183,'Summary-Contracts'!$C$30:$F$62,3,0)</f>
        <v>N</v>
      </c>
      <c r="G183" s="2"/>
      <c r="H183" s="22">
        <v>0</v>
      </c>
      <c r="I183" s="4"/>
      <c r="J183" s="49"/>
      <c r="K183" s="2"/>
      <c r="L183" s="2"/>
    </row>
    <row r="184" spans="1:12" ht="12.75" customHeight="1" x14ac:dyDescent="0.25">
      <c r="A184" s="2">
        <f t="shared" si="0"/>
        <v>170</v>
      </c>
      <c r="B184" s="5"/>
      <c r="C184" s="80"/>
      <c r="D184" s="3"/>
      <c r="E184" s="81"/>
      <c r="F184" s="30" t="str">
        <f>VLOOKUP(E184,'Summary-Contracts'!$C$30:$F$62,3,0)</f>
        <v>N</v>
      </c>
      <c r="G184" s="2"/>
      <c r="H184" s="22">
        <v>0</v>
      </c>
      <c r="I184" s="4"/>
      <c r="J184" s="49"/>
      <c r="K184" s="2"/>
      <c r="L184" s="2"/>
    </row>
    <row r="185" spans="1:12" ht="12.75" customHeight="1" x14ac:dyDescent="0.25">
      <c r="A185" s="2">
        <f t="shared" si="0"/>
        <v>171</v>
      </c>
      <c r="B185" s="5"/>
      <c r="C185" s="80"/>
      <c r="D185" s="3"/>
      <c r="E185" s="81"/>
      <c r="F185" s="30" t="str">
        <f>VLOOKUP(E185,'Summary-Contracts'!$C$30:$F$62,3,0)</f>
        <v>N</v>
      </c>
      <c r="G185" s="2"/>
      <c r="H185" s="22">
        <v>0</v>
      </c>
      <c r="I185" s="4"/>
      <c r="J185" s="49"/>
      <c r="K185" s="2"/>
      <c r="L185" s="2"/>
    </row>
    <row r="186" spans="1:12" ht="12.75" customHeight="1" x14ac:dyDescent="0.25">
      <c r="A186" s="2">
        <f t="shared" si="0"/>
        <v>172</v>
      </c>
      <c r="B186" s="5"/>
      <c r="C186" s="80"/>
      <c r="D186" s="3"/>
      <c r="E186" s="81"/>
      <c r="F186" s="30" t="str">
        <f>VLOOKUP(E186,'Summary-Contracts'!$C$30:$F$62,3,0)</f>
        <v>N</v>
      </c>
      <c r="G186" s="2"/>
      <c r="H186" s="22">
        <v>0</v>
      </c>
      <c r="I186" s="4"/>
      <c r="J186" s="49"/>
      <c r="K186" s="2"/>
      <c r="L186" s="2"/>
    </row>
    <row r="187" spans="1:12" ht="12.75" customHeight="1" x14ac:dyDescent="0.25">
      <c r="A187" s="2">
        <f t="shared" si="0"/>
        <v>173</v>
      </c>
      <c r="B187" s="5"/>
      <c r="C187" s="80"/>
      <c r="D187" s="3"/>
      <c r="E187" s="81"/>
      <c r="F187" s="30" t="str">
        <f>VLOOKUP(E187,'Summary-Contracts'!$C$30:$F$62,3,0)</f>
        <v>N</v>
      </c>
      <c r="G187" s="2"/>
      <c r="H187" s="22">
        <v>0</v>
      </c>
      <c r="I187" s="4"/>
      <c r="J187" s="49"/>
      <c r="K187" s="2"/>
      <c r="L187" s="2"/>
    </row>
    <row r="188" spans="1:12" ht="12.75" customHeight="1" x14ac:dyDescent="0.25">
      <c r="A188" s="2">
        <f t="shared" si="0"/>
        <v>174</v>
      </c>
      <c r="B188" s="5"/>
      <c r="C188" s="80"/>
      <c r="D188" s="3"/>
      <c r="E188" s="81"/>
      <c r="F188" s="30" t="str">
        <f>VLOOKUP(E188,'Summary-Contracts'!$C$30:$F$62,3,0)</f>
        <v>N</v>
      </c>
      <c r="G188" s="2"/>
      <c r="H188" s="22">
        <v>0</v>
      </c>
      <c r="I188" s="4"/>
      <c r="J188" s="49"/>
      <c r="K188" s="2"/>
      <c r="L188" s="2"/>
    </row>
    <row r="189" spans="1:12" ht="12.75" customHeight="1" x14ac:dyDescent="0.25">
      <c r="A189" s="2">
        <f t="shared" si="0"/>
        <v>175</v>
      </c>
      <c r="B189" s="5"/>
      <c r="C189" s="80"/>
      <c r="D189" s="3"/>
      <c r="E189" s="81"/>
      <c r="F189" s="30" t="str">
        <f>VLOOKUP(E189,'Summary-Contracts'!$C$30:$F$62,3,0)</f>
        <v>N</v>
      </c>
      <c r="G189" s="2"/>
      <c r="H189" s="22">
        <v>0</v>
      </c>
      <c r="I189" s="4"/>
      <c r="J189" s="49"/>
      <c r="K189" s="2"/>
      <c r="L189" s="2"/>
    </row>
    <row r="190" spans="1:12" ht="12.75" customHeight="1" x14ac:dyDescent="0.25">
      <c r="A190" s="2">
        <f t="shared" si="0"/>
        <v>176</v>
      </c>
      <c r="B190" s="5"/>
      <c r="C190" s="80"/>
      <c r="D190" s="3"/>
      <c r="E190" s="81"/>
      <c r="F190" s="30" t="str">
        <f>VLOOKUP(E190,'Summary-Contracts'!$C$30:$F$62,3,0)</f>
        <v>N</v>
      </c>
      <c r="G190" s="2"/>
      <c r="H190" s="22">
        <v>0</v>
      </c>
      <c r="I190" s="4"/>
      <c r="J190" s="49"/>
      <c r="K190" s="2"/>
      <c r="L190" s="2"/>
    </row>
    <row r="191" spans="1:12" ht="12.75" customHeight="1" x14ac:dyDescent="0.25">
      <c r="A191" s="2">
        <f t="shared" si="0"/>
        <v>177</v>
      </c>
      <c r="B191" s="5"/>
      <c r="C191" s="80"/>
      <c r="D191" s="3"/>
      <c r="E191" s="81"/>
      <c r="F191" s="30" t="str">
        <f>VLOOKUP(E191,'Summary-Contracts'!$C$30:$F$62,3,0)</f>
        <v>N</v>
      </c>
      <c r="G191" s="2"/>
      <c r="H191" s="22">
        <v>0</v>
      </c>
      <c r="I191" s="4"/>
      <c r="J191" s="49"/>
      <c r="K191" s="2"/>
      <c r="L191" s="2"/>
    </row>
    <row r="192" spans="1:12" ht="12.75" customHeight="1" x14ac:dyDescent="0.25">
      <c r="A192" s="2">
        <f t="shared" si="0"/>
        <v>178</v>
      </c>
      <c r="B192" s="5"/>
      <c r="C192" s="80"/>
      <c r="D192" s="3"/>
      <c r="E192" s="81"/>
      <c r="F192" s="30" t="str">
        <f>VLOOKUP(E192,'Summary-Contracts'!$C$30:$F$62,3,0)</f>
        <v>N</v>
      </c>
      <c r="G192" s="2"/>
      <c r="H192" s="22">
        <v>0</v>
      </c>
      <c r="I192" s="4"/>
      <c r="J192" s="49"/>
      <c r="K192" s="2"/>
      <c r="L192" s="2"/>
    </row>
    <row r="193" spans="1:12" ht="12.75" customHeight="1" x14ac:dyDescent="0.25">
      <c r="A193" s="2">
        <f t="shared" si="0"/>
        <v>179</v>
      </c>
      <c r="B193" s="5"/>
      <c r="C193" s="80"/>
      <c r="D193" s="3"/>
      <c r="E193" s="81"/>
      <c r="F193" s="30" t="str">
        <f>VLOOKUP(E193,'Summary-Contracts'!$C$30:$F$62,3,0)</f>
        <v>N</v>
      </c>
      <c r="G193" s="2"/>
      <c r="H193" s="22">
        <v>0</v>
      </c>
      <c r="I193" s="4"/>
      <c r="J193" s="49"/>
      <c r="K193" s="2"/>
      <c r="L193" s="2"/>
    </row>
    <row r="194" spans="1:12" ht="12.75" customHeight="1" x14ac:dyDescent="0.25">
      <c r="A194" s="2">
        <f t="shared" si="0"/>
        <v>180</v>
      </c>
      <c r="B194" s="5"/>
      <c r="C194" s="80"/>
      <c r="D194" s="3"/>
      <c r="E194" s="81"/>
      <c r="F194" s="30" t="str">
        <f>VLOOKUP(E194,'Summary-Contracts'!$C$30:$F$62,3,0)</f>
        <v>N</v>
      </c>
      <c r="G194" s="2"/>
      <c r="H194" s="22">
        <v>0</v>
      </c>
      <c r="I194" s="4"/>
      <c r="J194" s="49"/>
      <c r="K194" s="2"/>
      <c r="L194" s="2"/>
    </row>
    <row r="195" spans="1:12" ht="12.75" customHeight="1" x14ac:dyDescent="0.25">
      <c r="A195" s="2">
        <f t="shared" si="0"/>
        <v>181</v>
      </c>
      <c r="B195" s="5"/>
      <c r="C195" s="80"/>
      <c r="D195" s="3"/>
      <c r="E195" s="81"/>
      <c r="F195" s="30" t="str">
        <f>VLOOKUP(E195,'Summary-Contracts'!$C$30:$F$62,3,0)</f>
        <v>N</v>
      </c>
      <c r="G195" s="2"/>
      <c r="H195" s="22">
        <v>0</v>
      </c>
      <c r="I195" s="4"/>
      <c r="J195" s="49"/>
      <c r="K195" s="2"/>
      <c r="L195" s="2"/>
    </row>
    <row r="196" spans="1:12" ht="12.75" customHeight="1" x14ac:dyDescent="0.25">
      <c r="A196" s="2">
        <f t="shared" si="0"/>
        <v>182</v>
      </c>
      <c r="B196" s="5"/>
      <c r="C196" s="80"/>
      <c r="D196" s="3"/>
      <c r="E196" s="81"/>
      <c r="F196" s="30" t="str">
        <f>VLOOKUP(E196,'Summary-Contracts'!$C$30:$F$62,3,0)</f>
        <v>N</v>
      </c>
      <c r="G196" s="2"/>
      <c r="H196" s="22">
        <v>0</v>
      </c>
      <c r="I196" s="4"/>
      <c r="J196" s="49"/>
      <c r="K196" s="2"/>
      <c r="L196" s="2"/>
    </row>
    <row r="197" spans="1:12" ht="12.75" customHeight="1" x14ac:dyDescent="0.25">
      <c r="A197" s="2">
        <f t="shared" si="0"/>
        <v>183</v>
      </c>
      <c r="B197" s="5"/>
      <c r="C197" s="80"/>
      <c r="D197" s="3"/>
      <c r="E197" s="81"/>
      <c r="F197" s="30" t="str">
        <f>VLOOKUP(E197,'Summary-Contracts'!$C$30:$F$62,3,0)</f>
        <v>N</v>
      </c>
      <c r="G197" s="2"/>
      <c r="H197" s="22">
        <v>0</v>
      </c>
      <c r="I197" s="4"/>
      <c r="J197" s="49"/>
      <c r="K197" s="2"/>
      <c r="L197" s="2"/>
    </row>
    <row r="198" spans="1:12" ht="12.75" customHeight="1" x14ac:dyDescent="0.25">
      <c r="A198" s="2">
        <f t="shared" si="0"/>
        <v>184</v>
      </c>
      <c r="B198" s="5"/>
      <c r="C198" s="80"/>
      <c r="D198" s="3"/>
      <c r="E198" s="81"/>
      <c r="F198" s="30" t="str">
        <f>VLOOKUP(E198,'Summary-Contracts'!$C$30:$F$62,3,0)</f>
        <v>N</v>
      </c>
      <c r="G198" s="2"/>
      <c r="H198" s="22">
        <v>0</v>
      </c>
      <c r="I198" s="4"/>
      <c r="J198" s="49"/>
      <c r="K198" s="2"/>
      <c r="L198" s="2"/>
    </row>
    <row r="199" spans="1:12" ht="12.75" customHeight="1" x14ac:dyDescent="0.25">
      <c r="A199" s="2">
        <f t="shared" si="0"/>
        <v>185</v>
      </c>
      <c r="B199" s="5"/>
      <c r="C199" s="80"/>
      <c r="D199" s="3"/>
      <c r="E199" s="81"/>
      <c r="F199" s="30" t="str">
        <f>VLOOKUP(E199,'Summary-Contracts'!$C$30:$F$62,3,0)</f>
        <v>N</v>
      </c>
      <c r="G199" s="2"/>
      <c r="H199" s="22">
        <v>0</v>
      </c>
      <c r="I199" s="4"/>
      <c r="J199" s="49"/>
      <c r="K199" s="2"/>
      <c r="L199" s="2"/>
    </row>
    <row r="200" spans="1:12" ht="12.75" customHeight="1" x14ac:dyDescent="0.25">
      <c r="A200" s="2">
        <f t="shared" si="0"/>
        <v>186</v>
      </c>
      <c r="B200" s="5"/>
      <c r="C200" s="80"/>
      <c r="D200" s="3"/>
      <c r="E200" s="81"/>
      <c r="F200" s="30" t="str">
        <f>VLOOKUP(E200,'Summary-Contracts'!$C$30:$F$62,3,0)</f>
        <v>N</v>
      </c>
      <c r="G200" s="2"/>
      <c r="H200" s="22">
        <v>0</v>
      </c>
      <c r="I200" s="4"/>
      <c r="J200" s="49"/>
      <c r="K200" s="2"/>
      <c r="L200" s="2"/>
    </row>
    <row r="201" spans="1:12" ht="12.75" customHeight="1" x14ac:dyDescent="0.25">
      <c r="A201" s="2">
        <f t="shared" si="0"/>
        <v>187</v>
      </c>
      <c r="B201" s="5"/>
      <c r="C201" s="80"/>
      <c r="D201" s="3"/>
      <c r="E201" s="81"/>
      <c r="F201" s="30" t="str">
        <f>VLOOKUP(E201,'Summary-Contracts'!$C$30:$F$62,3,0)</f>
        <v>N</v>
      </c>
      <c r="G201" s="2"/>
      <c r="H201" s="22">
        <v>0</v>
      </c>
      <c r="I201" s="4"/>
      <c r="J201" s="49"/>
      <c r="K201" s="2"/>
      <c r="L201" s="2"/>
    </row>
    <row r="202" spans="1:12" ht="12.75" customHeight="1" x14ac:dyDescent="0.25">
      <c r="A202" s="2">
        <f t="shared" si="0"/>
        <v>188</v>
      </c>
      <c r="B202" s="5"/>
      <c r="C202" s="80"/>
      <c r="D202" s="3"/>
      <c r="E202" s="81"/>
      <c r="F202" s="30" t="str">
        <f>VLOOKUP(E202,'Summary-Contracts'!$C$30:$F$62,3,0)</f>
        <v>N</v>
      </c>
      <c r="G202" s="2"/>
      <c r="H202" s="22">
        <v>0</v>
      </c>
      <c r="I202" s="4"/>
      <c r="J202" s="49"/>
      <c r="K202" s="2"/>
      <c r="L202" s="2"/>
    </row>
    <row r="203" spans="1:12" ht="12.75" customHeight="1" x14ac:dyDescent="0.25">
      <c r="A203" s="2">
        <f t="shared" si="0"/>
        <v>189</v>
      </c>
      <c r="B203" s="5"/>
      <c r="C203" s="80"/>
      <c r="D203" s="3"/>
      <c r="E203" s="81"/>
      <c r="F203" s="30" t="str">
        <f>VLOOKUP(E203,'Summary-Contracts'!$C$30:$F$62,3,0)</f>
        <v>N</v>
      </c>
      <c r="G203" s="2"/>
      <c r="H203" s="22">
        <v>0</v>
      </c>
      <c r="I203" s="4"/>
      <c r="J203" s="49"/>
      <c r="K203" s="2"/>
      <c r="L203" s="2"/>
    </row>
    <row r="204" spans="1:12" ht="12.75" customHeight="1" x14ac:dyDescent="0.25">
      <c r="A204" s="2">
        <f t="shared" si="0"/>
        <v>190</v>
      </c>
      <c r="B204" s="5"/>
      <c r="C204" s="80"/>
      <c r="D204" s="3"/>
      <c r="E204" s="81"/>
      <c r="F204" s="30" t="str">
        <f>VLOOKUP(E204,'Summary-Contracts'!$C$30:$F$62,3,0)</f>
        <v>N</v>
      </c>
      <c r="G204" s="2"/>
      <c r="H204" s="22">
        <v>0</v>
      </c>
      <c r="I204" s="4"/>
      <c r="J204" s="49"/>
      <c r="K204" s="2"/>
      <c r="L204" s="2"/>
    </row>
    <row r="205" spans="1:12" ht="12.75" customHeight="1" x14ac:dyDescent="0.25">
      <c r="A205" s="2">
        <f t="shared" si="0"/>
        <v>191</v>
      </c>
      <c r="B205" s="5"/>
      <c r="C205" s="80"/>
      <c r="D205" s="3"/>
      <c r="E205" s="81"/>
      <c r="F205" s="30" t="str">
        <f>VLOOKUP(E205,'Summary-Contracts'!$C$30:$F$62,3,0)</f>
        <v>N</v>
      </c>
      <c r="G205" s="2"/>
      <c r="H205" s="22">
        <v>0</v>
      </c>
      <c r="I205" s="4"/>
      <c r="J205" s="49"/>
      <c r="K205" s="2"/>
      <c r="L205" s="2"/>
    </row>
    <row r="206" spans="1:12" ht="12.75" customHeight="1" x14ac:dyDescent="0.25">
      <c r="A206" s="2">
        <f t="shared" si="0"/>
        <v>192</v>
      </c>
      <c r="B206" s="5"/>
      <c r="C206" s="80"/>
      <c r="D206" s="3"/>
      <c r="E206" s="81"/>
      <c r="F206" s="30" t="str">
        <f>VLOOKUP(E206,'Summary-Contracts'!$C$30:$F$62,3,0)</f>
        <v>N</v>
      </c>
      <c r="G206" s="2"/>
      <c r="H206" s="22">
        <v>0</v>
      </c>
      <c r="I206" s="4"/>
      <c r="J206" s="49"/>
      <c r="K206" s="2"/>
      <c r="L206" s="2"/>
    </row>
    <row r="207" spans="1:12" ht="12.75" customHeight="1" x14ac:dyDescent="0.25">
      <c r="A207" s="2">
        <f t="shared" si="0"/>
        <v>193</v>
      </c>
      <c r="B207" s="5"/>
      <c r="C207" s="80"/>
      <c r="D207" s="3"/>
      <c r="E207" s="81"/>
      <c r="F207" s="30" t="str">
        <f>VLOOKUP(E207,'Summary-Contracts'!$C$30:$F$62,3,0)</f>
        <v>N</v>
      </c>
      <c r="G207" s="2"/>
      <c r="H207" s="22">
        <v>0</v>
      </c>
      <c r="I207" s="4"/>
      <c r="J207" s="49"/>
      <c r="K207" s="2"/>
      <c r="L207" s="2"/>
    </row>
    <row r="208" spans="1:12" ht="12.75" customHeight="1" x14ac:dyDescent="0.25">
      <c r="A208" s="2">
        <f t="shared" si="0"/>
        <v>194</v>
      </c>
      <c r="B208" s="5"/>
      <c r="C208" s="80"/>
      <c r="D208" s="3"/>
      <c r="E208" s="81"/>
      <c r="F208" s="30" t="str">
        <f>VLOOKUP(E208,'Summary-Contracts'!$C$30:$F$62,3,0)</f>
        <v>N</v>
      </c>
      <c r="G208" s="2"/>
      <c r="H208" s="22">
        <v>0</v>
      </c>
      <c r="I208" s="4"/>
      <c r="J208" s="49"/>
      <c r="K208" s="2"/>
      <c r="L208" s="2"/>
    </row>
    <row r="209" spans="1:12" ht="12.75" customHeight="1" x14ac:dyDescent="0.25">
      <c r="A209" s="2">
        <f t="shared" si="0"/>
        <v>195</v>
      </c>
      <c r="B209" s="5"/>
      <c r="C209" s="80"/>
      <c r="D209" s="3"/>
      <c r="E209" s="81"/>
      <c r="F209" s="30" t="str">
        <f>VLOOKUP(E209,'Summary-Contracts'!$C$30:$F$62,3,0)</f>
        <v>N</v>
      </c>
      <c r="G209" s="2"/>
      <c r="H209" s="22">
        <v>0</v>
      </c>
      <c r="I209" s="4"/>
      <c r="J209" s="49"/>
      <c r="K209" s="2"/>
      <c r="L209" s="2"/>
    </row>
    <row r="210" spans="1:12" ht="12.75" customHeight="1" x14ac:dyDescent="0.25">
      <c r="A210" s="2">
        <f t="shared" si="0"/>
        <v>196</v>
      </c>
      <c r="B210" s="5"/>
      <c r="C210" s="80"/>
      <c r="D210" s="3"/>
      <c r="E210" s="81"/>
      <c r="F210" s="30" t="str">
        <f>VLOOKUP(E210,'Summary-Contracts'!$C$30:$F$62,3,0)</f>
        <v>N</v>
      </c>
      <c r="G210" s="2"/>
      <c r="H210" s="22">
        <v>0</v>
      </c>
      <c r="I210" s="4"/>
      <c r="J210" s="49"/>
      <c r="K210" s="2"/>
      <c r="L210" s="2"/>
    </row>
    <row r="211" spans="1:12" ht="12.75" customHeight="1" x14ac:dyDescent="0.25">
      <c r="A211" s="2">
        <f t="shared" si="0"/>
        <v>197</v>
      </c>
      <c r="B211" s="5"/>
      <c r="C211" s="80"/>
      <c r="D211" s="3"/>
      <c r="E211" s="81"/>
      <c r="F211" s="30" t="str">
        <f>VLOOKUP(E211,'Summary-Contracts'!$C$30:$F$62,3,0)</f>
        <v>N</v>
      </c>
      <c r="G211" s="2"/>
      <c r="H211" s="22">
        <v>0</v>
      </c>
      <c r="I211" s="4"/>
      <c r="J211" s="49"/>
      <c r="K211" s="2"/>
      <c r="L211" s="2"/>
    </row>
    <row r="212" spans="1:12" ht="12.75" customHeight="1" x14ac:dyDescent="0.25">
      <c r="A212" s="2">
        <f t="shared" si="0"/>
        <v>198</v>
      </c>
      <c r="B212" s="5"/>
      <c r="C212" s="80"/>
      <c r="D212" s="3"/>
      <c r="E212" s="81"/>
      <c r="F212" s="30" t="str">
        <f>VLOOKUP(E212,'Summary-Contracts'!$C$30:$F$62,3,0)</f>
        <v>N</v>
      </c>
      <c r="G212" s="2"/>
      <c r="H212" s="22">
        <v>0</v>
      </c>
      <c r="I212" s="4"/>
      <c r="J212" s="49"/>
      <c r="K212" s="2"/>
      <c r="L212" s="2"/>
    </row>
    <row r="213" spans="1:12" ht="12.75" customHeight="1" x14ac:dyDescent="0.25">
      <c r="A213" s="2">
        <f t="shared" si="0"/>
        <v>199</v>
      </c>
      <c r="B213" s="5"/>
      <c r="C213" s="80"/>
      <c r="D213" s="3"/>
      <c r="E213" s="81"/>
      <c r="F213" s="30" t="str">
        <f>VLOOKUP(E213,'Summary-Contracts'!$C$30:$F$62,3,0)</f>
        <v>N</v>
      </c>
      <c r="G213" s="2"/>
      <c r="H213" s="22">
        <v>0</v>
      </c>
      <c r="I213" s="4"/>
      <c r="J213" s="49"/>
      <c r="K213" s="2"/>
      <c r="L213" s="2"/>
    </row>
    <row r="214" spans="1:12" ht="12.75" customHeight="1" x14ac:dyDescent="0.25">
      <c r="A214" s="2">
        <f t="shared" si="0"/>
        <v>200</v>
      </c>
      <c r="B214" s="5"/>
      <c r="C214" s="80"/>
      <c r="D214" s="3"/>
      <c r="E214" s="81"/>
      <c r="F214" s="30" t="str">
        <f>VLOOKUP(E214,'Summary-Contracts'!$C$30:$F$62,3,0)</f>
        <v>N</v>
      </c>
      <c r="G214" s="2"/>
      <c r="H214" s="22">
        <v>0</v>
      </c>
      <c r="I214" s="4"/>
      <c r="J214" s="49"/>
      <c r="K214" s="2"/>
      <c r="L214" s="2"/>
    </row>
    <row r="215" spans="1:12" ht="12.75" customHeight="1" x14ac:dyDescent="0.25">
      <c r="A215" s="2">
        <f t="shared" si="0"/>
        <v>201</v>
      </c>
      <c r="B215" s="5"/>
      <c r="C215" s="80"/>
      <c r="D215" s="3"/>
      <c r="E215" s="81"/>
      <c r="F215" s="30" t="str">
        <f>VLOOKUP(E215,'Summary-Contracts'!$C$30:$F$62,3,0)</f>
        <v>N</v>
      </c>
      <c r="G215" s="2"/>
      <c r="H215" s="22">
        <v>0</v>
      </c>
      <c r="I215" s="4"/>
      <c r="J215" s="49"/>
      <c r="K215" s="2"/>
      <c r="L215" s="2"/>
    </row>
    <row r="216" spans="1:12" ht="12.75" customHeight="1" x14ac:dyDescent="0.25">
      <c r="A216" s="2">
        <f t="shared" si="0"/>
        <v>202</v>
      </c>
      <c r="B216" s="5"/>
      <c r="C216" s="80"/>
      <c r="D216" s="3"/>
      <c r="E216" s="81"/>
      <c r="F216" s="30" t="str">
        <f>VLOOKUP(E216,'Summary-Contracts'!$C$30:$F$62,3,0)</f>
        <v>N</v>
      </c>
      <c r="G216" s="2"/>
      <c r="H216" s="22">
        <v>0</v>
      </c>
      <c r="I216" s="4"/>
      <c r="J216" s="49"/>
      <c r="K216" s="2"/>
      <c r="L216" s="2"/>
    </row>
    <row r="217" spans="1:12" ht="12.75" customHeight="1" x14ac:dyDescent="0.25">
      <c r="A217" s="2">
        <f t="shared" si="0"/>
        <v>203</v>
      </c>
      <c r="B217" s="5"/>
      <c r="C217" s="80"/>
      <c r="D217" s="3"/>
      <c r="E217" s="81"/>
      <c r="F217" s="30" t="str">
        <f>VLOOKUP(E217,'Summary-Contracts'!$C$30:$F$62,3,0)</f>
        <v>N</v>
      </c>
      <c r="G217" s="2"/>
      <c r="H217" s="22">
        <v>0</v>
      </c>
      <c r="I217" s="4"/>
      <c r="J217" s="49"/>
      <c r="K217" s="2"/>
      <c r="L217" s="2"/>
    </row>
    <row r="218" spans="1:12" ht="12.75" customHeight="1" x14ac:dyDescent="0.25">
      <c r="A218" s="2">
        <f t="shared" si="0"/>
        <v>204</v>
      </c>
      <c r="B218" s="5"/>
      <c r="C218" s="80"/>
      <c r="D218" s="3"/>
      <c r="E218" s="81"/>
      <c r="F218" s="30" t="str">
        <f>VLOOKUP(E218,'Summary-Contracts'!$C$30:$F$62,3,0)</f>
        <v>N</v>
      </c>
      <c r="G218" s="2"/>
      <c r="H218" s="22">
        <v>0</v>
      </c>
      <c r="I218" s="4"/>
      <c r="J218" s="49"/>
      <c r="K218" s="2"/>
      <c r="L218" s="2"/>
    </row>
    <row r="219" spans="1:12" ht="12.75" customHeight="1" x14ac:dyDescent="0.25">
      <c r="A219" s="2">
        <f t="shared" si="0"/>
        <v>205</v>
      </c>
      <c r="B219" s="5"/>
      <c r="C219" s="80"/>
      <c r="D219" s="3"/>
      <c r="E219" s="81"/>
      <c r="F219" s="30" t="str">
        <f>VLOOKUP(E219,'Summary-Contracts'!$C$30:$F$62,3,0)</f>
        <v>N</v>
      </c>
      <c r="G219" s="2"/>
      <c r="H219" s="22">
        <v>0</v>
      </c>
      <c r="I219" s="4"/>
      <c r="J219" s="49"/>
      <c r="K219" s="2"/>
      <c r="L219" s="2"/>
    </row>
    <row r="220" spans="1:12" ht="12.75" customHeight="1" x14ac:dyDescent="0.25">
      <c r="A220" s="2">
        <f t="shared" si="0"/>
        <v>206</v>
      </c>
      <c r="B220" s="5"/>
      <c r="C220" s="80"/>
      <c r="D220" s="3"/>
      <c r="E220" s="81"/>
      <c r="F220" s="30" t="str">
        <f>VLOOKUP(E220,'Summary-Contracts'!$C$30:$F$62,3,0)</f>
        <v>N</v>
      </c>
      <c r="G220" s="2"/>
      <c r="H220" s="22">
        <v>0</v>
      </c>
      <c r="I220" s="4"/>
      <c r="J220" s="49"/>
      <c r="K220" s="2"/>
      <c r="L220" s="2"/>
    </row>
    <row r="221" spans="1:12" ht="12.75" customHeight="1" x14ac:dyDescent="0.25">
      <c r="A221" s="2">
        <f t="shared" si="0"/>
        <v>207</v>
      </c>
      <c r="B221" s="5"/>
      <c r="C221" s="80"/>
      <c r="D221" s="3"/>
      <c r="E221" s="81"/>
      <c r="F221" s="30" t="str">
        <f>VLOOKUP(E221,'Summary-Contracts'!$C$30:$F$62,3,0)</f>
        <v>N</v>
      </c>
      <c r="G221" s="2"/>
      <c r="H221" s="22">
        <v>0</v>
      </c>
      <c r="I221" s="4"/>
      <c r="J221" s="49"/>
      <c r="K221" s="2"/>
      <c r="L221" s="2"/>
    </row>
    <row r="222" spans="1:12" ht="12.75" customHeight="1" x14ac:dyDescent="0.25">
      <c r="A222" s="2">
        <f t="shared" si="0"/>
        <v>208</v>
      </c>
      <c r="B222" s="5"/>
      <c r="C222" s="80"/>
      <c r="D222" s="3"/>
      <c r="E222" s="81"/>
      <c r="F222" s="30" t="str">
        <f>VLOOKUP(E222,'Summary-Contracts'!$C$30:$F$62,3,0)</f>
        <v>N</v>
      </c>
      <c r="G222" s="2"/>
      <c r="H222" s="22">
        <v>0</v>
      </c>
      <c r="I222" s="4"/>
      <c r="J222" s="49"/>
      <c r="K222" s="2"/>
      <c r="L222" s="2"/>
    </row>
    <row r="223" spans="1:12" ht="12.75" customHeight="1" x14ac:dyDescent="0.25">
      <c r="A223" s="2">
        <f t="shared" si="0"/>
        <v>209</v>
      </c>
      <c r="B223" s="5"/>
      <c r="C223" s="80"/>
      <c r="D223" s="3"/>
      <c r="E223" s="81"/>
      <c r="F223" s="30" t="str">
        <f>VLOOKUP(E223,'Summary-Contracts'!$C$30:$F$62,3,0)</f>
        <v>N</v>
      </c>
      <c r="G223" s="2"/>
      <c r="H223" s="22">
        <v>0</v>
      </c>
      <c r="I223" s="4"/>
      <c r="J223" s="49"/>
      <c r="K223" s="2"/>
      <c r="L223" s="2"/>
    </row>
    <row r="224" spans="1:12" ht="12.75" customHeight="1" x14ac:dyDescent="0.25">
      <c r="A224" s="2">
        <f t="shared" si="0"/>
        <v>210</v>
      </c>
      <c r="B224" s="5"/>
      <c r="C224" s="80"/>
      <c r="D224" s="3"/>
      <c r="E224" s="81"/>
      <c r="F224" s="30" t="str">
        <f>VLOOKUP(E224,'Summary-Contracts'!$C$30:$F$62,3,0)</f>
        <v>N</v>
      </c>
      <c r="G224" s="2"/>
      <c r="H224" s="22">
        <v>0</v>
      </c>
      <c r="I224" s="4"/>
      <c r="J224" s="49"/>
      <c r="K224" s="2"/>
      <c r="L224" s="2"/>
    </row>
    <row r="225" spans="1:12" ht="12.75" customHeight="1" x14ac:dyDescent="0.25">
      <c r="A225" s="2">
        <f t="shared" si="0"/>
        <v>211</v>
      </c>
      <c r="B225" s="5"/>
      <c r="C225" s="80"/>
      <c r="D225" s="3"/>
      <c r="E225" s="81"/>
      <c r="F225" s="30" t="str">
        <f>VLOOKUP(E225,'Summary-Contracts'!$C$30:$F$62,3,0)</f>
        <v>N</v>
      </c>
      <c r="G225" s="2"/>
      <c r="H225" s="22">
        <v>0</v>
      </c>
      <c r="I225" s="4"/>
      <c r="J225" s="49"/>
      <c r="K225" s="2"/>
      <c r="L225" s="2"/>
    </row>
    <row r="226" spans="1:12" ht="12.75" customHeight="1" x14ac:dyDescent="0.25">
      <c r="A226" s="2">
        <f t="shared" si="0"/>
        <v>212</v>
      </c>
      <c r="B226" s="5"/>
      <c r="C226" s="80"/>
      <c r="D226" s="3"/>
      <c r="E226" s="81"/>
      <c r="F226" s="30" t="str">
        <f>VLOOKUP(E226,'Summary-Contracts'!$C$30:$F$62,3,0)</f>
        <v>N</v>
      </c>
      <c r="G226" s="2"/>
      <c r="H226" s="22">
        <v>0</v>
      </c>
      <c r="I226" s="4"/>
      <c r="J226" s="49"/>
      <c r="K226" s="2"/>
      <c r="L226" s="2"/>
    </row>
    <row r="227" spans="1:12" ht="12.75" customHeight="1" x14ac:dyDescent="0.25">
      <c r="A227" s="2">
        <f t="shared" si="0"/>
        <v>213</v>
      </c>
      <c r="B227" s="5"/>
      <c r="C227" s="80"/>
      <c r="D227" s="3"/>
      <c r="E227" s="81"/>
      <c r="F227" s="30" t="str">
        <f>VLOOKUP(E227,'Summary-Contracts'!$C$30:$F$62,3,0)</f>
        <v>N</v>
      </c>
      <c r="G227" s="2"/>
      <c r="H227" s="22">
        <v>0</v>
      </c>
      <c r="I227" s="4"/>
      <c r="J227" s="49"/>
      <c r="K227" s="2"/>
      <c r="L227" s="2"/>
    </row>
    <row r="228" spans="1:12" ht="12.75" customHeight="1" x14ac:dyDescent="0.25">
      <c r="A228" s="2">
        <f t="shared" si="0"/>
        <v>214</v>
      </c>
      <c r="B228" s="5"/>
      <c r="C228" s="80"/>
      <c r="D228" s="3"/>
      <c r="E228" s="81"/>
      <c r="F228" s="30" t="str">
        <f>VLOOKUP(E228,'Summary-Contracts'!$C$30:$F$62,3,0)</f>
        <v>N</v>
      </c>
      <c r="G228" s="2"/>
      <c r="H228" s="22">
        <v>0</v>
      </c>
      <c r="I228" s="4"/>
      <c r="J228" s="49"/>
      <c r="K228" s="2"/>
      <c r="L228" s="2"/>
    </row>
    <row r="229" spans="1:12" ht="12.75" customHeight="1" x14ac:dyDescent="0.25">
      <c r="A229" s="2">
        <f t="shared" si="0"/>
        <v>215</v>
      </c>
      <c r="B229" s="5"/>
      <c r="C229" s="80"/>
      <c r="D229" s="3"/>
      <c r="E229" s="81"/>
      <c r="F229" s="30" t="str">
        <f>VLOOKUP(E229,'Summary-Contracts'!$C$30:$F$62,3,0)</f>
        <v>N</v>
      </c>
      <c r="G229" s="2"/>
      <c r="H229" s="22">
        <v>0</v>
      </c>
      <c r="I229" s="4"/>
      <c r="J229" s="49"/>
      <c r="K229" s="2"/>
      <c r="L229" s="2"/>
    </row>
    <row r="230" spans="1:12" ht="12.75" customHeight="1" x14ac:dyDescent="0.25">
      <c r="A230" s="2">
        <f t="shared" si="0"/>
        <v>216</v>
      </c>
      <c r="B230" s="5"/>
      <c r="C230" s="80"/>
      <c r="D230" s="3"/>
      <c r="E230" s="81"/>
      <c r="F230" s="30" t="str">
        <f>VLOOKUP(E230,'Summary-Contracts'!$C$30:$F$62,3,0)</f>
        <v>N</v>
      </c>
      <c r="G230" s="2"/>
      <c r="H230" s="22">
        <v>0</v>
      </c>
      <c r="I230" s="4"/>
      <c r="J230" s="49"/>
      <c r="K230" s="2"/>
      <c r="L230" s="2"/>
    </row>
    <row r="231" spans="1:12" ht="12.75" customHeight="1" x14ac:dyDescent="0.25">
      <c r="A231" s="2">
        <f t="shared" si="0"/>
        <v>217</v>
      </c>
      <c r="B231" s="5"/>
      <c r="C231" s="80"/>
      <c r="D231" s="3"/>
      <c r="E231" s="81"/>
      <c r="F231" s="30" t="str">
        <f>VLOOKUP(E231,'Summary-Contracts'!$C$30:$F$62,3,0)</f>
        <v>N</v>
      </c>
      <c r="G231" s="2"/>
      <c r="H231" s="22">
        <v>0</v>
      </c>
      <c r="I231" s="4"/>
      <c r="J231" s="49"/>
      <c r="K231" s="2"/>
      <c r="L231" s="2"/>
    </row>
    <row r="232" spans="1:12" ht="12.75" customHeight="1" x14ac:dyDescent="0.25">
      <c r="A232" s="2">
        <f t="shared" si="0"/>
        <v>218</v>
      </c>
      <c r="B232" s="5"/>
      <c r="C232" s="80"/>
      <c r="D232" s="3"/>
      <c r="E232" s="81"/>
      <c r="F232" s="30" t="str">
        <f>VLOOKUP(E232,'Summary-Contracts'!$C$30:$F$62,3,0)</f>
        <v>N</v>
      </c>
      <c r="G232" s="2"/>
      <c r="H232" s="22">
        <v>0</v>
      </c>
      <c r="I232" s="4"/>
      <c r="J232" s="49"/>
      <c r="K232" s="2"/>
      <c r="L232" s="2"/>
    </row>
    <row r="233" spans="1:12" ht="12.75" customHeight="1" x14ac:dyDescent="0.25"/>
    <row r="234" spans="1:12" ht="12.75" customHeight="1" x14ac:dyDescent="0.25"/>
    <row r="235" spans="1:12" ht="12.75" customHeight="1" x14ac:dyDescent="0.25"/>
    <row r="236" spans="1:12" ht="12.75" customHeight="1" x14ac:dyDescent="0.25"/>
    <row r="237" spans="1:12" ht="12.75" customHeight="1" x14ac:dyDescent="0.25"/>
    <row r="238" spans="1:12" ht="12.75" customHeight="1" x14ac:dyDescent="0.25"/>
    <row r="239" spans="1:12" ht="12.75" customHeight="1" x14ac:dyDescent="0.25"/>
    <row r="240" spans="1:12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dataValidations count="2">
    <dataValidation type="list" allowBlank="1" showErrorMessage="1" sqref="G8:G232" xr:uid="{00000000-0002-0000-0200-000000000000}">
      <formula1>$C$66:$C$99</formula1>
    </dataValidation>
    <dataValidation type="list" allowBlank="1" showErrorMessage="1" sqref="E9:E232" xr:uid="{00000000-0002-0000-0200-000005000000}">
      <formula1>$C$27:$C$59</formula1>
    </dataValidation>
  </dataValidations>
  <hyperlinks>
    <hyperlink ref="A2" r:id="rId1" xr:uid="{00000000-0004-0000-0200-000000000000}"/>
    <hyperlink ref="D97" r:id="rId2" display="about:blank" xr:uid="{00000000-0004-0000-0200-000001000000}"/>
    <hyperlink ref="D98" r:id="rId3" display="about:blank" xr:uid="{00000000-0004-0000-0200-000002000000}"/>
    <hyperlink ref="D107" r:id="rId4" display="about:blank" xr:uid="{00000000-0004-0000-0200-000003000000}"/>
    <hyperlink ref="D108" r:id="rId5" display="about:blank" xr:uid="{00000000-0004-0000-0200-000004000000}"/>
    <hyperlink ref="D109" r:id="rId6" display="about:blank" xr:uid="{00000000-0004-0000-0200-000005000000}"/>
    <hyperlink ref="D110" r:id="rId7" display="about:blank" xr:uid="{00000000-0004-0000-0200-000006000000}"/>
    <hyperlink ref="D111" r:id="rId8" display="about:blank" xr:uid="{00000000-0004-0000-0200-000007000000}"/>
  </hyperlink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200-000001000000}">
          <x14:formula1>
            <xm:f>'Drop Lists'!$A$3:$A$15</xm:f>
          </x14:formula1>
          <xm:sqref>K8:K82 K83:L91 K92:K232</xm:sqref>
        </x14:dataValidation>
        <x14:dataValidation type="list" allowBlank="1" showErrorMessage="1" xr:uid="{00000000-0002-0000-0200-000002000000}">
          <x14:formula1>
            <xm:f>'Drop Lists'!$E$3:$E$7</xm:f>
          </x14:formula1>
          <xm:sqref>B8:B232</xm:sqref>
        </x14:dataValidation>
        <x14:dataValidation type="list" allowBlank="1" showErrorMessage="1" xr:uid="{00000000-0002-0000-0200-000004000000}">
          <x14:formula1>
            <xm:f>'Production-Inventory'!$B$21:$B$29</xm:f>
          </x14:formula1>
          <xm:sqref>L8:L76 L92:L232</xm:sqref>
        </x14:dataValidation>
        <x14:dataValidation type="list" allowBlank="1" showErrorMessage="1" xr:uid="{00000000-0002-0000-0200-000003000000}">
          <x14:formula1>
            <xm:f>'Summary-Contracts'!$C$30:$C$62</xm:f>
          </x14:formula1>
          <xm:sqref>E8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Summary-Contracts</vt:lpstr>
      <vt:lpstr>SS</vt:lpstr>
      <vt:lpstr>Transaction Entry</vt:lpstr>
      <vt:lpstr>Production-Inventory</vt:lpstr>
      <vt:lpstr>Insurance</vt:lpstr>
      <vt:lpstr>Drop Lists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Ham</dc:creator>
  <cp:lastModifiedBy>Douglas Ham</cp:lastModifiedBy>
  <dcterms:created xsi:type="dcterms:W3CDTF">2016-08-30T17:36:41Z</dcterms:created>
  <dcterms:modified xsi:type="dcterms:W3CDTF">2024-10-31T01:13:56Z</dcterms:modified>
</cp:coreProperties>
</file>