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1.wmf" ContentType="image/x-wmf"/>
  <Override PartName="/xl/media/image30.wmf" ContentType="image/x-wmf"/>
  <Override PartName="/xl/media/image29.wmf" ContentType="image/x-wmf"/>
  <Override PartName="/xl/media/image28.wmf" ContentType="image/x-wmf"/>
  <Override PartName="/xl/media/image27.wmf" ContentType="image/x-wmf"/>
  <Override PartName="/xl/media/image26.wmf" ContentType="image/x-wmf"/>
  <Override PartName="/xl/media/image25.wmf" ContentType="image/x-wmf"/>
  <Override PartName="/xl/media/image24.wmf" ContentType="image/x-wmf"/>
  <Override PartName="/xl/media/image9.wmf" ContentType="image/x-wmf"/>
  <Override PartName="/xl/media/image10.wmf" ContentType="image/x-wmf"/>
  <Override PartName="/xl/media/image23.wmf" ContentType="image/x-wmf"/>
  <Override PartName="/xl/media/image8.wmf" ContentType="image/x-wmf"/>
  <Override PartName="/xl/media/image1.png" ContentType="image/png"/>
  <Override PartName="/xl/media/image6.wmf" ContentType="image/x-wmf"/>
  <Override PartName="/xl/media/image21.wmf" ContentType="image/x-wmf"/>
  <Override PartName="/xl/media/image2.png" ContentType="image/png"/>
  <Override PartName="/xl/media/image7.wmf" ContentType="image/x-wmf"/>
  <Override PartName="/xl/media/image22.wmf" ContentType="image/x-wmf"/>
  <Override PartName="/xl/media/image3.wmf" ContentType="image/x-wmf"/>
  <Override PartName="/xl/media/image4.wmf" ContentType="image/x-wmf"/>
  <Override PartName="/xl/media/image11.wmf" ContentType="image/x-wmf"/>
  <Override PartName="/xl/media/image12.wmf" ContentType="image/x-wmf"/>
  <Override PartName="/xl/media/image13.wmf" ContentType="image/x-wmf"/>
  <Override PartName="/xl/media/image14.wmf" ContentType="image/x-wmf"/>
  <Override PartName="/xl/media/image15.wmf" ContentType="image/x-wmf"/>
  <Override PartName="/xl/media/image16.wmf" ContentType="image/x-wmf"/>
  <Override PartName="/xl/media/image17.wmf" ContentType="image/x-wmf"/>
  <Override PartName="/xl/media/image18.wmf" ContentType="image/x-wmf"/>
  <Override PartName="/xl/media/image19.wmf" ContentType="image/x-wmf"/>
  <Override PartName="/xl/media/image5.wmf" ContentType="image/x-wmf"/>
  <Override PartName="/xl/media/image20.wmf" ContentType="image/x-wmf"/>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11.xml.rels" ContentType="application/vnd.openxmlformats-package.relationships+xml"/>
  <Override PartName="/xl/drawings/_rels/drawing12.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_rels/drawing9.xml.rels" ContentType="application/vnd.openxmlformats-package.relationships+xml"/>
  <Override PartName="/xl/drawings/_rels/drawing2.xml.rels" ContentType="application/vnd.openxmlformats-package.relationships+xml"/>
  <Override PartName="/xl/drawings/_rels/drawing10.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tables/table2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13.xml" ContentType="application/vnd.openxmlformats-officedocument.spreadsheetml.table+xml"/>
  <Override PartName="/xl/tables/table19.xml" ContentType="application/vnd.openxmlformats-officedocument.spreadsheetml.table+xml"/>
  <Override PartName="/xl/tables/table26.xml" ContentType="application/vnd.openxmlformats-officedocument.spreadsheetml.table+xml"/>
  <Override PartName="/xl/tables/table2.xml" ContentType="application/vnd.openxmlformats-officedocument.spreadsheetml.table+xml"/>
  <Override PartName="/xl/tables/table14.xml" ContentType="application/vnd.openxmlformats-officedocument.spreadsheetml.table+xml"/>
  <Override PartName="/xl/tables/table8.xml" ContentType="application/vnd.openxmlformats-officedocument.spreadsheetml.table+xml"/>
  <Override PartName="/xl/tables/table24.xml" ContentType="application/vnd.openxmlformats-officedocument.spreadsheetml.table+xml"/>
  <Override PartName="/xl/tables/table4.xml" ContentType="application/vnd.openxmlformats-officedocument.spreadsheetml.table+xml"/>
  <Override PartName="/xl/tables/table20.xml" ContentType="application/vnd.openxmlformats-officedocument.spreadsheetml.table+xml"/>
  <Override PartName="/xl/tables/table5.xml" ContentType="application/vnd.openxmlformats-officedocument.spreadsheetml.table+xml"/>
  <Override PartName="/xl/tables/table21.xml" ContentType="application/vnd.openxmlformats-officedocument.spreadsheetml.table+xml"/>
  <Override PartName="/xl/tables/table7.xml" ContentType="application/vnd.openxmlformats-officedocument.spreadsheetml.table+xml"/>
  <Override PartName="/xl/tables/table23.xml" ContentType="application/vnd.openxmlformats-officedocument.spreadsheetml.table+xml"/>
  <Override PartName="/xl/tables/table9.xml" ContentType="application/vnd.openxmlformats-officedocument.spreadsheetml.table+xml"/>
  <Override PartName="/xl/tables/table25.xml" ContentType="application/vnd.openxmlformats-officedocument.spreadsheetml.table+xml"/>
  <Override PartName="/xl/tables/table22.xml" ContentType="application/vnd.openxmlformats-officedocument.spreadsheetml.table+xml"/>
  <Override PartName="/xl/tables/table6.xml" ContentType="application/vnd.openxmlformats-officedocument.spreadsheetml.table+xml"/>
  <Override PartName="/xl/tables/table18.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5.xml" ContentType="application/vnd.openxmlformats-officedocument.spreadsheetml.table+xml"/>
  <Override PartName="/xl/tables/table3.xml" ContentType="application/vnd.openxmlformats-officedocument.spreadsheetml.table+xml"/>
  <Override PartName="/xl/tables/table27.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worksheets/sheet43.xml" ContentType="application/vnd.openxmlformats-officedocument.spreadsheetml.worksheet+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7.xml.rels" ContentType="application/vnd.openxmlformats-package.relationships+xml"/>
  <Override PartName="/xl/worksheets/_rels/sheet36.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30.xml.rels" ContentType="application/vnd.openxmlformats-package.relationships+xml"/>
  <Override PartName="/xl/worksheets/_rels/sheet28.xml.rels" ContentType="application/vnd.openxmlformats-package.relationships+xml"/>
  <Override PartName="/xl/worksheets/_rels/sheet27.xml.rels" ContentType="application/vnd.openxmlformats-package.relationships+xml"/>
  <Override PartName="/xl/worksheets/_rels/sheet35.xml.rels" ContentType="application/vnd.openxmlformats-package.relationships+xml"/>
  <Override PartName="/xl/worksheets/_rels/sheet17.xml.rels" ContentType="application/vnd.openxmlformats-package.relationships+xml"/>
  <Override PartName="/xl/worksheets/_rels/sheet25.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23.xml.rels" ContentType="application/vnd.openxmlformats-package.relationships+xml"/>
  <Override PartName="/xl/worksheets/_rels/sheet20.xml.rels" ContentType="application/vnd.openxmlformats-package.relationships+xml"/>
  <Override PartName="/xl/worksheets/_rels/sheet31.xml.rels" ContentType="application/vnd.openxmlformats-package.relationships+xml"/>
  <Override PartName="/xl/worksheets/_rels/sheet24.xml.rels" ContentType="application/vnd.openxmlformats-package.relationships+xml"/>
  <Override PartName="/xl/worksheets/_rels/sheet21.xml.rels" ContentType="application/vnd.openxmlformats-package.relationships+xml"/>
  <Override PartName="/xl/worksheets/_rels/sheet32.xml.rels" ContentType="application/vnd.openxmlformats-package.relationships+xml"/>
  <Override PartName="/xl/worksheets/_rels/sheet33.xml.rels" ContentType="application/vnd.openxmlformats-package.relationships+xml"/>
  <Override PartName="/xl/worksheets/_rels/sheet34.xml.rels" ContentType="application/vnd.openxmlformats-package.relationships+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33"/>
  </bookViews>
  <sheets>
    <sheet name="Вхідні параметри" sheetId="1" state="visible" r:id="rId2"/>
    <sheet name="Розрахункові параметриПеревірка" sheetId="2" state="visible" r:id="rId3"/>
    <sheet name="ВихідніДаніПеревірка" sheetId="3" state="visible" r:id="rId4"/>
    <sheet name="Для друку" sheetId="4" state="visible" r:id="rId5"/>
    <sheet name="Optimum" sheetId="5" state="visible" r:id="rId6"/>
    <sheet name="РозрахНаРозтПриЗгин" sheetId="6" state="visible" r:id="rId7"/>
    <sheet name="РозрахДопПружПрогин" sheetId="7" state="visible" r:id="rId8"/>
    <sheet name="РозрахУмовЗсувЗемлПолот" sheetId="8" state="visible" r:id="rId9"/>
    <sheet name="РозрахУмовЗсувуНевязких" sheetId="9" state="visible" r:id="rId10"/>
    <sheet name="ЗгинОптим" sheetId="10" state="visible" r:id="rId11"/>
    <sheet name="Лист1" sheetId="11" state="visible" r:id="rId12"/>
    <sheet name="ПрогинОптим" sheetId="12" state="visible" r:id="rId13"/>
    <sheet name="ЗсувЗемлОптим" sheetId="13" state="visible" r:id="rId14"/>
    <sheet name="ЗсувНевязкихОптим" sheetId="14" state="visible" r:id="rId15"/>
    <sheet name="ТовщиниВартості" sheetId="15" state="visible" r:id="rId16"/>
    <sheet name="Тсл" sheetId="16" state="visible" r:id="rId17"/>
    <sheet name="Ncум" sheetId="17" state="visible" r:id="rId18"/>
    <sheet name="Над_Згин" sheetId="18" state="visible" r:id="rId19"/>
    <sheet name="Кнад" sheetId="19" state="visible" r:id="rId20"/>
    <sheet name="Над_Езаг" sheetId="20" state="visible" r:id="rId21"/>
    <sheet name="Таблиця 4.1 ДБН-В 2.3.-4-2015" sheetId="21" state="visible" r:id="rId22"/>
    <sheet name="Табл. 4.1 - 4.5" sheetId="22" state="visible" r:id="rId23"/>
    <sheet name="Табл. 4.6" sheetId="23" state="visible" r:id="rId24"/>
    <sheet name="Табл. 4.7" sheetId="24" state="visible" r:id="rId25"/>
    <sheet name="Табл. 5.1 - 5.3" sheetId="25" state="visible" r:id="rId26"/>
    <sheet name="Табл Д.6" sheetId="26" state="visible" r:id="rId27"/>
    <sheet name="Табл. 5.4" sheetId="27" state="visible" r:id="rId28"/>
    <sheet name="Табл. 5.5" sheetId="28" state="visible" r:id="rId29"/>
    <sheet name="Таблиця 6.1" sheetId="29" state="visible" r:id="rId30"/>
    <sheet name="Табл.6.2" sheetId="30" state="visible" r:id="rId31"/>
    <sheet name="Таблиця 6.3" sheetId="31" state="visible" r:id="rId32"/>
    <sheet name="Таблиця 6.4" sheetId="32" state="hidden" r:id="rId33"/>
    <sheet name="Табл. 6.8" sheetId="33" state="hidden" r:id="rId34"/>
    <sheet name="Таблиця 6.6" sheetId="34" state="visible" r:id="rId35"/>
    <sheet name="Табл. 6.9" sheetId="35" state="visible" r:id="rId36"/>
    <sheet name="Tаблиця Б РозрахПараметНавантаж" sheetId="36" state="visible" r:id="rId37"/>
    <sheet name="Табл. 5.1 ДБН-В 2.3-4.2015" sheetId="37" state="visible" r:id="rId38"/>
    <sheet name="Мін_товщ" sheetId="38" state="visible" r:id="rId39"/>
    <sheet name="Кпривед" sheetId="39" state="visible" r:id="rId40"/>
    <sheet name="Ном_Згин" sheetId="40" state="visible" r:id="rId41"/>
    <sheet name="Ном_Езаг" sheetId="41" state="visible" r:id="rId42"/>
    <sheet name="Над_Зсув" sheetId="42" state="visible" r:id="rId43"/>
    <sheet name="ЗгинНадійність" sheetId="43" state="visible" r:id="rId44"/>
  </sheets>
  <externalReferences>
    <externalReference r:id="rId45"/>
    <externalReference r:id="rId46"/>
  </externalReferences>
  <definedNames>
    <definedName function="false" hidden="false" name="Alfa_n" vbProcedure="false">#REF!</definedName>
    <definedName function="false" hidden="false" name="cN" vbProcedure="false">#REF!</definedName>
    <definedName function="false" hidden="false" name="c_gr" vbProcedure="false">#REF!</definedName>
    <definedName function="false" hidden="false" name="D" vbProcedure="false">#REF!</definedName>
    <definedName function="false" hidden="false" name="Ecp_E" vbProcedure="false">#REF!</definedName>
    <definedName function="false" hidden="false" name="Ecp_pes" vbProcedure="false">#REF!</definedName>
    <definedName function="false" hidden="false" name="Ecp_tau" vbProcedure="false">#REF!</definedName>
    <definedName function="false" hidden="false" name="Egr" vbProcedure="false">#REF!</definedName>
    <definedName function="false" hidden="false" name="Etr" vbProcedure="false">#REF!</definedName>
    <definedName function="false" hidden="false" name="fi" vbProcedure="false">#REF!</definedName>
    <definedName function="false" hidden="false" name="fiN" vbProcedure="false">#REF!</definedName>
    <definedName function="false" hidden="false" name="f_smug" vbProcedure="false">#REF!</definedName>
    <definedName function="false" hidden="false" name="h_pes" vbProcedure="false">#REF!</definedName>
    <definedName function="false" hidden="false" name="hаб" vbProcedure="false">#REF!</definedName>
    <definedName function="false" hidden="false" name="Kc" vbProcedure="false">#REF!</definedName>
    <definedName function="false" hidden="false" name="kd" vbProcedure="false">#REF!</definedName>
    <definedName function="false" hidden="false" name="KEzag" vbProcedure="false">#REF!</definedName>
    <definedName function="false" hidden="false" name="KH" vbProcedure="false">#REF!</definedName>
    <definedName function="false" hidden="false" name="Kizg" vbProcedure="false">#REF!</definedName>
    <definedName function="false" hidden="false" name="kkn" vbProcedure="false">#REF!</definedName>
    <definedName function="false" hidden="false" name="Km_Ezag" vbProcedure="false">#REF!</definedName>
    <definedName function="false" hidden="false" name="Km_tau" vbProcedure="false">#REF!</definedName>
    <definedName function="false" hidden="false" name="Kn" vbProcedure="false">#REF!</definedName>
    <definedName function="false" hidden="false" name="kNC" vbProcedure="false">#REF!</definedName>
    <definedName function="false" hidden="false" name="kNf" vbProcedure="false">#REF!</definedName>
    <definedName function="false" hidden="false" name="Kr_R" vbProcedure="false">#REF!</definedName>
    <definedName function="false" hidden="false" name="kT" vbProcedure="false">#REF!</definedName>
    <definedName function="false" hidden="false" name="Ktau" vbProcedure="false">#REF!</definedName>
    <definedName function="false" hidden="false" name="K_bal" vbProcedure="false">#REF!</definedName>
    <definedName function="false" hidden="false" name="K_dob" vbProcedure="false">#REF!</definedName>
    <definedName function="false" hidden="false" name="k_kn" vbProcedure="false">#REF!</definedName>
    <definedName function="false" hidden="false" name="k_m" vbProcedure="false">#REF!</definedName>
    <definedName function="false" hidden="false" name="k_pr" vbProcedure="false">#REF!</definedName>
    <definedName function="false" hidden="false" name="m" vbProcedure="false">#REF!</definedName>
    <definedName function="false" hidden="false" name="N0" vbProcedure="false">#REF!</definedName>
    <definedName function="false" hidden="false" name="Nf0" vbProcedure="false">#REF!</definedName>
    <definedName function="false" hidden="false" name="Nf_psp" vbProcedure="false">#REF!</definedName>
    <definedName function="false" hidden="false" name="Np" vbProcedure="false">#REF!</definedName>
    <definedName function="false" hidden="false" name="Nsum" vbProcedure="false">#REF!</definedName>
    <definedName function="false" hidden="false" name="N_dob" vbProcedure="false">#REF!</definedName>
    <definedName function="false" hidden="false" name="p" vbProcedure="false">#REF!</definedName>
    <definedName function="false" hidden="false" name="q" vbProcedure="false">#REF!</definedName>
    <definedName function="false" hidden="false" name="Rp" vbProcedure="false">#REF!</definedName>
    <definedName function="false" hidden="false" name="R_lab" vbProcedure="false">#REF!</definedName>
    <definedName function="false" hidden="false" name="SigmR" vbProcedure="false">#REF!</definedName>
    <definedName function="false" hidden="false" name="Takt" vbProcedure="false">#REF!</definedName>
    <definedName function="false" hidden="false" name="Tcl" vbProcedure="false">#REF!</definedName>
    <definedName function="false" hidden="false" name="Tgr" vbProcedure="false">#REF!</definedName>
    <definedName function="false" hidden="false" name="Tpdp" vbProcedure="false">#REF!</definedName>
    <definedName function="false" hidden="false" name="ycp" vbProcedure="false">#REF!</definedName>
    <definedName function="false" hidden="false" name="zon" vbProcedure="false">#REF!</definedName>
    <definedName function="false" hidden="false" name="Еср" vbProcedure="false">#REF!</definedName>
    <definedName function="false" hidden="false" name="ЕсрE" vbProcedure="false">#REF!</definedName>
    <definedName function="false" hidden="false" localSheetId="2" name="solver_cvg" vbProcedure="false">0.0001</definedName>
    <definedName function="false" hidden="false" localSheetId="2" name="solver_drv" vbProcedure="false">1</definedName>
    <definedName function="false" hidden="false" localSheetId="2" name="solver_eng" vbProcedure="false">1</definedName>
    <definedName function="false" hidden="false" localSheetId="2" name="solver_est" vbProcedure="false">1</definedName>
    <definedName function="false" hidden="false" localSheetId="2" name="solver_itr" vbProcedure="false">2147483647</definedName>
    <definedName function="false" hidden="false" localSheetId="2" name="solver_mip" vbProcedure="false">2147483647</definedName>
    <definedName function="false" hidden="false" localSheetId="2" name="solver_mni" vbProcedure="false">30</definedName>
    <definedName function="false" hidden="false" localSheetId="2" name="solver_mrt" vbProcedure="false">0.075</definedName>
    <definedName function="false" hidden="false" localSheetId="2" name="solver_msl" vbProcedure="false">2</definedName>
    <definedName function="false" hidden="false" localSheetId="2" name="solver_neg" vbProcedure="false">1</definedName>
    <definedName function="false" hidden="false" localSheetId="2" name="solver_nod" vbProcedure="false">2147483647</definedName>
    <definedName function="false" hidden="false" localSheetId="2" name="solver_num" vbProcedure="false">0</definedName>
    <definedName function="false" hidden="false" localSheetId="2" name="solver_nwt" vbProcedure="false">1</definedName>
    <definedName function="false" hidden="false" localSheetId="2" name="solver_opt" vbProcedure="false">ВихідніДаніПеревірка!$K$3</definedName>
    <definedName function="false" hidden="false" localSheetId="2" name="solver_pre" vbProcedure="false">0.000001</definedName>
    <definedName function="false" hidden="false" localSheetId="2" name="solver_rbv" vbProcedure="false">1</definedName>
    <definedName function="false" hidden="false" localSheetId="2" name="solver_rlx" vbProcedure="false">2</definedName>
    <definedName function="false" hidden="false" localSheetId="2" name="solver_rsd" vbProcedure="false">0</definedName>
    <definedName function="false" hidden="false" localSheetId="2" name="solver_scl" vbProcedure="false">1</definedName>
    <definedName function="false" hidden="false" localSheetId="2" name="solver_sho" vbProcedure="false">2</definedName>
    <definedName function="false" hidden="false" localSheetId="2" name="solver_ssz" vbProcedure="false">100</definedName>
    <definedName function="false" hidden="false" localSheetId="2" name="solver_tim" vbProcedure="false">2147483647</definedName>
    <definedName function="false" hidden="false" localSheetId="2" name="solver_tol" vbProcedure="false">0.01</definedName>
    <definedName function="false" hidden="false" localSheetId="2" name="solver_typ" vbProcedure="false">2</definedName>
    <definedName function="false" hidden="false" localSheetId="2" name="solver_val" vbProcedure="false">0</definedName>
    <definedName function="false" hidden="false" localSheetId="2" name="solver_ver" vbProcedure="false">3</definedName>
    <definedName function="false" hidden="false" localSheetId="3" name="Alfa_n" vbProcedure="false">#REF!</definedName>
    <definedName function="false" hidden="false" localSheetId="3" name="cN" vbProcedure="false">#REF!</definedName>
    <definedName function="false" hidden="false" localSheetId="3" name="c_gr" vbProcedure="false">#REF!</definedName>
    <definedName function="false" hidden="false" localSheetId="3" name="D" vbProcedure="false">#REF!</definedName>
    <definedName function="false" hidden="false" localSheetId="3" name="Ecp_E" vbProcedure="false">#REF!</definedName>
    <definedName function="false" hidden="false" localSheetId="3" name="Ecp_pes" vbProcedure="false">#REF!</definedName>
    <definedName function="false" hidden="false" localSheetId="3" name="Ecp_tau" vbProcedure="false">#REF!</definedName>
    <definedName function="false" hidden="false" localSheetId="3" name="Egr" vbProcedure="false">#REF!</definedName>
    <definedName function="false" hidden="false" localSheetId="3" name="Etr" vbProcedure="false">#REF!</definedName>
    <definedName function="false" hidden="false" localSheetId="3" name="fi" vbProcedure="false">#REF!</definedName>
    <definedName function="false" hidden="false" localSheetId="3" name="fiN" vbProcedure="false">#REF!</definedName>
    <definedName function="false" hidden="false" localSheetId="3" name="f_smug" vbProcedure="false">#REF!</definedName>
    <definedName function="false" hidden="false" localSheetId="3" name="h_pes" vbProcedure="false">#REF!</definedName>
    <definedName function="false" hidden="false" localSheetId="3" name="hаб" vbProcedure="false">#REF!</definedName>
    <definedName function="false" hidden="false" localSheetId="3" name="Kc" vbProcedure="false">#REF!</definedName>
    <definedName function="false" hidden="false" localSheetId="3" name="kd" vbProcedure="false">#REF!</definedName>
    <definedName function="false" hidden="false" localSheetId="3" name="KEzag" vbProcedure="false">#REF!</definedName>
    <definedName function="false" hidden="false" localSheetId="3" name="KH" vbProcedure="false">#REF!</definedName>
    <definedName function="false" hidden="false" localSheetId="3" name="Kizg" vbProcedure="false">#REF!</definedName>
    <definedName function="false" hidden="false" localSheetId="3" name="kkn" vbProcedure="false">#REF!</definedName>
    <definedName function="false" hidden="false" localSheetId="3" name="Km_Ezag" vbProcedure="false">#REF!</definedName>
    <definedName function="false" hidden="false" localSheetId="3" name="Km_tau" vbProcedure="false">#REF!</definedName>
    <definedName function="false" hidden="false" localSheetId="3" name="Kn" vbProcedure="false">#REF!</definedName>
    <definedName function="false" hidden="false" localSheetId="3" name="kNC" vbProcedure="false">#REF!</definedName>
    <definedName function="false" hidden="false" localSheetId="3" name="kNf" vbProcedure="false">#REF!</definedName>
    <definedName function="false" hidden="false" localSheetId="3" name="Kr_R" vbProcedure="false">#REF!</definedName>
    <definedName function="false" hidden="false" localSheetId="3" name="kT" vbProcedure="false">#REF!</definedName>
    <definedName function="false" hidden="false" localSheetId="3" name="Ktau" vbProcedure="false">#REF!</definedName>
    <definedName function="false" hidden="false" localSheetId="3" name="K_bal" vbProcedure="false">#REF!</definedName>
    <definedName function="false" hidden="false" localSheetId="3" name="K_dob" vbProcedure="false">#REF!</definedName>
    <definedName function="false" hidden="false" localSheetId="3" name="k_kn" vbProcedure="false">#REF!</definedName>
    <definedName function="false" hidden="false" localSheetId="3" name="k_m" vbProcedure="false">#REF!</definedName>
    <definedName function="false" hidden="false" localSheetId="3" name="k_pr" vbProcedure="false">#REF!</definedName>
    <definedName function="false" hidden="false" localSheetId="3" name="m" vbProcedure="false">#REF!</definedName>
    <definedName function="false" hidden="false" localSheetId="3" name="N0" vbProcedure="false">#REF!</definedName>
    <definedName function="false" hidden="false" localSheetId="3" name="Nf0" vbProcedure="false">#REF!</definedName>
    <definedName function="false" hidden="false" localSheetId="3" name="Nf_psp" vbProcedure="false">#REF!</definedName>
    <definedName function="false" hidden="false" localSheetId="3" name="Np" vbProcedure="false">#REF!</definedName>
    <definedName function="false" hidden="false" localSheetId="3" name="Nsum" vbProcedure="false">#REF!</definedName>
    <definedName function="false" hidden="false" localSheetId="3" name="N_dob" vbProcedure="false">#REF!</definedName>
    <definedName function="false" hidden="false" localSheetId="3" name="p" vbProcedure="false">#REF!</definedName>
    <definedName function="false" hidden="false" localSheetId="3" name="q" vbProcedure="false">#REF!</definedName>
    <definedName function="false" hidden="false" localSheetId="3" name="Rp" vbProcedure="false">#REF!</definedName>
    <definedName function="false" hidden="false" localSheetId="3" name="R_lab" vbProcedure="false">#REF!</definedName>
    <definedName function="false" hidden="false" localSheetId="3" name="SigmR" vbProcedure="false">#REF!</definedName>
    <definedName function="false" hidden="false" localSheetId="3" name="Takt" vbProcedure="false">#REF!</definedName>
    <definedName function="false" hidden="false" localSheetId="3" name="Tcl" vbProcedure="false">#REF!</definedName>
    <definedName function="false" hidden="false" localSheetId="3" name="Tgr" vbProcedure="false">#REF!</definedName>
    <definedName function="false" hidden="false" localSheetId="3" name="Tpdp" vbProcedure="false">#REF!</definedName>
    <definedName function="false" hidden="false" localSheetId="3" name="ycp" vbProcedure="false">#REF!</definedName>
    <definedName function="false" hidden="false" localSheetId="3" name="zon" vbProcedure="false">#REF!</definedName>
    <definedName function="false" hidden="false" localSheetId="3" name="Еср" vbProcedure="false">#REF!</definedName>
    <definedName function="false" hidden="false" localSheetId="3" name="ЕсрE" vbProcedure="false">#REF!</definedName>
    <definedName function="false" hidden="false" localSheetId="4" name="solver_adj" vbProcedure="false">Optimum!$F$3:$F$12</definedName>
    <definedName function="false" hidden="false" localSheetId="4" name="solver_cvg" vbProcedure="false">0.0001</definedName>
    <definedName function="false" hidden="false" localSheetId="4" name="solver_drv" vbProcedure="false">1</definedName>
    <definedName function="false" hidden="false" localSheetId="4" name="solver_eng" vbProcedure="false">1</definedName>
    <definedName function="false" hidden="false" localSheetId="4" name="solver_est" vbProcedure="false">1</definedName>
    <definedName function="false" hidden="false" localSheetId="4" name="solver_itr" vbProcedure="false">2147483647</definedName>
    <definedName function="false" hidden="false" localSheetId="4" name="solver_lhs1" vbProcedure="false">Optimum!$F$10</definedName>
    <definedName function="false" hidden="false" localSheetId="4" name="solver_lhs10" vbProcedure="false">Optimum!$F$4</definedName>
    <definedName function="false" hidden="false" localSheetId="4" name="solver_lhs11" vbProcedure="false">Optimum!$F$5</definedName>
    <definedName function="false" hidden="false" localSheetId="4" name="solver_lhs12" vbProcedure="false">Optimum!$F$5</definedName>
    <definedName function="false" hidden="false" localSheetId="4" name="solver_lhs13" vbProcedure="false">Optimum!$F$6</definedName>
    <definedName function="false" hidden="false" localSheetId="4" name="solver_lhs14" vbProcedure="false">Optimum!$F$6</definedName>
    <definedName function="false" hidden="false" localSheetId="4" name="solver_lhs15" vbProcedure="false">Optimum!$F$7</definedName>
    <definedName function="false" hidden="false" localSheetId="4" name="solver_lhs16" vbProcedure="false">Optimum!$F$7</definedName>
    <definedName function="false" hidden="false" localSheetId="4" name="solver_lhs17" vbProcedure="false">Optimum!$F$8</definedName>
    <definedName function="false" hidden="false" localSheetId="4" name="solver_lhs18" vbProcedure="false">Optimum!$F$8</definedName>
    <definedName function="false" hidden="false" localSheetId="4" name="solver_lhs19" vbProcedure="false">Optimum!$F$9</definedName>
    <definedName function="false" hidden="false" localSheetId="4" name="solver_lhs2" vbProcedure="false">Optimum!$F$10</definedName>
    <definedName function="false" hidden="false" localSheetId="4" name="solver_lhs20" vbProcedure="false">Optimum!$F$9</definedName>
    <definedName function="false" hidden="false" localSheetId="4" name="solver_lhs21" vbProcedure="false">Optimum!$U$13</definedName>
    <definedName function="false" hidden="false" localSheetId="4" name="solver_lhs22" vbProcedure="false">Optimum!$U$18</definedName>
    <definedName function="false" hidden="false" localSheetId="4" name="solver_lhs23" vbProcedure="false">Optimum!$U$3</definedName>
    <definedName function="false" hidden="false" localSheetId="4" name="solver_lhs24" vbProcedure="false">Optimum!$U$8</definedName>
    <definedName function="false" hidden="false" localSheetId="4" name="solver_lhs25" vbProcedure="false">Optimum!$X$13</definedName>
    <definedName function="false" hidden="false" localSheetId="4" name="solver_lhs26" vbProcedure="false">Optimum!$X$18</definedName>
    <definedName function="false" hidden="false" localSheetId="4" name="solver_lhs27" vbProcedure="false">Optimum!$X$3</definedName>
    <definedName function="false" hidden="false" localSheetId="4" name="solver_lhs28" vbProcedure="false">Optimum!$X$8</definedName>
    <definedName function="false" hidden="false" localSheetId="4" name="solver_lhs3" vbProcedure="false">Optimum!$F$11</definedName>
    <definedName function="false" hidden="false" localSheetId="4" name="solver_lhs4" vbProcedure="false">Optimum!$F$11</definedName>
    <definedName function="false" hidden="false" localSheetId="4" name="solver_lhs5" vbProcedure="false">Optimum!$F$12</definedName>
    <definedName function="false" hidden="false" localSheetId="4" name="solver_lhs6" vbProcedure="false">Optimum!$F$12</definedName>
    <definedName function="false" hidden="false" localSheetId="4" name="solver_lhs7" vbProcedure="false">Optimum!$F$3</definedName>
    <definedName function="false" hidden="false" localSheetId="4" name="solver_lhs8" vbProcedure="false">Optimum!$F$3</definedName>
    <definedName function="false" hidden="false" localSheetId="4" name="solver_lhs9" vbProcedure="false">Optimum!$F$4</definedName>
    <definedName function="false" hidden="false" localSheetId="4" name="solver_mip" vbProcedure="false">2147483647</definedName>
    <definedName function="false" hidden="false" localSheetId="4" name="solver_mni" vbProcedure="false">30</definedName>
    <definedName function="false" hidden="false" localSheetId="4" name="solver_mrt" vbProcedure="false">0.075</definedName>
    <definedName function="false" hidden="false" localSheetId="4" name="solver_msl" vbProcedure="false">2</definedName>
    <definedName function="false" hidden="false" localSheetId="4" name="solver_neg" vbProcedure="false">1</definedName>
    <definedName function="false" hidden="false" localSheetId="4" name="solver_nod" vbProcedure="false">2147483647</definedName>
    <definedName function="false" hidden="false" localSheetId="4" name="solver_num" vbProcedure="false">28</definedName>
    <definedName function="false" hidden="false" localSheetId="4" name="solver_nwt" vbProcedure="false">1</definedName>
    <definedName function="false" hidden="false" localSheetId="4" name="solver_opt" vbProcedure="false">Optimum!$U$18</definedName>
    <definedName function="false" hidden="false" localSheetId="4" name="solver_pre" vbProcedure="false">0.000001</definedName>
    <definedName function="false" hidden="false" localSheetId="4" name="solver_rbv" vbProcedure="false">1</definedName>
    <definedName function="false" hidden="false" localSheetId="4" name="solver_rel1" vbProcedure="false">1</definedName>
    <definedName function="false" hidden="false" localSheetId="4" name="solver_rel10" vbProcedure="false">3</definedName>
    <definedName function="false" hidden="false" localSheetId="4" name="solver_rel11" vbProcedure="false">1</definedName>
    <definedName function="false" hidden="false" localSheetId="4" name="solver_rel12" vbProcedure="false">3</definedName>
    <definedName function="false" hidden="false" localSheetId="4" name="solver_rel13" vbProcedure="false">1</definedName>
    <definedName function="false" hidden="false" localSheetId="4" name="solver_rel14" vbProcedure="false">3</definedName>
    <definedName function="false" hidden="false" localSheetId="4" name="solver_rel15" vbProcedure="false">1</definedName>
    <definedName function="false" hidden="false" localSheetId="4" name="solver_rel16" vbProcedure="false">3</definedName>
    <definedName function="false" hidden="false" localSheetId="4" name="solver_rel17" vbProcedure="false">1</definedName>
    <definedName function="false" hidden="false" localSheetId="4" name="solver_rel18" vbProcedure="false">3</definedName>
    <definedName function="false" hidden="false" localSheetId="4" name="solver_rel19" vbProcedure="false">1</definedName>
    <definedName function="false" hidden="false" localSheetId="4" name="solver_rel2" vbProcedure="false">3</definedName>
    <definedName function="false" hidden="false" localSheetId="4" name="solver_rel20" vbProcedure="false">3</definedName>
    <definedName function="false" hidden="false" localSheetId="4" name="solver_rel21" vbProcedure="false">3</definedName>
    <definedName function="false" hidden="false" localSheetId="4" name="solver_rel22" vbProcedure="false">3</definedName>
    <definedName function="false" hidden="false" localSheetId="4" name="solver_rel23" vbProcedure="false">3</definedName>
    <definedName function="false" hidden="false" localSheetId="4" name="solver_rel24" vbProcedure="false">3</definedName>
    <definedName function="false" hidden="false" localSheetId="4" name="solver_rel25" vbProcedure="false">1</definedName>
    <definedName function="false" hidden="false" localSheetId="4" name="solver_rel26" vbProcedure="false">1</definedName>
    <definedName function="false" hidden="false" localSheetId="4" name="solver_rel27" vbProcedure="false">1</definedName>
    <definedName function="false" hidden="false" localSheetId="4" name="solver_rel28" vbProcedure="false">1</definedName>
    <definedName function="false" hidden="false" localSheetId="4" name="solver_rel3" vbProcedure="false">1</definedName>
    <definedName function="false" hidden="false" localSheetId="4" name="solver_rel4" vbProcedure="false">3</definedName>
    <definedName function="false" hidden="false" localSheetId="4" name="solver_rel5" vbProcedure="false">1</definedName>
    <definedName function="false" hidden="false" localSheetId="4" name="solver_rel6" vbProcedure="false">3</definedName>
    <definedName function="false" hidden="false" localSheetId="4" name="solver_rel7" vbProcedure="false">1</definedName>
    <definedName function="false" hidden="false" localSheetId="4" name="solver_rel8" vbProcedure="false">3</definedName>
    <definedName function="false" hidden="false" localSheetId="4" name="solver_rel9" vbProcedure="false">1</definedName>
    <definedName function="false" hidden="false" localSheetId="4" name="solver_rhs1" vbProcedure="false">Optimum!$D$10</definedName>
    <definedName function="false" hidden="false" localSheetId="4" name="solver_rhs10" vbProcedure="false">Optimum!$C$4</definedName>
    <definedName function="false" hidden="false" localSheetId="4" name="solver_rhs11" vbProcedure="false">Optimum!$D$5</definedName>
    <definedName function="false" hidden="false" localSheetId="4" name="solver_rhs12" vbProcedure="false">Optimum!$C$5</definedName>
    <definedName function="false" hidden="false" localSheetId="4" name="solver_rhs13" vbProcedure="false">Optimum!$D$6</definedName>
    <definedName function="false" hidden="false" localSheetId="4" name="solver_rhs14" vbProcedure="false">Optimum!$C$6</definedName>
    <definedName function="false" hidden="false" localSheetId="4" name="solver_rhs15" vbProcedure="false">Optimum!$D$7</definedName>
    <definedName function="false" hidden="false" localSheetId="4" name="solver_rhs16" vbProcedure="false">Optimum!$C$7</definedName>
    <definedName function="false" hidden="false" localSheetId="4" name="solver_rhs17" vbProcedure="false">Optimum!$D$8</definedName>
    <definedName function="false" hidden="false" localSheetId="4" name="solver_rhs18" vbProcedure="false">Optimum!$C$8</definedName>
    <definedName function="false" hidden="false" localSheetId="4" name="solver_rhs19" vbProcedure="false">Optimum!$D$9</definedName>
    <definedName function="false" hidden="false" localSheetId="4" name="solver_rhs2" vbProcedure="false">Optimum!$C$10</definedName>
    <definedName function="false" hidden="false" localSheetId="4" name="solver_rhs20" vbProcedure="false">Optimum!$C$9</definedName>
    <definedName function="false" hidden="false" localSheetId="4" name="solver_rhs21" vbProcedure="false">0</definedName>
    <definedName function="false" hidden="false" localSheetId="4" name="solver_rhs22" vbProcedure="false">0</definedName>
    <definedName function="false" hidden="false" localSheetId="4" name="solver_rhs23" vbProcedure="false">0</definedName>
    <definedName function="false" hidden="false" localSheetId="4" name="solver_rhs24" vbProcedure="false">0</definedName>
    <definedName function="false" hidden="false" localSheetId="4" name="solver_rhs25" vbProcedure="false">Optimum!$Z$13</definedName>
    <definedName function="false" hidden="false" localSheetId="4" name="solver_rhs26" vbProcedure="false">Optimum!$Z$18</definedName>
    <definedName function="false" hidden="false" localSheetId="4" name="solver_rhs27" vbProcedure="false">Optimum!$Z$3</definedName>
    <definedName function="false" hidden="false" localSheetId="4" name="solver_rhs28" vbProcedure="false">Optimum!$Z$8</definedName>
    <definedName function="false" hidden="false" localSheetId="4" name="solver_rhs3" vbProcedure="false">Optimum!$D$11</definedName>
    <definedName function="false" hidden="false" localSheetId="4" name="solver_rhs4" vbProcedure="false">Optimum!$C$11</definedName>
    <definedName function="false" hidden="false" localSheetId="4" name="solver_rhs5" vbProcedure="false">Optimum!$D$12</definedName>
    <definedName function="false" hidden="false" localSheetId="4" name="solver_rhs6" vbProcedure="false">Optimum!$C$12</definedName>
    <definedName function="false" hidden="false" localSheetId="4" name="solver_rhs7" vbProcedure="false">Optimum!$D$3</definedName>
    <definedName function="false" hidden="false" localSheetId="4" name="solver_rhs8" vbProcedure="false">Optimum!$C$3</definedName>
    <definedName function="false" hidden="false" localSheetId="4" name="solver_rhs9" vbProcedure="false">Optimum!$D$4</definedName>
    <definedName function="false" hidden="false" localSheetId="4" name="solver_rlx" vbProcedure="false">2</definedName>
    <definedName function="false" hidden="false" localSheetId="4" name="solver_rsd" vbProcedure="false">0</definedName>
    <definedName function="false" hidden="false" localSheetId="4" name="solver_scl" vbProcedure="false">1</definedName>
    <definedName function="false" hidden="false" localSheetId="4" name="solver_sho" vbProcedure="false">2</definedName>
    <definedName function="false" hidden="false" localSheetId="4" name="solver_ssz" vbProcedure="false">100</definedName>
    <definedName function="false" hidden="false" localSheetId="4" name="solver_tim" vbProcedure="false">2147483647</definedName>
    <definedName function="false" hidden="false" localSheetId="4" name="solver_tol" vbProcedure="false">0.01</definedName>
    <definedName function="false" hidden="false" localSheetId="4" name="solver_typ" vbProcedure="false">2</definedName>
    <definedName function="false" hidden="false" localSheetId="4" name="solver_val" vbProcedure="false">0</definedName>
    <definedName function="false" hidden="false" localSheetId="4" name="solver_ver" vbProcedure="false">3</definedName>
    <definedName function="false" hidden="false" localSheetId="38" name="q"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<sst xmlns="http://schemas.openxmlformats.org/spreadsheetml/2006/main" count="3124" uniqueCount="1518">
  <si>
    <t xml:space="preserve">Автори - Гамеляк І.П., Клочан А.Є.</t>
  </si>
  <si>
    <t xml:space="preserve">ConstRoad</t>
  </si>
  <si>
    <t xml:space="preserve">Вихідні дані.</t>
  </si>
  <si>
    <t xml:space="preserve">Рисунок 1 – Дорожнє районування України </t>
  </si>
  <si>
    <t xml:space="preserve">Дорожньо-кліматична зона України</t>
  </si>
  <si>
    <t xml:space="preserve">ІІ</t>
  </si>
  <si>
    <t xml:space="preserve">Категорія дороги</t>
  </si>
  <si>
    <t xml:space="preserve">I-а</t>
  </si>
  <si>
    <t xml:space="preserve">Параметри земляного полотна</t>
  </si>
  <si>
    <t xml:space="preserve">Ґрунти при глибокому заляганні ґрунтових вод, забезпеченому поверхневому водовідводі та наявності нижнього шару основи з дискретних матеріалів у дорожньому одязі на межі поділу із земляним полотном </t>
  </si>
  <si>
    <t xml:space="preserve">Шифр дорожнього району</t>
  </si>
  <si>
    <t xml:space="preserve">II.P.5</t>
  </si>
  <si>
    <t xml:space="preserve">Різновид глинистих грунтів</t>
  </si>
  <si>
    <t xml:space="preserve">G9 Суглинок легкий пилуватий</t>
  </si>
  <si>
    <t xml:space="preserve">Тип дорожнього одягу</t>
  </si>
  <si>
    <t xml:space="preserve">капітальний</t>
  </si>
  <si>
    <t xml:space="preserve">Група розрахункового навантаження</t>
  </si>
  <si>
    <t xml:space="preserve">А2</t>
  </si>
  <si>
    <t xml:space="preserve">Кількість смуг руху</t>
  </si>
  <si>
    <t xml:space="preserve">Конструктивні особливості використовуваних дренажних конструкцій</t>
  </si>
  <si>
    <t xml:space="preserve">∆W3 голкопробивний геотекстиль в контакті з суглинками і глинами</t>
  </si>
  <si>
    <t xml:space="preserve">Матеріали шарів</t>
  </si>
  <si>
    <t xml:space="preserve">Товщина, см</t>
  </si>
  <si>
    <t xml:space="preserve">Конструкція дорожнього одягу</t>
  </si>
  <si>
    <t xml:space="preserve">Асфальтобетон</t>
  </si>
  <si>
    <t xml:space="preserve">ЩМА12 Щебеневомастиковий асфальтобетон виду ЩМА-20 БМПА 60/90-52</t>
  </si>
  <si>
    <r>
      <rPr>
        <b val="true"/>
        <sz val="12"/>
        <color rgb="FF000000"/>
        <rFont val="Times New Roman"/>
        <family val="1"/>
        <charset val="204"/>
      </rPr>
      <t xml:space="preserve">Рисунок 2</t>
    </r>
    <r>
      <rPr>
        <sz val="12"/>
        <color rgb="FF000000"/>
        <rFont val="Times New Roman"/>
        <family val="1"/>
        <charset val="204"/>
      </rPr>
      <t xml:space="preserve"> – Дорожнє районування України за ґрунтово-геологічними умовами</t>
    </r>
  </si>
  <si>
    <t xml:space="preserve">АЩ2 Щільний асфальтобетон I – II марки БНД 60/90</t>
  </si>
  <si>
    <t xml:space="preserve">АП2 Пористий асфальтобетон БНД 60/90</t>
  </si>
  <si>
    <t xml:space="preserve">Матеріали і ґрунти, укріплені в’яжучими речовинами</t>
  </si>
  <si>
    <t xml:space="preserve">ОУ3 ЩПС, укріплений цементом, мароки М40</t>
  </si>
  <si>
    <t xml:space="preserve">ОУ2 ЩПС, укріплений цементом, мароки М60</t>
  </si>
  <si>
    <t xml:space="preserve">ОУ30 Крупноуламкові ґрунти і ПГС оптимального чи близьких до оптимального складів,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М40</t>
  </si>
  <si>
    <t xml:space="preserve">Неукріплені матеріали покриття</t>
  </si>
  <si>
    <t xml:space="preserve">ОН17 Щебенево-піщана суміш для шарів основи С5 </t>
  </si>
  <si>
    <t xml:space="preserve">Неукріплені матеріали основ</t>
  </si>
  <si>
    <t xml:space="preserve">ОН21 Щебенево-піщана суміш для шарів основи С9 </t>
  </si>
  <si>
    <t xml:space="preserve">Шар нев’язкого середовища </t>
  </si>
  <si>
    <t xml:space="preserve">G1 Пісок крупний</t>
  </si>
  <si>
    <t xml:space="preserve">Сумарна товщина, см</t>
  </si>
  <si>
    <t xml:space="preserve">Сумарна кількість проїздів розрахункового навантаження за строк служби</t>
  </si>
  <si>
    <t xml:space="preserve">Строк експлуатації до капітального ремонту, роки</t>
  </si>
  <si>
    <t xml:space="preserve">Перевірка</t>
  </si>
  <si>
    <t xml:space="preserve">Перебір варыантів</t>
  </si>
  <si>
    <t xml:space="preserve">Опимізація</t>
  </si>
  <si>
    <t xml:space="preserve">за вартістю</t>
  </si>
  <si>
    <t xml:space="preserve">за товщиною асфальтобетону</t>
  </si>
  <si>
    <t xml:space="preserve">за товщиною основи </t>
  </si>
  <si>
    <t xml:space="preserve">за загальною товщиною</t>
  </si>
  <si>
    <t xml:space="preserve">SV</t>
  </si>
  <si>
    <t xml:space="preserve">I</t>
  </si>
  <si>
    <t xml:space="preserve">II</t>
  </si>
  <si>
    <t xml:space="preserve">III</t>
  </si>
  <si>
    <t xml:space="preserve">IV</t>
  </si>
  <si>
    <t xml:space="preserve">V</t>
  </si>
  <si>
    <t xml:space="preserve">VI</t>
  </si>
  <si>
    <t xml:space="preserve">max</t>
  </si>
  <si>
    <t xml:space="preserve">min</t>
  </si>
  <si>
    <t xml:space="preserve">Коеф. Приведення до 115 кН</t>
  </si>
  <si>
    <t xml:space="preserve">Параметри ділянки дороги</t>
  </si>
  <si>
    <t xml:space="preserve">Значення</t>
  </si>
  <si>
    <t xml:space="preserve">підставляємо</t>
  </si>
  <si>
    <t xml:space="preserve">розраховує</t>
  </si>
  <si>
    <t xml:space="preserve">потребує корегуваня</t>
  </si>
  <si>
    <r>
      <rPr>
        <sz val="12"/>
        <color rgb="FF000000"/>
        <rFont val="Times New Roman"/>
        <family val="1"/>
        <charset val="204"/>
      </rPr>
      <t xml:space="preserve">Кількість розрахункових діб на рік (</t>
    </r>
    <r>
      <rPr>
        <i val="true"/>
        <sz val="12"/>
        <color rgb="FF000000"/>
        <rFont val="Times New Roman"/>
        <family val="1"/>
        <charset val="204"/>
      </rPr>
      <t xml:space="preserve">Т</t>
    </r>
    <r>
      <rPr>
        <i val="true"/>
        <vertAlign val="subscript"/>
        <sz val="12"/>
        <color rgb="FF000000"/>
        <rFont val="Times New Roman"/>
        <family val="1"/>
        <charset val="204"/>
      </rPr>
      <t xml:space="preserve">рдр</t>
    </r>
    <r>
      <rPr>
        <sz val="12"/>
        <color rgb="FF000000"/>
        <rFont val="Times New Roman"/>
        <family val="1"/>
        <charset val="204"/>
      </rPr>
      <t xml:space="preserve">) </t>
    </r>
  </si>
  <si>
    <t xml:space="preserve">Тривалість дії навантаження від рухомого автотранспорту, с</t>
  </si>
  <si>
    <t xml:space="preserve">Проміжні розрахунки для Wt грунту земляного полотна</t>
  </si>
  <si>
    <t xml:space="preserve">Тривалість статичного навантаження, с</t>
  </si>
  <si>
    <t xml:space="preserve">Коефіцієнт надійності, Кн</t>
  </si>
  <si>
    <t xml:space="preserve">Проміжні розрахунки для модуля пружності земляного полотна Егр, МПа</t>
  </si>
  <si>
    <t xml:space="preserve">Характеристика надійності, β</t>
  </si>
  <si>
    <t xml:space="preserve">опір шарів з монолітних матеріалів розтягу при згині</t>
  </si>
  <si>
    <t xml:space="preserve">Проміжні розрахунки для кута внутрішнього тертя земляного полотна φ, град</t>
  </si>
  <si>
    <t xml:space="preserve">опір пружному прогину всієї конструкції</t>
  </si>
  <si>
    <t xml:space="preserve">опір зсуву в ґрунті та шарах з незв’язних або малозв’язних матеріалів</t>
  </si>
  <si>
    <t xml:space="preserve">Проміжні розрахунки для коефіцієнта внутрішнього тертя грунту земляного полотна Сгр, МПа</t>
  </si>
  <si>
    <t xml:space="preserve">Розрахункова температура</t>
  </si>
  <si>
    <t xml:space="preserve">Типовий ґрунт у районі</t>
  </si>
  <si>
    <r>
      <rPr>
        <sz val="11"/>
        <color rgb="FF000000"/>
        <rFont val="Times New Roman"/>
        <family val="1"/>
        <charset val="204"/>
      </rPr>
      <t xml:space="preserve">t - коефіцієнт нормованого відхилення від </t>
    </r>
    <r>
      <rPr>
        <i val="true"/>
        <sz val="11"/>
        <color rgb="FF000000"/>
        <rFont val="Times New Roman"/>
        <family val="1"/>
        <charset val="204"/>
      </rPr>
      <t xml:space="preserve">Rлаб </t>
    </r>
  </si>
  <si>
    <r>
      <rPr>
        <sz val="11"/>
        <color rgb="FF000000"/>
        <rFont val="Times New Roman"/>
        <family val="1"/>
        <charset val="204"/>
      </rPr>
      <t xml:space="preserve">Середня районна розрахункова відносна вологість ґрунтів полотна для категорій, </t>
    </r>
    <r>
      <rPr>
        <i val="true"/>
        <sz val="11"/>
        <color rgb="FF000000"/>
        <rFont val="Times New Roman"/>
        <family val="1"/>
        <charset val="204"/>
      </rPr>
      <t xml:space="preserve">W</t>
    </r>
  </si>
  <si>
    <t xml:space="preserve"> Поправка на конструктивні особливості використовуваних дренажних конструкцій, ΔW</t>
  </si>
  <si>
    <t xml:space="preserve">Сυw - коефіцієнт варіації вологості</t>
  </si>
  <si>
    <t xml:space="preserve">Розрахункове значення вологості грунту Wp</t>
  </si>
  <si>
    <t xml:space="preserve">Число пластичності, Jр</t>
  </si>
  <si>
    <t xml:space="preserve">Вміст піщанистих часток (2,0 – 0,5) мм, % за масою</t>
  </si>
  <si>
    <t xml:space="preserve">Ґрунт</t>
  </si>
  <si>
    <t xml:space="preserve">Пісок</t>
  </si>
  <si>
    <t xml:space="preserve">Модуль пружності земляного полотна Егр, Мпа</t>
  </si>
  <si>
    <t xml:space="preserve">Кут внутрішнього тертя φ, град</t>
  </si>
  <si>
    <t xml:space="preserve">Коефіцієнт внутрішнього тертя грунту Сгр, МПа</t>
  </si>
  <si>
    <t xml:space="preserve">Нормативне статичне навантаження на вісь, кН</t>
  </si>
  <si>
    <t xml:space="preserve">Нормативне статичне навантаження на поверхню покриття від колеса розрахункового автомобіля Qрозр, кН</t>
  </si>
  <si>
    <t xml:space="preserve">Тиск повітря в шині p, МПа </t>
  </si>
  <si>
    <t xml:space="preserve">Діаметр відбитка колеса нерухомого автомобіля Dн, м</t>
  </si>
  <si>
    <t xml:space="preserve">Діаметр відбитка колеса рухомого автомобіля Dд, м</t>
  </si>
  <si>
    <t xml:space="preserve">Коефіцієнт динамічності</t>
  </si>
  <si>
    <t xml:space="preserve">Номінальне динамічне навантаження</t>
  </si>
  <si>
    <t xml:space="preserve">Розрахункова приведена добова інтенсивність N1p </t>
  </si>
  <si>
    <t xml:space="preserve">Параметри дороги</t>
  </si>
  <si>
    <t xml:space="preserve">Ширина смуги руху, м</t>
  </si>
  <si>
    <t xml:space="preserve">Ширина узбіччя, у тому числі, м</t>
  </si>
  <si>
    <t xml:space="preserve">Ширина зупиночної смуги разом з укрвпленою смугою, м</t>
  </si>
  <si>
    <t xml:space="preserve">Ширина укріпленої смуги, м</t>
  </si>
  <si>
    <t xml:space="preserve">Ширина розділювальної смуги, м</t>
  </si>
  <si>
    <t xml:space="preserve">Ширина укріпленої смуги на розділювальній смузі, м</t>
  </si>
  <si>
    <t xml:space="preserve">Значення коефіцієнта fсмуги  для смуги за номером 1</t>
  </si>
  <si>
    <t xml:space="preserve">Значення коефіцієнта fсмуги  для смуги за номером 2</t>
  </si>
  <si>
    <t xml:space="preserve">Значення коефіцієнта fсмуги  для смуги за номером 3</t>
  </si>
  <si>
    <t xml:space="preserve">Значення коефіцієнта fсмуги  для смуги за номером 4</t>
  </si>
  <si>
    <t xml:space="preserve">Розрахункова перспективна інтенсивність руху у транспортних одиницях, авт/добу</t>
  </si>
  <si>
    <t xml:space="preserve">Розрахункова перспективна інтенсивність руху у приведених одиницях до легкового автомобіля, авт/добу</t>
  </si>
  <si>
    <t xml:space="preserve"> Поправка на конструктивні особливості використовуваних дренажних конструкцій</t>
  </si>
  <si>
    <t xml:space="preserve">Параметри асфальтобетонів</t>
  </si>
  <si>
    <t xml:space="preserve">І</t>
  </si>
  <si>
    <t xml:space="preserve">Марка в'яжучого</t>
  </si>
  <si>
    <t xml:space="preserve">ІІІ</t>
  </si>
  <si>
    <t xml:space="preserve">Модуль пружності при згині (Е) при 0 С, МПа</t>
  </si>
  <si>
    <t xml:space="preserve">Коефіцієнт варіації модуля пружностіпри згині (СЕ)</t>
  </si>
  <si>
    <t xml:space="preserve">Коефіцієнт варіації модуля пружності при згині (СЕ)</t>
  </si>
  <si>
    <t xml:space="preserve">Границя міцності на розтягування при згині (Rлаб), МПа</t>
  </si>
  <si>
    <t xml:space="preserve">Коефіцієнт варіації (СR)</t>
  </si>
  <si>
    <t xml:space="preserve">Показник втоми, m </t>
  </si>
  <si>
    <t xml:space="preserve">Коефіцієнт kпр</t>
  </si>
  <si>
    <t xml:space="preserve">Значення короткочасного модуля пружності Е при +10 С, МПа, </t>
  </si>
  <si>
    <t xml:space="preserve">Значення короткочасного модуля пружності Е при зсуві, МПа, </t>
  </si>
  <si>
    <t xml:space="preserve">Товщина шару</t>
  </si>
  <si>
    <t xml:space="preserve">t - коефіцієнт нормованого відхилення від Rлаб </t>
  </si>
  <si>
    <t xml:space="preserve">Розрахункове значення опору розтягу при згині Rp, МПа</t>
  </si>
  <si>
    <t xml:space="preserve">Розрахункове значення опору розтягу при згині Rp, Мпа</t>
  </si>
  <si>
    <t xml:space="preserve">Коефіцієнт варіації товщини шару</t>
  </si>
  <si>
    <t xml:space="preserve">Параметри матеріалів і ґрунтів, укріплених в’яжучими речовинами</t>
  </si>
  <si>
    <t xml:space="preserve">Модуль пружності (Е), МПа</t>
  </si>
  <si>
    <t xml:space="preserve">Параметри неукріплених матеріалів</t>
  </si>
  <si>
    <t xml:space="preserve">Зчеплення См, МПа</t>
  </si>
  <si>
    <t xml:space="preserve">Розрахунок за критерієм пружного прогину (загального модуля пружності)</t>
  </si>
  <si>
    <t xml:space="preserve">Загальний показник міцності за критерієм пружного прогину</t>
  </si>
  <si>
    <t xml:space="preserve">Кпотр =</t>
  </si>
  <si>
    <t xml:space="preserve">Крозр =</t>
  </si>
  <si>
    <t xml:space="preserve">Розрахунок за критерієм зсуву грунті земляного полотна</t>
  </si>
  <si>
    <t xml:space="preserve">Загальний показник міцності за критерієм зсуву в грунті земляного полотна</t>
  </si>
  <si>
    <t xml:space="preserve">Умова міцності:</t>
  </si>
  <si>
    <t xml:space="preserve">&lt;</t>
  </si>
  <si>
    <t xml:space="preserve">Розрахунок за критерієм зсуву у незв'язних матеріалах та грунті земляного полотна</t>
  </si>
  <si>
    <t xml:space="preserve">Загальний показник міцності за критерієм зсуву в незв'язних матеріалах земляного полотна</t>
  </si>
  <si>
    <t xml:space="preserve">Розрахунок за критерієм опору шарів з монолітних матеріалів розтягу при згині</t>
  </si>
  <si>
    <t xml:space="preserve">Загальний показник міцності за критерієм опору розтягу при згині</t>
  </si>
  <si>
    <t xml:space="preserve">Сумарне розрахункове число прикладень на смугу за весь строк служби  ENp, авт.</t>
  </si>
  <si>
    <t xml:space="preserve">4 Розрахункове навантаження</t>
  </si>
  <si>
    <t xml:space="preserve">Навантаження визначається</t>
  </si>
  <si>
    <t xml:space="preserve">Розрахункове навантаження</t>
  </si>
  <si>
    <t xml:space="preserve">Вид розрахункового навантаження</t>
  </si>
  <si>
    <t xml:space="preserve">Тип колеса</t>
  </si>
  <si>
    <t xml:space="preserve">Навантаження Qрозр,кН</t>
  </si>
  <si>
    <t xml:space="preserve">Тиск в шинах p, Мпа</t>
  </si>
  <si>
    <t xml:space="preserve">Діаметр штампу D, см</t>
  </si>
  <si>
    <t xml:space="preserve">5. Конструкція дорожнього одягу</t>
  </si>
  <si>
    <t xml:space="preserve">Розрахунок конструкції дорожнього одягу жорсткого типу із монолітного цементобетонного покриття</t>
  </si>
  <si>
    <t xml:space="preserve">Назва дороги</t>
  </si>
  <si>
    <t xml:space="preserve">Особливості розрахунку</t>
  </si>
  <si>
    <t xml:space="preserve">Ім'я варіанту розрахунку</t>
  </si>
  <si>
    <t xml:space="preserve">1. Кліматичні характеристики </t>
  </si>
  <si>
    <t xml:space="preserve">Дорожньо-кліматична зона</t>
  </si>
  <si>
    <t xml:space="preserve">Територіальний район</t>
  </si>
  <si>
    <t xml:space="preserve">Схема зволоження робочого шару</t>
  </si>
  <si>
    <t xml:space="preserve">Рельєф району</t>
  </si>
  <si>
    <t xml:space="preserve">Тип клімату</t>
  </si>
  <si>
    <t xml:space="preserve">Кількість розрахункових днів в році, днів</t>
  </si>
  <si>
    <t xml:space="preserve">Номер ізолінії границі термічного опору дорожнього одягу</t>
  </si>
  <si>
    <t xml:space="preserve">Глибина промерзання грунта, см</t>
  </si>
  <si>
    <t xml:space="preserve">2. Дані про дорогу</t>
  </si>
  <si>
    <t xml:space="preserve">Загальні дані:</t>
  </si>
  <si>
    <t xml:space="preserve">Номер розрахункової смуги</t>
  </si>
  <si>
    <t xml:space="preserve">Срок служби покриття, років</t>
  </si>
  <si>
    <t xml:space="preserve">Коефіцієнт надійності</t>
  </si>
  <si>
    <t xml:space="preserve">Профіль:</t>
  </si>
  <si>
    <t xml:space="preserve">Поперечний профіль дороги</t>
  </si>
  <si>
    <t xml:space="preserve">Ширина полоси руху, м</t>
  </si>
  <si>
    <t xml:space="preserve">Ширина роздільної смуги, м</t>
  </si>
  <si>
    <t xml:space="preserve">Ширина обочини, м</t>
  </si>
  <si>
    <t xml:space="preserve">Ширина укріпленої частини обочини, м</t>
  </si>
  <si>
    <t xml:space="preserve">Заложення откосу, 1:m</t>
  </si>
  <si>
    <t xml:space="preserve">Ввігнутість повздовжнього профілю</t>
  </si>
  <si>
    <t xml:space="preserve">Висота насипу, м</t>
  </si>
  <si>
    <t xml:space="preserve">Грунт:</t>
  </si>
  <si>
    <t xml:space="preserve">Грунт робочого шару</t>
  </si>
  <si>
    <t xml:space="preserve">Коефіцієнт ущільнення</t>
  </si>
  <si>
    <t xml:space="preserve">Розрахункова вологість грунта, долі од.</t>
  </si>
  <si>
    <t xml:space="preserve">Коефіцієнт Пуасона основи</t>
  </si>
  <si>
    <t xml:space="preserve">Джерело зволоження:</t>
  </si>
  <si>
    <t xml:space="preserve">Джерело зволоження</t>
  </si>
  <si>
    <t xml:space="preserve">Покриття:</t>
  </si>
  <si>
    <t xml:space="preserve">Схема розрахунку</t>
  </si>
  <si>
    <t xml:space="preserve">Армірування покриття</t>
  </si>
  <si>
    <t xml:space="preserve">Коефіцієнт місця розміщення навантаження</t>
  </si>
  <si>
    <t xml:space="preserve">Штирі в поперечних швах</t>
  </si>
  <si>
    <t xml:space="preserve">Особливості:</t>
  </si>
  <si>
    <t xml:space="preserve">Конструктивні заходи, які знижують вологість і/або впливають на розрахунок дренуючого шару</t>
  </si>
  <si>
    <t xml:space="preserve">3. Склад автомобільного потоку</t>
  </si>
  <si>
    <t xml:space="preserve">Склад руху</t>
  </si>
  <si>
    <t xml:space="preserve">Склад потоку заданий в </t>
  </si>
  <si>
    <t xml:space="preserve">Ріст інтенсивності </t>
  </si>
  <si>
    <t xml:space="preserve">Коефіцієнт росту інтенсивності, долі од.</t>
  </si>
  <si>
    <t xml:space="preserve">Інтенсивність руху на перший рік служби авт./добу</t>
  </si>
  <si>
    <t xml:space="preserve">Інтенсивність руху на розрахунковий рік служби авт./добу</t>
  </si>
  <si>
    <t xml:space="preserve">Розрахункове добове число прикладень до смуги приведеного навантаження на останній рік служби Np,  авт./добу</t>
  </si>
  <si>
    <t xml:space="preserve">мін</t>
  </si>
  <si>
    <t xml:space="preserve">макс</t>
  </si>
  <si>
    <t xml:space="preserve">Optimum товщ</t>
  </si>
  <si>
    <t xml:space="preserve">Вартість</t>
  </si>
  <si>
    <t xml:space="preserve">Розрахунок надійності за критерієм розтягу при згині</t>
  </si>
  <si>
    <r>
      <rPr>
        <sz val="12"/>
        <color rgb="FF000000"/>
        <rFont val="Times New Roman"/>
        <family val="1"/>
        <charset val="204"/>
      </rPr>
      <t xml:space="preserve">Коефіцієнт запасу міцності </t>
    </r>
    <r>
      <rPr>
        <i val="true"/>
        <sz val="12"/>
        <color rgb="FF000000"/>
        <rFont val="Times New Roman"/>
        <family val="1"/>
        <charset val="204"/>
      </rPr>
      <t xml:space="preserve">К</t>
    </r>
    <r>
      <rPr>
        <i val="true"/>
        <vertAlign val="subscript"/>
        <sz val="12"/>
        <color rgb="FF000000"/>
        <rFont val="Times New Roman"/>
        <family val="1"/>
        <charset val="204"/>
      </rPr>
      <t xml:space="preserve">мц</t>
    </r>
    <r>
      <rPr>
        <sz val="12"/>
        <color rgb="FF000000"/>
        <rFont val="Times New Roman"/>
        <family val="1"/>
        <charset val="204"/>
      </rPr>
      <t xml:space="preserve"> за критерієм опору шарів з монолітних матеріалів розтягу при згині</t>
    </r>
  </si>
  <si>
    <t xml:space="preserve">Сумарна товщина шарів</t>
  </si>
  <si>
    <r>
      <rPr>
        <sz val="11"/>
        <color rgb="FF000000"/>
        <rFont val="Times New Roman"/>
        <family val="2"/>
        <charset val="204"/>
      </rPr>
      <t xml:space="preserve">Модуль пружності верхнього шару моделі, </t>
    </r>
    <r>
      <rPr>
        <i val="true"/>
        <sz val="11"/>
        <color rgb="FF000000"/>
        <rFont val="Times New Roman"/>
        <family val="2"/>
        <charset val="204"/>
      </rPr>
      <t xml:space="preserve">Е</t>
    </r>
    <r>
      <rPr>
        <i val="true"/>
        <vertAlign val="subscript"/>
        <sz val="11"/>
        <color rgb="FF000000"/>
        <rFont val="Times New Roman"/>
        <family val="2"/>
        <charset val="204"/>
      </rPr>
      <t xml:space="preserve">ср</t>
    </r>
    <r>
      <rPr>
        <sz val="11"/>
        <color rgb="FF000000"/>
        <rFont val="Times New Roman"/>
        <family val="2"/>
        <charset val="204"/>
      </rPr>
      <t xml:space="preserve">, МПа</t>
    </r>
  </si>
  <si>
    <t xml:space="preserve">Гранично допустиме напруження розтягу матеріалу шару Rзг</t>
  </si>
  <si>
    <r>
      <rPr>
        <sz val="12"/>
        <color rgb="FF000000"/>
        <rFont val="Times New Roman"/>
        <family val="1"/>
        <charset val="204"/>
      </rPr>
      <t xml:space="preserve">Неодорідність модуля пружності пакета шарів дорожнього одягу С</t>
    </r>
    <r>
      <rPr>
        <vertAlign val="subscript"/>
        <sz val="12"/>
        <color rgb="FF000000"/>
        <rFont val="Times New Roman"/>
        <family val="1"/>
        <charset val="204"/>
      </rPr>
      <t xml:space="preserve">Е сум</t>
    </r>
  </si>
  <si>
    <r>
      <rPr>
        <sz val="12"/>
        <color rgb="FF000000"/>
        <rFont val="Times New Roman"/>
        <family val="1"/>
        <charset val="204"/>
      </rPr>
      <t xml:space="preserve">Найбільше напруження розтягу у розглянутому шарі </t>
    </r>
    <r>
      <rPr>
        <i val="true"/>
        <sz val="12"/>
        <color rgb="FF000000"/>
        <rFont val="Times New Roman"/>
        <family val="1"/>
        <charset val="204"/>
      </rPr>
      <t xml:space="preserve">σ</t>
    </r>
    <r>
      <rPr>
        <i val="true"/>
        <vertAlign val="subscript"/>
        <sz val="12"/>
        <color rgb="FF000000"/>
        <rFont val="Times New Roman"/>
        <family val="1"/>
        <charset val="204"/>
      </rPr>
      <t xml:space="preserve">r</t>
    </r>
    <r>
      <rPr>
        <sz val="12"/>
        <color rgb="FF000000"/>
        <rFont val="Times New Roman"/>
        <family val="1"/>
        <charset val="204"/>
      </rPr>
      <t xml:space="preserve">, МПа</t>
    </r>
  </si>
  <si>
    <r>
      <rPr>
        <sz val="12"/>
        <color rgb="FF000000"/>
        <rFont val="Times New Roman"/>
        <family val="1"/>
        <charset val="204"/>
      </rPr>
      <t xml:space="preserve">Загальна неоднорідність товщини конструкції С</t>
    </r>
    <r>
      <rPr>
        <vertAlign val="subscript"/>
        <sz val="12"/>
        <color rgb="FF000000"/>
        <rFont val="Times New Roman"/>
        <family val="1"/>
        <charset val="204"/>
      </rPr>
      <t xml:space="preserve">hсум</t>
    </r>
  </si>
  <si>
    <r>
      <rPr>
        <sz val="12"/>
        <color rgb="FF000000"/>
        <rFont val="Times New Roman"/>
        <family val="1"/>
        <charset val="204"/>
      </rPr>
      <t xml:space="preserve">Напруження розтягу, </t>
    </r>
    <r>
      <rPr>
        <i val="true"/>
        <sz val="12"/>
        <color rgb="FF000000"/>
        <rFont val="Times New Roman"/>
        <family val="1"/>
        <charset val="204"/>
      </rPr>
      <t xml:space="preserve">σ</t>
    </r>
    <r>
      <rPr>
        <i val="true"/>
        <vertAlign val="subscript"/>
        <sz val="12"/>
        <color rgb="FF000000"/>
        <rFont val="Times New Roman"/>
        <family val="1"/>
        <charset val="204"/>
      </rPr>
      <t xml:space="preserve">r</t>
    </r>
    <r>
      <rPr>
        <sz val="12"/>
        <color rgb="FF000000"/>
        <rFont val="Times New Roman"/>
        <family val="1"/>
        <charset val="204"/>
      </rPr>
      <t xml:space="preserve">, МПа</t>
    </r>
  </si>
  <si>
    <r>
      <rPr>
        <sz val="12"/>
        <color rgb="FF000000"/>
        <rFont val="Times New Roman"/>
        <family val="1"/>
        <charset val="204"/>
      </rPr>
      <t xml:space="preserve">Коефіцієнт варіації кута внутрішнього тертя С</t>
    </r>
    <r>
      <rPr>
        <vertAlign val="subscript"/>
        <sz val="12"/>
        <color rgb="FF000000"/>
        <rFont val="Times New Roman"/>
        <family val="1"/>
        <charset val="204"/>
      </rPr>
      <t xml:space="preserve">fi</t>
    </r>
  </si>
  <si>
    <r>
      <rPr>
        <sz val="12"/>
        <color rgb="FF000000"/>
        <rFont val="Times New Roman"/>
        <family val="1"/>
        <charset val="204"/>
      </rPr>
      <t xml:space="preserve">Розрахунковий тиск </t>
    </r>
    <r>
      <rPr>
        <i val="true"/>
        <sz val="12"/>
        <color rgb="FF000000"/>
        <rFont val="Times New Roman"/>
        <family val="1"/>
        <charset val="204"/>
      </rPr>
      <t xml:space="preserve">p</t>
    </r>
    <r>
      <rPr>
        <sz val="12"/>
        <color rgb="FF000000"/>
        <rFont val="Times New Roman"/>
        <family val="1"/>
        <charset val="204"/>
      </rPr>
      <t xml:space="preserve">, МПа</t>
    </r>
  </si>
  <si>
    <r>
      <rPr>
        <sz val="12"/>
        <color rgb="FF000000"/>
        <rFont val="Times New Roman"/>
        <family val="1"/>
        <charset val="204"/>
      </rPr>
      <t xml:space="preserve">Коефіцієнт варіації модуля пружності грунтового півпростору C</t>
    </r>
    <r>
      <rPr>
        <vertAlign val="subscript"/>
        <sz val="12"/>
        <color rgb="FF000000"/>
        <rFont val="Times New Roman"/>
        <family val="1"/>
        <charset val="204"/>
      </rPr>
      <t xml:space="preserve">Eгр</t>
    </r>
  </si>
  <si>
    <t xml:space="preserve">Коефіцієнт, що враховує особливості напруженого стану дорожнього покриття під колесом автомобіля (kb = 0,85 для колес зі спареними балонами; kb = 1,0 при розрахунку дорожнього покриття на особливе навантаження – колесо з одним балоном</t>
  </si>
  <si>
    <t xml:space="preserve">ar</t>
  </si>
  <si>
    <t xml:space="preserve">Діаметр розрахункового відбитку колеса, D, м</t>
  </si>
  <si>
    <t xml:space="preserve">br</t>
  </si>
  <si>
    <r>
      <rPr>
        <sz val="11"/>
        <color rgb="FF000000"/>
        <rFont val="Times New Roman"/>
        <family val="2"/>
        <charset val="204"/>
      </rPr>
      <t xml:space="preserve">Коефіцієнт варіації напруження розтягу при згині  (СQ) С</t>
    </r>
    <r>
      <rPr>
        <vertAlign val="subscript"/>
        <sz val="11"/>
        <color rgb="FF000000"/>
        <rFont val="Times New Roman"/>
        <family val="1"/>
        <charset val="204"/>
      </rPr>
      <t xml:space="preserve">sigma </t>
    </r>
  </si>
  <si>
    <t xml:space="preserve">cr</t>
  </si>
  <si>
    <t xml:space="preserve">Коефіцієнт варіації модуля пружносты  Спр (CRзг)</t>
  </si>
  <si>
    <r>
      <rPr>
        <sz val="12"/>
        <rFont val="Times New Roman"/>
        <family val="1"/>
        <charset val="204"/>
      </rPr>
      <t xml:space="preserve">Відношення </t>
    </r>
    <r>
      <rPr>
        <i val="true"/>
        <sz val="12"/>
        <rFont val="Times New Roman"/>
        <family val="1"/>
        <charset val="204"/>
      </rPr>
      <t xml:space="preserve">E1/E2</t>
    </r>
  </si>
  <si>
    <t xml:space="preserve">Характеристика надійності β</t>
  </si>
  <si>
    <r>
      <rPr>
        <sz val="12"/>
        <rFont val="Times New Roman"/>
        <family val="1"/>
        <charset val="204"/>
      </rPr>
      <t xml:space="preserve">Відношення </t>
    </r>
    <r>
      <rPr>
        <i val="true"/>
        <sz val="12"/>
        <rFont val="Times New Roman"/>
        <family val="1"/>
        <charset val="204"/>
      </rPr>
      <t xml:space="preserve">h/D</t>
    </r>
  </si>
  <si>
    <t xml:space="preserve">km – коефіцієнт, що враховує зниження міцності в часі від дії погодно-кліматичних умов</t>
  </si>
  <si>
    <t xml:space="preserve"> коефіцієнт Пуасона</t>
  </si>
  <si>
    <r>
      <rPr>
        <i val="true"/>
        <sz val="12"/>
        <rFont val="Times New Roman"/>
        <family val="1"/>
        <charset val="204"/>
      </rPr>
      <t xml:space="preserve">k</t>
    </r>
    <r>
      <rPr>
        <i val="true"/>
        <vertAlign val="subscript"/>
        <sz val="12"/>
        <rFont val="Times New Roman"/>
        <family val="1"/>
        <charset val="204"/>
      </rPr>
      <t xml:space="preserve">Т</t>
    </r>
    <r>
      <rPr>
        <i val="true"/>
        <sz val="12"/>
        <rFont val="Times New Roman"/>
        <family val="1"/>
        <charset val="204"/>
      </rPr>
      <t xml:space="preserve"> </t>
    </r>
    <r>
      <rPr>
        <sz val="12"/>
        <rFont val="Times New Roman"/>
        <family val="1"/>
        <charset val="204"/>
      </rPr>
      <t xml:space="preserve">– коефіцієнт, що враховує зниження міцності матеріалу в конструкції в результаті температуро-усадочних впливів</t>
    </r>
  </si>
  <si>
    <t xml:space="preserve">К</t>
  </si>
  <si>
    <t xml:space="preserve">kкп – коефіцієнт, що враховує короткочасність та повторність навантажень на дорозі</t>
  </si>
  <si>
    <t xml:space="preserve">Коефіцієнт запасу міцності Rзг/σг</t>
  </si>
  <si>
    <t xml:space="preserve">Примітка. Якщо умова виконується ячейка Н17 - зелена, не виконується - червона</t>
  </si>
  <si>
    <t xml:space="preserve">Результати розрахунку для земляного покриття</t>
  </si>
  <si>
    <t xml:space="preserve">№ шару </t>
  </si>
  <si>
    <t xml:space="preserve">h, м</t>
  </si>
  <si>
    <r>
      <rPr>
        <i val="true"/>
        <sz val="14"/>
        <color rgb="FF000000"/>
        <rFont val="Times New Roman"/>
        <family val="1"/>
        <charset val="204"/>
      </rPr>
      <t xml:space="preserve">E</t>
    </r>
    <r>
      <rPr>
        <i val="true"/>
        <vertAlign val="subscript"/>
        <sz val="14"/>
        <color rgb="FF000000"/>
        <rFont val="Times New Roman"/>
        <family val="1"/>
        <charset val="204"/>
      </rPr>
      <t xml:space="preserve">i</t>
    </r>
    <r>
      <rPr>
        <i val="true"/>
        <sz val="14"/>
        <color rgb="FF000000"/>
        <rFont val="Times New Roman"/>
        <family val="1"/>
        <charset val="204"/>
      </rPr>
      <t xml:space="preserve">, МПа</t>
    </r>
  </si>
  <si>
    <r>
      <rPr>
        <i val="true"/>
        <sz val="14"/>
        <color rgb="FF000000"/>
        <rFont val="Times New Roman"/>
        <family val="1"/>
        <charset val="204"/>
      </rPr>
      <t xml:space="preserve">Eзаг</t>
    </r>
    <r>
      <rPr>
        <i val="true"/>
        <vertAlign val="subscript"/>
        <sz val="14"/>
        <color rgb="FF000000"/>
        <rFont val="Times New Roman"/>
        <family val="1"/>
        <charset val="204"/>
      </rPr>
      <t xml:space="preserve">і</t>
    </r>
    <r>
      <rPr>
        <i val="true"/>
        <sz val="14"/>
        <color rgb="FF000000"/>
        <rFont val="Times New Roman"/>
        <family val="1"/>
        <charset val="204"/>
      </rPr>
      <t xml:space="preserve">, МПа</t>
    </r>
  </si>
  <si>
    <t xml:space="preserve">h/D</t>
  </si>
  <si>
    <t xml:space="preserve">Шари </t>
  </si>
  <si>
    <r>
      <rPr>
        <i val="true"/>
        <sz val="14"/>
        <color rgb="FF000000"/>
        <rFont val="Times New Roman"/>
        <family val="1"/>
        <charset val="204"/>
      </rPr>
      <t xml:space="preserve">C</t>
    </r>
    <r>
      <rPr>
        <i val="true"/>
        <vertAlign val="subscript"/>
        <sz val="14"/>
        <color rgb="FF000000"/>
        <rFont val="Times New Roman"/>
        <family val="1"/>
        <charset val="204"/>
      </rPr>
      <t xml:space="preserve">h</t>
    </r>
    <r>
      <rPr>
        <i val="true"/>
        <sz val="14"/>
        <color rgb="FF000000"/>
        <rFont val="Times New Roman"/>
        <family val="1"/>
        <charset val="204"/>
      </rPr>
      <t xml:space="preserve">, м</t>
    </r>
  </si>
  <si>
    <r>
      <rPr>
        <i val="true"/>
        <sz val="14"/>
        <color rgb="FF000000"/>
        <rFont val="Times New Roman"/>
        <family val="1"/>
        <charset val="204"/>
      </rPr>
      <t xml:space="preserve">C</t>
    </r>
    <r>
      <rPr>
        <i val="true"/>
        <vertAlign val="subscript"/>
        <sz val="14"/>
        <color rgb="FF000000"/>
        <rFont val="Times New Roman"/>
        <family val="1"/>
        <charset val="204"/>
      </rPr>
      <t xml:space="preserve">Ei</t>
    </r>
    <r>
      <rPr>
        <i val="true"/>
        <sz val="14"/>
        <color rgb="FF000000"/>
        <rFont val="Times New Roman"/>
        <family val="1"/>
        <charset val="204"/>
      </rPr>
      <t xml:space="preserve">, МПа</t>
    </r>
  </si>
  <si>
    <t xml:space="preserve">АБ</t>
  </si>
  <si>
    <t xml:space="preserve">Таблиця Д.6</t>
  </si>
  <si>
    <r>
      <rPr>
        <sz val="14"/>
        <color rgb="FF000000"/>
        <rFont val="Times New Roman"/>
        <family val="2"/>
        <charset val="204"/>
      </rPr>
      <t xml:space="preserve">Модуль пружності грунту земляного полотна </t>
    </r>
    <r>
      <rPr>
        <i val="true"/>
        <sz val="14"/>
        <color rgb="FF000000"/>
        <rFont val="Times New Roman"/>
        <family val="1"/>
        <charset val="204"/>
      </rPr>
      <t xml:space="preserve">Е</t>
    </r>
    <r>
      <rPr>
        <i val="true"/>
        <vertAlign val="subscript"/>
        <sz val="14"/>
        <color rgb="FF000000"/>
        <rFont val="Times New Roman"/>
        <family val="1"/>
        <charset val="204"/>
      </rPr>
      <t xml:space="preserve">гр</t>
    </r>
    <r>
      <rPr>
        <vertAlign val="subscript"/>
        <sz val="14"/>
        <color rgb="FF000000"/>
        <rFont val="Times New Roman"/>
        <family val="1"/>
        <charset val="204"/>
      </rPr>
      <t xml:space="preserve">,</t>
    </r>
    <r>
      <rPr>
        <sz val="14"/>
        <color rgb="FF000000"/>
        <rFont val="Times New Roman"/>
        <family val="2"/>
        <charset val="204"/>
      </rPr>
      <t xml:space="preserve"> МПа</t>
    </r>
  </si>
  <si>
    <r>
      <rPr>
        <sz val="14"/>
        <color rgb="FF000000"/>
        <rFont val="Times New Roman"/>
        <family val="1"/>
        <charset val="204"/>
      </rPr>
      <t xml:space="preserve">Ґ</t>
    </r>
    <r>
      <rPr>
        <sz val="12"/>
        <color rgb="FF000000"/>
        <rFont val="Times New Roman"/>
        <family val="1"/>
        <charset val="204"/>
      </rPr>
      <t xml:space="preserve">рунт</t>
    </r>
  </si>
  <si>
    <t xml:space="preserve">Коефіцієнт варіації</t>
  </si>
  <si>
    <r>
      <rPr>
        <sz val="12"/>
        <color rgb="FF000000"/>
        <rFont val="Times New Roman"/>
        <family val="1"/>
        <charset val="204"/>
      </rPr>
      <t xml:space="preserve">Модуля пружності, </t>
    </r>
    <r>
      <rPr>
        <i val="true"/>
        <sz val="12"/>
        <color rgb="FF000000"/>
        <rFont val="Times New Roman"/>
        <family val="1"/>
        <charset val="204"/>
      </rPr>
      <t xml:space="preserve">С</t>
    </r>
    <r>
      <rPr>
        <i val="true"/>
        <vertAlign val="subscript"/>
        <sz val="12"/>
        <color rgb="FF000000"/>
        <rFont val="Times New Roman"/>
        <family val="1"/>
        <charset val="204"/>
      </rPr>
      <t xml:space="preserve">Егр</t>
    </r>
  </si>
  <si>
    <r>
      <rPr>
        <sz val="12"/>
        <color rgb="FF000000"/>
        <rFont val="Times New Roman"/>
        <family val="1"/>
        <charset val="204"/>
      </rPr>
      <t xml:space="preserve">Кута внутрішнього тертя, </t>
    </r>
    <r>
      <rPr>
        <i val="true"/>
        <sz val="12"/>
        <color rgb="FF000000"/>
        <rFont val="Times New Roman"/>
        <family val="1"/>
        <charset val="204"/>
      </rPr>
      <t xml:space="preserve">С</t>
    </r>
    <r>
      <rPr>
        <i val="true"/>
        <vertAlign val="subscript"/>
        <sz val="12"/>
        <color rgb="FF000000"/>
        <rFont val="Times New Roman"/>
        <family val="1"/>
        <charset val="204"/>
      </rPr>
      <t xml:space="preserve">φ</t>
    </r>
  </si>
  <si>
    <r>
      <rPr>
        <sz val="12"/>
        <color rgb="FF000000"/>
        <rFont val="Times New Roman"/>
        <family val="1"/>
        <charset val="204"/>
      </rPr>
      <t xml:space="preserve">Зчеплення, </t>
    </r>
    <r>
      <rPr>
        <i val="true"/>
        <sz val="12"/>
        <color rgb="FF000000"/>
        <rFont val="Times New Roman"/>
        <family val="1"/>
        <charset val="204"/>
      </rPr>
      <t xml:space="preserve">С</t>
    </r>
    <r>
      <rPr>
        <i val="true"/>
        <vertAlign val="subscript"/>
        <sz val="12"/>
        <color rgb="FF000000"/>
        <rFont val="Times New Roman"/>
        <family val="1"/>
        <charset val="204"/>
      </rPr>
      <t xml:space="preserve">с</t>
    </r>
  </si>
  <si>
    <t xml:space="preserve">(0,5-0,75) Wт</t>
  </si>
  <si>
    <t xml:space="preserve">(0,76-0,9) Wт</t>
  </si>
  <si>
    <t xml:space="preserve">(0,5-0,9) Wт</t>
  </si>
  <si>
    <t xml:space="preserve">крупний</t>
  </si>
  <si>
    <t xml:space="preserve">середньої крупності</t>
  </si>
  <si>
    <t xml:space="preserve">мілкий</t>
  </si>
  <si>
    <t xml:space="preserve">однорозмірний</t>
  </si>
  <si>
    <t xml:space="preserve">пилуватий</t>
  </si>
  <si>
    <t xml:space="preserve">Супісок</t>
  </si>
  <si>
    <t xml:space="preserve">легкий пилуватий, важкий</t>
  </si>
  <si>
    <t xml:space="preserve">пилуватий легкий</t>
  </si>
  <si>
    <t xml:space="preserve">Суглинок</t>
  </si>
  <si>
    <t xml:space="preserve">легкий, важкий, легкий пилуватий</t>
  </si>
  <si>
    <t xml:space="preserve">Глина</t>
  </si>
  <si>
    <r>
      <rPr>
        <b val="true"/>
        <sz val="12"/>
        <color rgb="FF000000"/>
        <rFont val="Times New Roman"/>
        <family val="1"/>
        <charset val="204"/>
      </rPr>
      <t xml:space="preserve">Примітка 1.</t>
    </r>
    <r>
      <rPr>
        <sz val="12"/>
        <color rgb="FF000000"/>
        <rFont val="Times New Roman"/>
        <family val="1"/>
        <charset val="204"/>
      </rPr>
      <t xml:space="preserve"> Приведені значення </t>
    </r>
    <r>
      <rPr>
        <i val="true"/>
        <sz val="12"/>
        <color rgb="FF000000"/>
        <rFont val="Times New Roman"/>
        <family val="1"/>
        <charset val="204"/>
      </rPr>
      <t xml:space="preserve">С</t>
    </r>
    <r>
      <rPr>
        <i val="true"/>
        <vertAlign val="subscript"/>
        <sz val="12"/>
        <color rgb="FF000000"/>
        <rFont val="Times New Roman"/>
        <family val="1"/>
        <charset val="204"/>
      </rPr>
      <t xml:space="preserve">ЕгрЛаб </t>
    </r>
    <r>
      <rPr>
        <sz val="12"/>
        <color rgb="FF000000"/>
        <rFont val="Times New Roman"/>
        <family val="1"/>
        <charset val="204"/>
      </rPr>
      <t xml:space="preserve">характеризують розкид міцнісних характе-ристик ґрунту в середньому, враховуючи також вплив похибок, які вносяться відбором, транспортуванням, зберіганням зразків, похибок приладів та інших факторів, характерних для лабораторних випробувань. </t>
    </r>
  </si>
  <si>
    <r>
      <rPr>
        <b val="true"/>
        <sz val="12"/>
        <color rgb="FF000000"/>
        <rFont val="Times New Roman"/>
        <family val="1"/>
        <charset val="204"/>
      </rPr>
      <t xml:space="preserve">Примітка 2.</t>
    </r>
    <r>
      <rPr>
        <sz val="12"/>
        <color rgb="FF000000"/>
        <rFont val="Times New Roman"/>
        <family val="1"/>
        <charset val="204"/>
      </rPr>
      <t xml:space="preserve"> Коефіцієнт варіації модуля пружності ґрунту земляного полотна визна-чається за формулою:</t>
    </r>
  </si>
  <si>
    <r>
      <rPr>
        <i val="true"/>
        <sz val="12"/>
        <color rgb="FF000000"/>
        <rFont val="Times New Roman"/>
        <family val="1"/>
        <charset val="204"/>
      </rPr>
      <t xml:space="preserve">С</t>
    </r>
    <r>
      <rPr>
        <i val="true"/>
        <vertAlign val="subscript"/>
        <sz val="12"/>
        <color rgb="FF000000"/>
        <rFont val="Times New Roman"/>
        <family val="1"/>
        <charset val="204"/>
      </rPr>
      <t xml:space="preserve">ЕгрЛаб</t>
    </r>
    <r>
      <rPr>
        <sz val="12"/>
        <color rgb="FF000000"/>
        <rFont val="Times New Roman"/>
        <family val="1"/>
        <charset val="204"/>
      </rPr>
      <t xml:space="preserve"> = 0,0565 + 0,065·</t>
    </r>
    <r>
      <rPr>
        <i val="true"/>
        <sz val="12"/>
        <color rgb="FF000000"/>
        <rFont val="Times New Roman"/>
        <family val="1"/>
        <charset val="204"/>
      </rPr>
      <t xml:space="preserve">ln</t>
    </r>
    <r>
      <rPr>
        <sz val="12"/>
        <color rgb="FF000000"/>
        <rFont val="Times New Roman"/>
        <family val="1"/>
        <charset val="204"/>
      </rPr>
      <t xml:space="preserve"> (</t>
    </r>
    <r>
      <rPr>
        <i val="true"/>
        <sz val="12"/>
        <color rgb="FF000000"/>
        <rFont val="Times New Roman"/>
        <family val="1"/>
        <charset val="204"/>
      </rPr>
      <t xml:space="preserve">E</t>
    </r>
    <r>
      <rPr>
        <i val="true"/>
        <vertAlign val="subscript"/>
        <sz val="12"/>
        <color rgb="FF000000"/>
        <rFont val="Times New Roman"/>
        <family val="1"/>
        <charset val="204"/>
      </rPr>
      <t xml:space="preserve">гр</t>
    </r>
    <r>
      <rPr>
        <sz val="12"/>
        <color rgb="FF000000"/>
        <rFont val="Times New Roman"/>
        <family val="1"/>
        <charset val="204"/>
      </rPr>
      <t xml:space="preserve">),</t>
    </r>
  </si>
  <si>
    <r>
      <rPr>
        <sz val="12"/>
        <color rgb="FF000000"/>
        <rFont val="Times New Roman"/>
        <family val="1"/>
        <charset val="204"/>
      </rPr>
      <t xml:space="preserve">де </t>
    </r>
    <r>
      <rPr>
        <i val="true"/>
        <sz val="12"/>
        <color rgb="FF000000"/>
        <rFont val="Times New Roman"/>
        <family val="1"/>
        <charset val="204"/>
      </rPr>
      <t xml:space="preserve">E</t>
    </r>
    <r>
      <rPr>
        <i val="true"/>
        <vertAlign val="subscript"/>
        <sz val="12"/>
        <color rgb="FF000000"/>
        <rFont val="Times New Roman"/>
        <family val="1"/>
        <charset val="204"/>
      </rPr>
      <t xml:space="preserve">гр </t>
    </r>
    <r>
      <rPr>
        <sz val="12"/>
        <color rgb="FF000000"/>
        <rFont val="Times New Roman"/>
        <family val="1"/>
        <charset val="204"/>
      </rPr>
      <t xml:space="preserve">   –   модуль пружності ґрунту земляного полотна або матеріалу незв’язних шарів.</t>
    </r>
  </si>
  <si>
    <r>
      <rPr>
        <b val="true"/>
        <sz val="12"/>
        <color rgb="FF000000"/>
        <rFont val="Times New Roman"/>
        <family val="1"/>
        <charset val="204"/>
      </rPr>
      <t xml:space="preserve">Примітка 3.</t>
    </r>
    <r>
      <rPr>
        <sz val="12"/>
        <color rgb="FF000000"/>
        <rFont val="Times New Roman"/>
        <family val="1"/>
        <charset val="204"/>
      </rPr>
      <t xml:space="preserve"> Між коефіцієнтом варіації кута внутрішнього тертя </t>
    </r>
    <r>
      <rPr>
        <i val="true"/>
        <sz val="12"/>
        <color rgb="FF000000"/>
        <rFont val="Times New Roman"/>
        <family val="1"/>
        <charset val="204"/>
      </rPr>
      <t xml:space="preserve">С</t>
    </r>
    <r>
      <rPr>
        <i val="true"/>
        <vertAlign val="subscript"/>
        <sz val="12"/>
        <color rgb="FF000000"/>
        <rFont val="Times New Roman"/>
        <family val="1"/>
        <charset val="204"/>
      </rPr>
      <t xml:space="preserve">φ</t>
    </r>
    <r>
      <rPr>
        <sz val="12"/>
        <color rgb="FF000000"/>
        <rFont val="Times New Roman"/>
        <family val="1"/>
        <charset val="204"/>
      </rPr>
      <t xml:space="preserve"> та зчеплення </t>
    </r>
    <r>
      <rPr>
        <i val="true"/>
        <sz val="12"/>
        <color rgb="FF000000"/>
        <rFont val="Times New Roman"/>
        <family val="1"/>
        <charset val="204"/>
      </rPr>
      <t xml:space="preserve">С</t>
    </r>
    <r>
      <rPr>
        <i val="true"/>
        <vertAlign val="subscript"/>
        <sz val="12"/>
        <color rgb="FF000000"/>
        <rFont val="Times New Roman"/>
        <family val="1"/>
        <charset val="204"/>
      </rPr>
      <t xml:space="preserve">с</t>
    </r>
    <r>
      <rPr>
        <sz val="12"/>
        <color rgb="FF000000"/>
        <rFont val="Times New Roman"/>
        <family val="1"/>
        <charset val="204"/>
      </rPr>
      <t xml:space="preserve"> для супісків, суглинків та глин є така залежність:</t>
    </r>
  </si>
  <si>
    <r>
      <rPr>
        <sz val="12"/>
        <color rgb="FF000000"/>
        <rFont val="Times New Roman"/>
        <family val="1"/>
        <charset val="204"/>
      </rPr>
      <t xml:space="preserve"> </t>
    </r>
    <r>
      <rPr>
        <i val="true"/>
        <sz val="12"/>
        <color rgb="FF000000"/>
        <rFont val="Times New Roman"/>
        <family val="1"/>
        <charset val="204"/>
      </rPr>
      <t xml:space="preserve">С</t>
    </r>
    <r>
      <rPr>
        <i val="true"/>
        <vertAlign val="subscript"/>
        <sz val="12"/>
        <color rgb="FF000000"/>
        <rFont val="Times New Roman"/>
        <family val="1"/>
        <charset val="204"/>
      </rPr>
      <t xml:space="preserve">с</t>
    </r>
    <r>
      <rPr>
        <sz val="12"/>
        <color rgb="FF000000"/>
        <rFont val="Times New Roman"/>
        <family val="1"/>
        <charset val="204"/>
      </rPr>
      <t xml:space="preserve">= 2·</t>
    </r>
    <r>
      <rPr>
        <i val="true"/>
        <sz val="12"/>
        <color rgb="FF000000"/>
        <rFont val="Times New Roman"/>
        <family val="1"/>
        <charset val="204"/>
      </rPr>
      <t xml:space="preserve">С</t>
    </r>
    <r>
      <rPr>
        <i val="true"/>
        <vertAlign val="subscript"/>
        <sz val="12"/>
        <color rgb="FF000000"/>
        <rFont val="Times New Roman"/>
        <family val="1"/>
        <charset val="204"/>
      </rPr>
      <t xml:space="preserve">φ</t>
    </r>
    <r>
      <rPr>
        <sz val="12"/>
        <color rgb="FF000000"/>
        <rFont val="Times New Roman"/>
        <family val="1"/>
        <charset val="204"/>
      </rPr>
      <t xml:space="preserve"> – 0,02.</t>
    </r>
  </si>
  <si>
    <r>
      <rPr>
        <b val="true"/>
        <sz val="12"/>
        <color rgb="FF000000"/>
        <rFont val="Times New Roman"/>
        <family val="1"/>
        <charset val="204"/>
      </rPr>
      <t xml:space="preserve">Примітка 4.</t>
    </r>
    <r>
      <rPr>
        <sz val="12"/>
        <color rgb="FF000000"/>
        <rFont val="Times New Roman"/>
        <family val="1"/>
        <charset val="204"/>
      </rPr>
      <t xml:space="preserve"> Розрахункові значення коефіцієнта варіації розраховують за форму-лою:</t>
    </r>
  </si>
  <si>
    <r>
      <rPr>
        <i val="true"/>
        <sz val="12"/>
        <color rgb="FF000000"/>
        <rFont val="Times New Roman"/>
        <family val="1"/>
        <charset val="204"/>
      </rPr>
      <t xml:space="preserve">С</t>
    </r>
    <r>
      <rPr>
        <i val="true"/>
        <vertAlign val="subscript"/>
        <sz val="12"/>
        <color rgb="FF000000"/>
        <rFont val="Times New Roman"/>
        <family val="1"/>
        <charset val="204"/>
      </rPr>
      <t xml:space="preserve">Егр</t>
    </r>
    <r>
      <rPr>
        <sz val="12"/>
        <color rgb="FF000000"/>
        <rFont val="Times New Roman"/>
        <family val="1"/>
        <charset val="204"/>
      </rPr>
      <t xml:space="preserve">=</t>
    </r>
    <r>
      <rPr>
        <i val="true"/>
        <sz val="12"/>
        <color rgb="FF000000"/>
        <rFont val="Times New Roman"/>
        <family val="1"/>
        <charset val="204"/>
      </rPr>
      <t xml:space="preserve">С</t>
    </r>
    <r>
      <rPr>
        <i val="true"/>
        <vertAlign val="subscript"/>
        <sz val="12"/>
        <color rgb="FF000000"/>
        <rFont val="Times New Roman"/>
        <family val="1"/>
        <charset val="204"/>
      </rPr>
      <t xml:space="preserve">ЕгрЛаб</t>
    </r>
    <r>
      <rPr>
        <sz val="12"/>
        <color rgb="FF000000"/>
        <rFont val="Times New Roman"/>
        <family val="1"/>
        <charset val="204"/>
      </rPr>
      <t xml:space="preserve">·</t>
    </r>
    <r>
      <rPr>
        <i val="true"/>
        <sz val="12"/>
        <color rgb="FF000000"/>
        <rFont val="Times New Roman"/>
        <family val="1"/>
        <charset val="204"/>
      </rPr>
      <t xml:space="preserve">К</t>
    </r>
    <r>
      <rPr>
        <i val="true"/>
        <vertAlign val="subscript"/>
        <sz val="12"/>
        <color rgb="FF000000"/>
        <rFont val="Times New Roman"/>
        <family val="1"/>
        <charset val="204"/>
      </rPr>
      <t xml:space="preserve">d</t>
    </r>
    <r>
      <rPr>
        <i val="true"/>
        <sz val="12"/>
        <color rgb="FF000000"/>
        <rFont val="Times New Roman"/>
        <family val="1"/>
        <charset val="204"/>
      </rPr>
      <t xml:space="preserve">=С</t>
    </r>
    <r>
      <rPr>
        <i val="true"/>
        <vertAlign val="subscript"/>
        <sz val="12"/>
        <color rgb="FF000000"/>
        <rFont val="Times New Roman"/>
        <family val="1"/>
        <charset val="204"/>
      </rPr>
      <t xml:space="preserve">ЕгрЛаб</t>
    </r>
    <r>
      <rPr>
        <sz val="12"/>
        <color rgb="FF000000"/>
        <rFont val="Times New Roman"/>
        <family val="1"/>
        <charset val="204"/>
      </rPr>
      <t xml:space="preserve">·</t>
    </r>
    <r>
      <rPr>
        <i val="true"/>
        <sz val="12"/>
        <color rgb="FF000000"/>
        <rFont val="Times New Roman"/>
        <family val="1"/>
        <charset val="204"/>
      </rPr>
      <t xml:space="preserve">(1/(1+2h/D)) </t>
    </r>
    <r>
      <rPr>
        <sz val="12"/>
        <color rgb="FF000000"/>
        <rFont val="Times New Roman"/>
        <family val="1"/>
        <charset val="204"/>
      </rPr>
      <t xml:space="preserve">.</t>
    </r>
  </si>
  <si>
    <t xml:space="preserve">Розрахунок надійності за критерієм пружного прогину</t>
  </si>
  <si>
    <r>
      <rPr>
        <sz val="14"/>
        <color rgb="FF000000"/>
        <rFont val="Times New Roman"/>
        <family val="1"/>
        <charset val="204"/>
      </rPr>
      <t xml:space="preserve">Нормативний коефіцієнт запасу </t>
    </r>
    <r>
      <rPr>
        <i val="true"/>
        <sz val="14"/>
        <color rgb="FF000000"/>
        <rFont val="Times New Roman"/>
        <family val="1"/>
        <charset val="204"/>
      </rPr>
      <t xml:space="preserve">К</t>
    </r>
    <r>
      <rPr>
        <i val="true"/>
        <vertAlign val="subscript"/>
        <sz val="14"/>
        <color rgb="FF000000"/>
        <rFont val="Times New Roman"/>
        <family val="1"/>
        <charset val="204"/>
      </rPr>
      <t xml:space="preserve">мц</t>
    </r>
    <r>
      <rPr>
        <i val="true"/>
        <sz val="14"/>
        <color rgb="FF000000"/>
        <rFont val="Times New Roman"/>
        <family val="1"/>
        <charset val="204"/>
      </rPr>
      <t xml:space="preserve"> </t>
    </r>
    <r>
      <rPr>
        <sz val="14"/>
        <color rgb="FF000000"/>
        <rFont val="Times New Roman"/>
        <family val="1"/>
        <charset val="204"/>
      </rPr>
      <t xml:space="preserve">за критерієм опору пружному прогину всієї конструкції</t>
    </r>
  </si>
  <si>
    <r>
      <rPr>
        <sz val="14"/>
        <color rgb="FF000000"/>
        <rFont val="Times New Roman"/>
        <family val="1"/>
        <charset val="204"/>
      </rPr>
      <t xml:space="preserve">Коефіцієнт</t>
    </r>
    <r>
      <rPr>
        <i val="true"/>
        <sz val="14"/>
        <color rgb="FF000000"/>
        <rFont val="Times New Roman"/>
        <family val="1"/>
        <charset val="204"/>
      </rPr>
      <t xml:space="preserve"> b</t>
    </r>
  </si>
  <si>
    <r>
      <rPr>
        <sz val="14"/>
        <color rgb="FF000000"/>
        <rFont val="Times New Roman"/>
        <family val="2"/>
        <charset val="204"/>
      </rPr>
      <t xml:space="preserve">Потрібний модуль пружності, </t>
    </r>
    <r>
      <rPr>
        <i val="true"/>
        <sz val="14"/>
        <color rgb="FF000000"/>
        <rFont val="Times New Roman"/>
        <family val="1"/>
        <charset val="204"/>
      </rPr>
      <t xml:space="preserve">Е</t>
    </r>
    <r>
      <rPr>
        <i val="true"/>
        <vertAlign val="subscript"/>
        <sz val="14"/>
        <color rgb="FF000000"/>
        <rFont val="Times New Roman"/>
        <family val="1"/>
        <charset val="204"/>
      </rPr>
      <t xml:space="preserve">потр</t>
    </r>
  </si>
  <si>
    <r>
      <rPr>
        <sz val="14"/>
        <color rgb="FF000000"/>
        <rFont val="Times New Roman"/>
        <family val="2"/>
        <charset val="204"/>
      </rPr>
      <t xml:space="preserve">Потрібний модуль пружності основи, </t>
    </r>
    <r>
      <rPr>
        <i val="true"/>
        <sz val="14"/>
        <color rgb="FF000000"/>
        <rFont val="Times New Roman"/>
        <family val="1"/>
        <charset val="204"/>
      </rPr>
      <t xml:space="preserve">Е</t>
    </r>
    <r>
      <rPr>
        <i val="true"/>
        <vertAlign val="subscript"/>
        <sz val="14"/>
        <color rgb="FF000000"/>
        <rFont val="Times New Roman"/>
        <family val="1"/>
        <charset val="204"/>
      </rPr>
      <t xml:space="preserve">осн</t>
    </r>
  </si>
  <si>
    <r>
      <rPr>
        <sz val="14"/>
        <color rgb="FF000000"/>
        <rFont val="Times New Roman"/>
        <family val="2"/>
        <charset val="204"/>
      </rPr>
      <t xml:space="preserve">Діаметр розрахункового відбитку колеса, </t>
    </r>
    <r>
      <rPr>
        <i val="true"/>
        <sz val="14"/>
        <color rgb="FF000000"/>
        <rFont val="Times New Roman"/>
        <family val="1"/>
        <charset val="204"/>
      </rPr>
      <t xml:space="preserve">D</t>
    </r>
    <r>
      <rPr>
        <sz val="14"/>
        <color rgb="FF000000"/>
        <rFont val="Times New Roman"/>
        <family val="2"/>
        <charset val="204"/>
      </rPr>
      <t xml:space="preserve">, м</t>
    </r>
  </si>
  <si>
    <r>
      <rPr>
        <sz val="14"/>
        <color rgb="FF000000"/>
        <rFont val="Times New Roman"/>
        <family val="1"/>
        <charset val="204"/>
      </rPr>
      <t xml:space="preserve">Коефіцієнт запасу, </t>
    </r>
    <r>
      <rPr>
        <i val="true"/>
        <sz val="14"/>
        <color rgb="FF000000"/>
        <rFont val="Times New Roman"/>
        <family val="1"/>
        <charset val="204"/>
      </rPr>
      <t xml:space="preserve">E</t>
    </r>
    <r>
      <rPr>
        <i val="true"/>
        <vertAlign val="subscript"/>
        <sz val="14"/>
        <color rgb="FF000000"/>
        <rFont val="Times New Roman"/>
        <family val="1"/>
        <charset val="204"/>
      </rPr>
      <t xml:space="preserve">заг</t>
    </r>
    <r>
      <rPr>
        <i val="true"/>
        <sz val="14"/>
        <color rgb="FF000000"/>
        <rFont val="Times New Roman"/>
        <family val="1"/>
        <charset val="204"/>
      </rPr>
      <t xml:space="preserve">/</t>
    </r>
    <r>
      <rPr>
        <i val="true"/>
        <vertAlign val="subscript"/>
        <sz val="14"/>
        <color rgb="FF000000"/>
        <rFont val="Times New Roman"/>
        <family val="1"/>
        <charset val="204"/>
      </rPr>
      <t xml:space="preserve">Епотр</t>
    </r>
  </si>
  <si>
    <t xml:space="preserve">Примітка. Якщо умова виконується ячейка Н8 - зелена, не виконується - червона</t>
  </si>
  <si>
    <t xml:space="preserve">Результати розрахунку</t>
  </si>
  <si>
    <r>
      <rPr>
        <sz val="11"/>
        <color rgb="FF000000"/>
        <rFont val="Times New Roman"/>
        <family val="2"/>
        <charset val="204"/>
      </rPr>
      <t xml:space="preserve">Коефіцієнт варіації загального модуля пружності С</t>
    </r>
    <r>
      <rPr>
        <vertAlign val="subscript"/>
        <sz val="11"/>
        <color rgb="FF000000"/>
        <rFont val="Times New Roman"/>
        <family val="1"/>
        <charset val="204"/>
      </rPr>
      <t xml:space="preserve">Е</t>
    </r>
  </si>
  <si>
    <t xml:space="preserve">Коефіцієнт варіації модуля пружносты  Спр</t>
  </si>
  <si>
    <t xml:space="preserve"> коефіцієнт варіації відбитку колеса</t>
  </si>
  <si>
    <t xml:space="preserve">Укріплені</t>
  </si>
  <si>
    <t xml:space="preserve">Неукріплені</t>
  </si>
  <si>
    <t xml:space="preserve">Розрахунок за критерієм зсуву у грунті земляного полотна</t>
  </si>
  <si>
    <t xml:space="preserve">Розрахунок надійності за критерієм зсуву у грунті земляного полотна</t>
  </si>
  <si>
    <t xml:space="preserve">Грунт</t>
  </si>
  <si>
    <r>
      <rPr>
        <sz val="14"/>
        <color rgb="FF000000"/>
        <rFont val="Times New Roman"/>
        <family val="1"/>
        <charset val="204"/>
      </rPr>
      <t xml:space="preserve">Коефіцієнт запасу міцності </t>
    </r>
    <r>
      <rPr>
        <i val="true"/>
        <sz val="14"/>
        <color rgb="FF000000"/>
        <rFont val="Times New Roman"/>
        <family val="1"/>
        <charset val="204"/>
      </rPr>
      <t xml:space="preserve">К</t>
    </r>
    <r>
      <rPr>
        <i val="true"/>
        <vertAlign val="subscript"/>
        <sz val="14"/>
        <color rgb="FF000000"/>
        <rFont val="Times New Roman"/>
        <family val="1"/>
        <charset val="204"/>
      </rPr>
      <t xml:space="preserve">мц</t>
    </r>
    <r>
      <rPr>
        <sz val="14"/>
        <color rgb="FF000000"/>
        <rFont val="Times New Roman"/>
        <family val="1"/>
        <charset val="204"/>
      </rPr>
      <t xml:space="preserve"> за критерієм опору зсуву грунту земляного полотна</t>
    </r>
  </si>
  <si>
    <r>
      <rPr>
        <sz val="14"/>
        <color rgb="FF000000"/>
        <rFont val="Times New Roman"/>
        <family val="2"/>
        <charset val="204"/>
      </rPr>
      <t xml:space="preserve">Модуль пружності верхнього шару моделі, </t>
    </r>
    <r>
      <rPr>
        <i val="true"/>
        <sz val="14"/>
        <color rgb="FF000000"/>
        <rFont val="Times New Roman"/>
        <family val="1"/>
        <charset val="204"/>
      </rPr>
      <t xml:space="preserve">Е</t>
    </r>
    <r>
      <rPr>
        <i val="true"/>
        <vertAlign val="subscript"/>
        <sz val="14"/>
        <color rgb="FF000000"/>
        <rFont val="Times New Roman"/>
        <family val="1"/>
        <charset val="204"/>
      </rPr>
      <t xml:space="preserve">ср</t>
    </r>
    <r>
      <rPr>
        <sz val="14"/>
        <color rgb="FF000000"/>
        <rFont val="Times New Roman"/>
        <family val="2"/>
        <charset val="204"/>
      </rPr>
      <t xml:space="preserve">, МПа</t>
    </r>
  </si>
  <si>
    <r>
      <rPr>
        <sz val="14"/>
        <color rgb="FF000000"/>
        <rFont val="Times New Roman"/>
        <family val="2"/>
        <charset val="204"/>
      </rPr>
      <t xml:space="preserve">Зчеплення в грунті </t>
    </r>
    <r>
      <rPr>
        <i val="true"/>
        <sz val="14"/>
        <color rgb="FF000000"/>
        <rFont val="Times New Roman"/>
        <family val="1"/>
        <charset val="204"/>
      </rPr>
      <t xml:space="preserve">С</t>
    </r>
    <r>
      <rPr>
        <i val="true"/>
        <vertAlign val="subscript"/>
        <sz val="14"/>
        <color rgb="FF000000"/>
        <rFont val="Times New Roman"/>
        <family val="1"/>
        <charset val="204"/>
      </rPr>
      <t xml:space="preserve">гр</t>
    </r>
    <r>
      <rPr>
        <sz val="14"/>
        <color rgb="FF000000"/>
        <rFont val="Times New Roman"/>
        <family val="2"/>
        <charset val="204"/>
      </rPr>
      <t xml:space="preserve">, МПа</t>
    </r>
  </si>
  <si>
    <r>
      <rPr>
        <sz val="14"/>
        <color rgb="FF000000"/>
        <rFont val="Times New Roman"/>
        <family val="2"/>
        <charset val="204"/>
      </rPr>
      <t xml:space="preserve">Коефіцієнт, який враховує вплив навантажень на опір зсуву ґрунту; при розрахунку на вплив динамічного навантаження k</t>
    </r>
    <r>
      <rPr>
        <vertAlign val="subscript"/>
        <sz val="14"/>
        <color rgb="FF000000"/>
        <rFont val="Times New Roman"/>
        <family val="1"/>
        <charset val="204"/>
      </rPr>
      <t xml:space="preserve">1 </t>
    </r>
    <r>
      <rPr>
        <sz val="14"/>
        <color rgb="FF000000"/>
        <rFont val="Times New Roman"/>
        <family val="2"/>
        <charset val="204"/>
      </rPr>
      <t xml:space="preserve">= 1,0, при статичній дії навантаження або навантаження з малою повторністю</t>
    </r>
    <r>
      <rPr>
        <i val="true"/>
        <sz val="14"/>
        <color rgb="FF000000"/>
        <rFont val="Times New Roman"/>
        <family val="1"/>
        <charset val="204"/>
      </rPr>
      <t xml:space="preserve"> k</t>
    </r>
    <r>
      <rPr>
        <i val="true"/>
        <vertAlign val="subscript"/>
        <sz val="14"/>
        <color rgb="FF000000"/>
        <rFont val="Times New Roman"/>
        <family val="1"/>
        <charset val="204"/>
      </rPr>
      <t xml:space="preserve">1</t>
    </r>
    <r>
      <rPr>
        <i val="true"/>
        <sz val="14"/>
        <color rgb="FF000000"/>
        <rFont val="Times New Roman"/>
        <family val="1"/>
        <charset val="204"/>
      </rPr>
      <t xml:space="preserve"> </t>
    </r>
    <r>
      <rPr>
        <sz val="14"/>
        <color rgb="FF000000"/>
        <rFont val="Times New Roman"/>
        <family val="2"/>
        <charset val="204"/>
      </rPr>
      <t xml:space="preserve">= 1,5;</t>
    </r>
  </si>
  <si>
    <r>
      <rPr>
        <sz val="14"/>
        <color rgb="FF000000"/>
        <rFont val="Times New Roman"/>
        <family val="2"/>
        <charset val="204"/>
      </rPr>
      <t xml:space="preserve">Коефіцієнт запасу на неоднорідність умов роботи конструкції </t>
    </r>
    <r>
      <rPr>
        <i val="true"/>
        <sz val="14"/>
        <color rgb="FF000000"/>
        <rFont val="Times New Roman"/>
        <family val="1"/>
        <charset val="204"/>
      </rPr>
      <t xml:space="preserve">k</t>
    </r>
    <r>
      <rPr>
        <i val="true"/>
        <vertAlign val="subscript"/>
        <sz val="14"/>
        <color rgb="FF000000"/>
        <rFont val="Times New Roman"/>
        <family val="1"/>
        <charset val="204"/>
      </rPr>
      <t xml:space="preserve">2</t>
    </r>
  </si>
  <si>
    <r>
      <rPr>
        <sz val="14"/>
        <color rgb="FF000000"/>
        <rFont val="Times New Roman"/>
        <family val="2"/>
        <charset val="204"/>
      </rPr>
      <t xml:space="preserve">Коефіцієнт, який враховує особливості роботи грунту</t>
    </r>
    <r>
      <rPr>
        <i val="true"/>
        <sz val="14"/>
        <color rgb="FF000000"/>
        <rFont val="Times New Roman"/>
        <family val="1"/>
        <charset val="204"/>
      </rPr>
      <t xml:space="preserve"> k</t>
    </r>
    <r>
      <rPr>
        <i val="true"/>
        <vertAlign val="subscript"/>
        <sz val="14"/>
        <color rgb="FF000000"/>
        <rFont val="Times New Roman"/>
        <family val="1"/>
        <charset val="204"/>
      </rPr>
      <t xml:space="preserve">3</t>
    </r>
  </si>
  <si>
    <t xml:space="preserve">Коефіцієнт варіації активного напруження зсуву с</t>
  </si>
  <si>
    <r>
      <rPr>
        <sz val="14"/>
        <color rgb="FF000000"/>
        <rFont val="Times New Roman"/>
        <family val="2"/>
        <charset val="204"/>
      </rPr>
      <t xml:space="preserve">Коефіцієнт, який враховує ймовірність впливу чинників на надійніcть стабільної роботи грунту </t>
    </r>
    <r>
      <rPr>
        <i val="true"/>
        <sz val="14"/>
        <color rgb="FF000000"/>
        <rFont val="Times New Roman"/>
        <family val="1"/>
        <charset val="204"/>
      </rPr>
      <t xml:space="preserve">k</t>
    </r>
    <r>
      <rPr>
        <i val="true"/>
        <vertAlign val="subscript"/>
        <sz val="14"/>
        <color rgb="FF000000"/>
        <rFont val="Times New Roman"/>
        <family val="1"/>
        <charset val="204"/>
      </rPr>
      <t xml:space="preserve">4</t>
    </r>
  </si>
  <si>
    <t xml:space="preserve">Коефіцієнт варіації зсуваючого напруження Сзсув</t>
  </si>
  <si>
    <r>
      <rPr>
        <sz val="14"/>
        <color rgb="FF000000"/>
        <rFont val="Times New Roman"/>
        <family val="2"/>
        <charset val="204"/>
      </rPr>
      <t xml:space="preserve">Граничне напруження зсуву в грунті, </t>
    </r>
    <r>
      <rPr>
        <i val="true"/>
        <sz val="14"/>
        <color rgb="FF000000"/>
        <rFont val="Calibri"/>
        <family val="2"/>
        <charset val="204"/>
      </rPr>
      <t xml:space="preserve">τ</t>
    </r>
    <r>
      <rPr>
        <i val="true"/>
        <vertAlign val="subscript"/>
        <sz val="14"/>
        <color rgb="FF000000"/>
        <rFont val="Calibri"/>
        <family val="2"/>
        <charset val="204"/>
      </rPr>
      <t xml:space="preserve">доп</t>
    </r>
  </si>
  <si>
    <t xml:space="preserve">Характеристика надійності</t>
  </si>
  <si>
    <r>
      <rPr>
        <sz val="14"/>
        <color rgb="FF000000"/>
        <rFont val="Times New Roman"/>
        <family val="2"/>
        <charset val="204"/>
      </rPr>
      <t xml:space="preserve">Напруження зсуву в грунті від власної ваги дорожнього одягу, </t>
    </r>
    <r>
      <rPr>
        <i val="true"/>
        <sz val="14"/>
        <color rgb="FF000000"/>
        <rFont val="Calibri"/>
        <family val="2"/>
        <charset val="204"/>
      </rPr>
      <t xml:space="preserve">τ</t>
    </r>
    <r>
      <rPr>
        <i val="true"/>
        <vertAlign val="subscript"/>
        <sz val="14"/>
        <color rgb="FF000000"/>
        <rFont val="Times New Roman"/>
        <family val="1"/>
        <charset val="204"/>
      </rPr>
      <t xml:space="preserve">в</t>
    </r>
    <r>
      <rPr>
        <i val="true"/>
        <sz val="14"/>
        <color rgb="FF000000"/>
        <rFont val="Times New Roman"/>
        <family val="2"/>
        <charset val="204"/>
      </rPr>
      <t xml:space="preserve"> </t>
    </r>
  </si>
  <si>
    <r>
      <rPr>
        <sz val="14"/>
        <color rgb="FF000000"/>
        <rFont val="Times New Roman"/>
        <family val="2"/>
        <charset val="204"/>
      </rPr>
      <t xml:space="preserve">Активне навантаження зсуву грунту від тимчасового навантаження, </t>
    </r>
    <r>
      <rPr>
        <i val="true"/>
        <sz val="14"/>
        <color rgb="FF000000"/>
        <rFont val="Calibri"/>
        <family val="2"/>
        <charset val="204"/>
      </rPr>
      <t xml:space="preserve">τ</t>
    </r>
    <r>
      <rPr>
        <i val="true"/>
        <vertAlign val="subscript"/>
        <sz val="14"/>
        <color rgb="FF000000"/>
        <rFont val="Calibri"/>
        <family val="2"/>
        <charset val="204"/>
      </rPr>
      <t xml:space="preserve">акт</t>
    </r>
  </si>
  <si>
    <r>
      <rPr>
        <sz val="14"/>
        <color rgb="FF000000"/>
        <rFont val="Times New Roman"/>
        <family val="2"/>
        <charset val="204"/>
      </rPr>
      <t xml:space="preserve">Коефіцієнт запасу міцності, </t>
    </r>
    <r>
      <rPr>
        <i val="true"/>
        <sz val="14"/>
        <color rgb="FF000000"/>
        <rFont val="Times New Roman"/>
        <family val="1"/>
        <charset val="204"/>
      </rPr>
      <t xml:space="preserve">Тгр/Т</t>
    </r>
  </si>
  <si>
    <t xml:space="preserve">Примітка. Якщо умова виконується ячейка Н14 - зелена, не виконується - червона</t>
  </si>
  <si>
    <t xml:space="preserve">Розрахунок за критерієм зсуву у піску</t>
  </si>
  <si>
    <t xml:space="preserve">Розрахунок надійності за критерієм зсуву у піску</t>
  </si>
  <si>
    <r>
      <rPr>
        <sz val="14"/>
        <color rgb="FF000000"/>
        <rFont val="Times New Roman"/>
        <family val="1"/>
        <charset val="204"/>
      </rPr>
      <t xml:space="preserve">Коефіцієнт запасу міцності </t>
    </r>
    <r>
      <rPr>
        <i val="true"/>
        <sz val="14"/>
        <color rgb="FF000000"/>
        <rFont val="Times New Roman"/>
        <family val="1"/>
        <charset val="204"/>
      </rPr>
      <t xml:space="preserve">К</t>
    </r>
    <r>
      <rPr>
        <i val="true"/>
        <vertAlign val="subscript"/>
        <sz val="14"/>
        <color rgb="FF000000"/>
        <rFont val="Times New Roman"/>
        <family val="1"/>
        <charset val="204"/>
      </rPr>
      <t xml:space="preserve">мц</t>
    </r>
    <r>
      <rPr>
        <sz val="14"/>
        <color rgb="FF000000"/>
        <rFont val="Times New Roman"/>
        <family val="1"/>
        <charset val="204"/>
      </rPr>
      <t xml:space="preserve"> за критерієм опору зсуву піску</t>
    </r>
  </si>
  <si>
    <t xml:space="preserve">Результати розрахунку для шару піску</t>
  </si>
  <si>
    <t xml:space="preserve">Примітка. Якщо умова виконується ячейка Н16 - зелена, не виконується - червона</t>
  </si>
  <si>
    <t xml:space="preserve">Код асфальтобетону</t>
  </si>
  <si>
    <t xml:space="preserve">Матеріал</t>
  </si>
  <si>
    <t xml:space="preserve">Мінімальна товщина</t>
  </si>
  <si>
    <t xml:space="preserve">Максимальна товщина </t>
  </si>
  <si>
    <t xml:space="preserve">АЩМ1</t>
  </si>
  <si>
    <t xml:space="preserve">АЩМ1 Щільний асфальто-полімербетон БМПА 60/90-53 на основі термопластів</t>
  </si>
  <si>
    <t xml:space="preserve">АЩМ2</t>
  </si>
  <si>
    <t xml:space="preserve">АЩМ2 Щільний асфальто-полімербетон БМПА 60/90-53 на основі термо-еластопластів</t>
  </si>
  <si>
    <r>
      <rPr>
        <b val="true"/>
        <sz val="12"/>
        <color rgb="FF000000"/>
        <rFont val="Times New Roman"/>
        <family val="1"/>
        <charset val="204"/>
      </rPr>
      <t xml:space="preserve">Таблиця 8.4</t>
    </r>
    <r>
      <rPr>
        <sz val="12"/>
        <color rgb="FF000000"/>
        <rFont val="Times New Roman"/>
        <family val="1"/>
        <charset val="204"/>
      </rPr>
      <t xml:space="preserve"> – Мінімальна товщина шарів нежорсткого дорожнього одягу</t>
    </r>
  </si>
  <si>
    <t xml:space="preserve">АЩ1</t>
  </si>
  <si>
    <t xml:space="preserve">АЩ1 Щільний асфальтобетон I – II марки БНД 40/60 </t>
  </si>
  <si>
    <t xml:space="preserve">Ч.ч</t>
  </si>
  <si>
    <t xml:space="preserve">Матеріал покриття та інших шарів дорожнього одягу</t>
  </si>
  <si>
    <t xml:space="preserve">Мінімальна товщина, см</t>
  </si>
  <si>
    <t xml:space="preserve">АЩ2</t>
  </si>
  <si>
    <t xml:space="preserve">АЩ3</t>
  </si>
  <si>
    <t xml:space="preserve">АЩ3 Щільний асфальтобетон I – II марки БНД 90/130</t>
  </si>
  <si>
    <t xml:space="preserve">Асфальтобетон:</t>
  </si>
  <si>
    <t xml:space="preserve">АЩ4</t>
  </si>
  <si>
    <t xml:space="preserve">АЩ4 Щільний асфальтобетон I – II марки БНД 130/200</t>
  </si>
  <si>
    <r>
      <rPr>
        <sz val="12"/>
        <color rgb="FF000000"/>
        <rFont val="Times New Roman"/>
        <family val="1"/>
        <charset val="204"/>
      </rPr>
      <t xml:space="preserve">-</t>
    </r>
    <r>
      <rPr>
        <sz val="7"/>
        <color rgb="FF000000"/>
        <rFont val="Times New Roman"/>
        <family val="1"/>
        <charset val="204"/>
      </rPr>
      <t xml:space="preserve">    </t>
    </r>
    <r>
      <rPr>
        <sz val="12"/>
        <color rgb="FF000000"/>
        <rFont val="Times New Roman"/>
        <family val="1"/>
        <charset val="204"/>
      </rPr>
      <t xml:space="preserve">крупнозернистий</t>
    </r>
  </si>
  <si>
    <t xml:space="preserve">АП1</t>
  </si>
  <si>
    <t xml:space="preserve">АП1 Пористий асфальтобетон БНД 40/60</t>
  </si>
  <si>
    <r>
      <rPr>
        <sz val="12"/>
        <color rgb="FF000000"/>
        <rFont val="Times New Roman"/>
        <family val="1"/>
        <charset val="204"/>
      </rPr>
      <t xml:space="preserve">-</t>
    </r>
    <r>
      <rPr>
        <sz val="7"/>
        <color rgb="FF000000"/>
        <rFont val="Times New Roman"/>
        <family val="1"/>
        <charset val="204"/>
      </rPr>
      <t xml:space="preserve">    </t>
    </r>
    <r>
      <rPr>
        <sz val="12"/>
        <color rgb="FF000000"/>
        <rFont val="Times New Roman"/>
        <family val="1"/>
        <charset val="204"/>
      </rPr>
      <t xml:space="preserve">дрібнозернистий з максимальним розміром зерен:</t>
    </r>
  </si>
  <si>
    <t xml:space="preserve">АП2</t>
  </si>
  <si>
    <r>
      <rPr>
        <sz val="12"/>
        <color rgb="FF000000"/>
        <rFont val="Times New Roman"/>
        <family val="1"/>
        <charset val="204"/>
      </rPr>
      <t xml:space="preserve">1)</t>
    </r>
    <r>
      <rPr>
        <sz val="7"/>
        <color rgb="FF000000"/>
        <rFont val="Times New Roman"/>
        <family val="1"/>
        <charset val="204"/>
      </rPr>
      <t xml:space="preserve">        </t>
    </r>
    <r>
      <rPr>
        <sz val="12"/>
        <color rgb="FF000000"/>
        <rFont val="Times New Roman"/>
        <family val="1"/>
        <charset val="204"/>
      </rPr>
      <t xml:space="preserve">до 20 мм</t>
    </r>
  </si>
  <si>
    <t xml:space="preserve">АП3</t>
  </si>
  <si>
    <t xml:space="preserve">АП3 Пористий асфальтобетон БНД 90/130</t>
  </si>
  <si>
    <r>
      <rPr>
        <sz val="12"/>
        <color rgb="FF000000"/>
        <rFont val="Times New Roman"/>
        <family val="1"/>
        <charset val="204"/>
      </rPr>
      <t xml:space="preserve">2)</t>
    </r>
    <r>
      <rPr>
        <sz val="7"/>
        <color rgb="FF000000"/>
        <rFont val="Times New Roman"/>
        <family val="1"/>
        <charset val="204"/>
      </rPr>
      <t xml:space="preserve">        </t>
    </r>
    <r>
      <rPr>
        <sz val="12"/>
        <color rgb="FF000000"/>
        <rFont val="Times New Roman"/>
        <family val="1"/>
        <charset val="204"/>
      </rPr>
      <t xml:space="preserve">до 15 мм</t>
    </r>
  </si>
  <si>
    <t xml:space="preserve">АП4</t>
  </si>
  <si>
    <t xml:space="preserve">АП4 Пористий асфальтобетон БНД 130/200</t>
  </si>
  <si>
    <r>
      <rPr>
        <sz val="12"/>
        <color rgb="FF000000"/>
        <rFont val="Times New Roman"/>
        <family val="1"/>
        <charset val="204"/>
      </rPr>
      <t xml:space="preserve">3)</t>
    </r>
    <r>
      <rPr>
        <sz val="7"/>
        <color rgb="FF000000"/>
        <rFont val="Times New Roman"/>
        <family val="1"/>
        <charset val="204"/>
      </rPr>
      <t xml:space="preserve">        </t>
    </r>
    <r>
      <rPr>
        <sz val="12"/>
        <color rgb="FF000000"/>
        <rFont val="Times New Roman"/>
        <family val="1"/>
        <charset val="204"/>
      </rPr>
      <t xml:space="preserve">до 10 мм</t>
    </r>
  </si>
  <si>
    <t xml:space="preserve">АВП1</t>
  </si>
  <si>
    <t xml:space="preserve">АВП1 Високо-пористий асфальтобетон БНД 40/60</t>
  </si>
  <si>
    <r>
      <rPr>
        <sz val="12"/>
        <color rgb="FF000000"/>
        <rFont val="Times New Roman"/>
        <family val="1"/>
        <charset val="204"/>
      </rPr>
      <t xml:space="preserve">-</t>
    </r>
    <r>
      <rPr>
        <sz val="7"/>
        <color rgb="FF000000"/>
        <rFont val="Times New Roman"/>
        <family val="1"/>
        <charset val="204"/>
      </rPr>
      <t xml:space="preserve">    </t>
    </r>
    <r>
      <rPr>
        <sz val="12"/>
        <color rgb="FF000000"/>
        <rFont val="Times New Roman"/>
        <family val="1"/>
        <charset val="204"/>
      </rPr>
      <t xml:space="preserve">піщаний</t>
    </r>
  </si>
  <si>
    <t xml:space="preserve">АВП2</t>
  </si>
  <si>
    <t xml:space="preserve">АВП2 Високо-пористий асфальтобетон БНД 60/90</t>
  </si>
  <si>
    <r>
      <rPr>
        <sz val="12"/>
        <color rgb="FF000000"/>
        <rFont val="Times New Roman"/>
        <family val="1"/>
        <charset val="204"/>
      </rPr>
      <t xml:space="preserve">-</t>
    </r>
    <r>
      <rPr>
        <sz val="7"/>
        <color rgb="FF000000"/>
        <rFont val="Times New Roman"/>
        <family val="1"/>
        <charset val="204"/>
      </rPr>
      <t xml:space="preserve">    </t>
    </r>
    <r>
      <rPr>
        <sz val="12"/>
        <color rgb="FF000000"/>
        <rFont val="Times New Roman"/>
        <family val="1"/>
        <charset val="204"/>
      </rPr>
      <t xml:space="preserve">холодний дрібнозернистий</t>
    </r>
  </si>
  <si>
    <t xml:space="preserve">АВП3</t>
  </si>
  <si>
    <t xml:space="preserve">АВП3 Високо-пористий асфальтобетон БНД 90/130</t>
  </si>
  <si>
    <r>
      <rPr>
        <sz val="12"/>
        <color rgb="FF000000"/>
        <rFont val="Times New Roman"/>
        <family val="1"/>
        <charset val="204"/>
      </rPr>
      <t xml:space="preserve">-</t>
    </r>
    <r>
      <rPr>
        <sz val="7"/>
        <color rgb="FF000000"/>
        <rFont val="Times New Roman"/>
        <family val="1"/>
        <charset val="204"/>
      </rPr>
      <t xml:space="preserve">    </t>
    </r>
    <r>
      <rPr>
        <sz val="12"/>
        <color rgb="FF000000"/>
        <rFont val="Times New Roman"/>
        <family val="1"/>
        <charset val="204"/>
      </rPr>
      <t xml:space="preserve">холодний піщаний</t>
    </r>
  </si>
  <si>
    <t xml:space="preserve">ЩМА1</t>
  </si>
  <si>
    <t xml:space="preserve">ЩМА1 Щебеневомастиковий асфальтобетон виду ЩМА-5 БНД-40/60</t>
  </si>
  <si>
    <t xml:space="preserve">Щебенево-мастиковий асфальтобетон з максимальним розміром зерен:</t>
  </si>
  <si>
    <t xml:space="preserve">ЩМА2</t>
  </si>
  <si>
    <t xml:space="preserve">ЩМА2 Щебеневомастиковий асфальтобетон виду ЩМА-5 БНД-60/90</t>
  </si>
  <si>
    <r>
      <rPr>
        <sz val="12"/>
        <color rgb="FF000000"/>
        <rFont val="Times New Roman"/>
        <family val="1"/>
        <charset val="204"/>
      </rPr>
      <t xml:space="preserve">1)</t>
    </r>
    <r>
      <rPr>
        <sz val="7"/>
        <color rgb="FF000000"/>
        <rFont val="Times New Roman"/>
        <family val="1"/>
        <charset val="204"/>
      </rPr>
      <t xml:space="preserve">      </t>
    </r>
    <r>
      <rPr>
        <sz val="12"/>
        <color rgb="FF000000"/>
        <rFont val="Times New Roman"/>
        <family val="1"/>
        <charset val="204"/>
      </rPr>
      <t xml:space="preserve">до 20 мм</t>
    </r>
  </si>
  <si>
    <t xml:space="preserve">ЩМА3</t>
  </si>
  <si>
    <t xml:space="preserve">ЩМА3 Щебеневомастиковий асфальтобетон виду ЩМА-10 БНД-40/60</t>
  </si>
  <si>
    <r>
      <rPr>
        <sz val="12"/>
        <color rgb="FF000000"/>
        <rFont val="Times New Roman"/>
        <family val="1"/>
        <charset val="204"/>
      </rPr>
      <t xml:space="preserve">2)</t>
    </r>
    <r>
      <rPr>
        <sz val="7"/>
        <color rgb="FF000000"/>
        <rFont val="Times New Roman"/>
        <family val="1"/>
        <charset val="204"/>
      </rPr>
      <t xml:space="preserve">      </t>
    </r>
    <r>
      <rPr>
        <sz val="12"/>
        <color rgb="FF000000"/>
        <rFont val="Times New Roman"/>
        <family val="1"/>
        <charset val="204"/>
      </rPr>
      <t xml:space="preserve">до 15 мм</t>
    </r>
  </si>
  <si>
    <t xml:space="preserve">ЩМА4</t>
  </si>
  <si>
    <t xml:space="preserve">ЩМА4 Щебеневомастиковий асфальтобетон виду ЩМА-10 БНД-60/90</t>
  </si>
  <si>
    <r>
      <rPr>
        <sz val="12"/>
        <color rgb="FF000000"/>
        <rFont val="Times New Roman"/>
        <family val="1"/>
        <charset val="204"/>
      </rPr>
      <t xml:space="preserve">3)</t>
    </r>
    <r>
      <rPr>
        <sz val="7"/>
        <color rgb="FF000000"/>
        <rFont val="Times New Roman"/>
        <family val="1"/>
        <charset val="204"/>
      </rPr>
      <t xml:space="preserve">      </t>
    </r>
    <r>
      <rPr>
        <sz val="12"/>
        <color rgb="FF000000"/>
        <rFont val="Times New Roman"/>
        <family val="1"/>
        <charset val="204"/>
      </rPr>
      <t xml:space="preserve">до 10 мм</t>
    </r>
  </si>
  <si>
    <t xml:space="preserve">ЩМА5</t>
  </si>
  <si>
    <t xml:space="preserve">ЩМА5 Щебеневомастиковий асфальтобетон виду ЩМА-15 БНД-40/60</t>
  </si>
  <si>
    <t xml:space="preserve">Щебеневі (гравійні) матеріали, оброблені органічними в'яжучими в установці, чорний щебінь та щебінь, оброблений просоченням</t>
  </si>
  <si>
    <t xml:space="preserve">ЩМА6</t>
  </si>
  <si>
    <t xml:space="preserve">ЩМА6 Щебеневомастиковий асфальтобетон виду ЩМА-15 БНД-60/90</t>
  </si>
  <si>
    <t xml:space="preserve">Щебеневі (гравійні) матеріали, оброблені органічними в'яжучими змішуванням на місці укладання</t>
  </si>
  <si>
    <t xml:space="preserve">ЩМА7</t>
  </si>
  <si>
    <t xml:space="preserve">ЩМА7 Щебеневомастиковий асфальтобетон виду ЩМА-20 БНД-40/60</t>
  </si>
  <si>
    <t xml:space="preserve">Суміш фрезерована оброблена в’яжучим (за методом холодного ресайклінгу):</t>
  </si>
  <si>
    <t xml:space="preserve">ЩМА8</t>
  </si>
  <si>
    <t xml:space="preserve">ЩМА8 Щебеневомастиковий асфальтобетон виду ЩМА-20 БНД-60/90</t>
  </si>
  <si>
    <t xml:space="preserve">- органічне в’яжуче, максимальний розмір щебеню:</t>
  </si>
  <si>
    <t xml:space="preserve">ЩМА9</t>
  </si>
  <si>
    <t xml:space="preserve">ЩМА9 Щебеневомастиковий асфальтобетон виду ЩМА-5 БМПА 60/90-52  </t>
  </si>
  <si>
    <r>
      <rPr>
        <sz val="12"/>
        <color rgb="FF000000"/>
        <rFont val="Times New Roman"/>
        <family val="1"/>
        <charset val="204"/>
      </rPr>
      <t xml:space="preserve">1)</t>
    </r>
    <r>
      <rPr>
        <sz val="7"/>
        <color rgb="FF000000"/>
        <rFont val="Times New Roman"/>
        <family val="1"/>
        <charset val="204"/>
      </rPr>
      <t xml:space="preserve">      </t>
    </r>
    <r>
      <rPr>
        <sz val="12"/>
        <color rgb="FF000000"/>
        <rFont val="Times New Roman"/>
        <family val="1"/>
        <charset val="204"/>
      </rPr>
      <t xml:space="preserve">понад 40 мм</t>
    </r>
  </si>
  <si>
    <t xml:space="preserve">ЩМА10</t>
  </si>
  <si>
    <t xml:space="preserve">ЩМА10 Щебеневомастиковий асфальтобетон виду ЩМА-10 БМПА 60/90-52</t>
  </si>
  <si>
    <r>
      <rPr>
        <sz val="12"/>
        <color rgb="FF000000"/>
        <rFont val="Times New Roman"/>
        <family val="1"/>
        <charset val="204"/>
      </rPr>
      <t xml:space="preserve">2)</t>
    </r>
    <r>
      <rPr>
        <sz val="7"/>
        <color rgb="FF000000"/>
        <rFont val="Times New Roman"/>
        <family val="1"/>
        <charset val="204"/>
      </rPr>
      <t xml:space="preserve">      </t>
    </r>
    <r>
      <rPr>
        <sz val="12"/>
        <color rgb="FF000000"/>
        <rFont val="Times New Roman"/>
        <family val="1"/>
        <charset val="204"/>
      </rPr>
      <t xml:space="preserve">до 40 мм</t>
    </r>
  </si>
  <si>
    <t xml:space="preserve">ЩМА11</t>
  </si>
  <si>
    <t xml:space="preserve">ЩМА11 Щебеневомастиковий асфальтобетон виду ЩМА-15 БМПА 60/90-52</t>
  </si>
  <si>
    <r>
      <rPr>
        <sz val="12"/>
        <color rgb="FF000000"/>
        <rFont val="Times New Roman"/>
        <family val="1"/>
        <charset val="204"/>
      </rPr>
      <t xml:space="preserve">3)</t>
    </r>
    <r>
      <rPr>
        <sz val="7"/>
        <color rgb="FF000000"/>
        <rFont val="Times New Roman"/>
        <family val="1"/>
        <charset val="204"/>
      </rPr>
      <t xml:space="preserve">      </t>
    </r>
    <r>
      <rPr>
        <sz val="12"/>
        <color rgb="FF000000"/>
        <rFont val="Times New Roman"/>
        <family val="1"/>
        <charset val="204"/>
      </rPr>
      <t xml:space="preserve">до 20 мм</t>
    </r>
  </si>
  <si>
    <t xml:space="preserve">ЩМА12</t>
  </si>
  <si>
    <t xml:space="preserve">- мінеральне в’яжуче, максимальний розмір щебеню:</t>
  </si>
  <si>
    <t xml:space="preserve">ОУ1</t>
  </si>
  <si>
    <t xml:space="preserve">ОУ1 ЩПС, укріплений цементом, мароки М75</t>
  </si>
  <si>
    <t xml:space="preserve">ОУ2</t>
  </si>
  <si>
    <t xml:space="preserve">ОУ3</t>
  </si>
  <si>
    <t xml:space="preserve">ОУ4</t>
  </si>
  <si>
    <t xml:space="preserve">ОУ4 ЩПС, укріплений цементом, мароки М20</t>
  </si>
  <si>
    <t xml:space="preserve">- комплексне в’яжуче, максимальний розмір щебеню:</t>
  </si>
  <si>
    <t xml:space="preserve">ОУ5</t>
  </si>
  <si>
    <t xml:space="preserve">ОУ5 ЩПС, укріплений цементом, мароки М10</t>
  </si>
  <si>
    <t xml:space="preserve">ОУ6</t>
  </si>
  <si>
    <t xml:space="preserve">ОУ6 Матеріал, отриманий за технологією холодного ресайклінгу без додавання нових мінеральних матеріалів, укріплені цементом, марки М60</t>
  </si>
  <si>
    <t xml:space="preserve">ОУ7</t>
  </si>
  <si>
    <t xml:space="preserve">ОУ7 Матеріал, отриманий за технологією холодного ресайклінгу без додавання нових мінеральних матеріалів, укріплені цементом, марки М40</t>
  </si>
  <si>
    <t xml:space="preserve">ОУ8</t>
  </si>
  <si>
    <t xml:space="preserve">ОУ8 Матеріал, отриманий за технологією холодного ресайклінгу без додавання нових мінеральних матеріалів, укріплені цементом, марки  М20</t>
  </si>
  <si>
    <t xml:space="preserve">Великоуламковий ґрунт і піщано-гравійна суміш, укріплена мінеральним в'яжучим </t>
  </si>
  <si>
    <t xml:space="preserve">ОУ9</t>
  </si>
  <si>
    <t xml:space="preserve">ОУ9 Матеріал, отриманий за технологією холодного ресайклінгу без додавання нових мінеральних матеріалів, укріплений бітумною емульсією або спіненим бітумом та цементом (комплексним в’яжучим), марки М60 </t>
  </si>
  <si>
    <t xml:space="preserve">Маломіцний кам'яний матеріал, оброблений в'яжучим </t>
  </si>
  <si>
    <t xml:space="preserve">ОУ10</t>
  </si>
  <si>
    <t xml:space="preserve">ОУ10 Матеріал, отриманий за технологією холодного ресайклінгу без додавання нових мінеральних матеріалів, укріплений бітумною емульсією або спіненим бітумом та цементом (комплексним в’яжучим), марки М40</t>
  </si>
  <si>
    <t xml:space="preserve">Шлаковий щебінь </t>
  </si>
  <si>
    <t xml:space="preserve">ОУ11</t>
  </si>
  <si>
    <t xml:space="preserve">ОУ11 Матеріал, отриманий за технологією холодного ресайклінгу без додавання нових мінеральних матеріалів, укріплений бітумною емульсією або спіненим бітумом та цементом (комплексним в’яжучим), марки М20</t>
  </si>
  <si>
    <t xml:space="preserve">Щебінь і гравій, не оброблені в'яжучим:</t>
  </si>
  <si>
    <t xml:space="preserve">ОУ12</t>
  </si>
  <si>
    <t xml:space="preserve">ОУ12 Матеріал, отриманий за технологією холодного ресайклінгу без додавання нових мінеральних матеріалів, укріплений бітумною емульсією або спіненим бітумом, марки М60</t>
  </si>
  <si>
    <t xml:space="preserve">  - на укріпленому ґрунті;</t>
  </si>
  <si>
    <t xml:space="preserve">ОУ13</t>
  </si>
  <si>
    <t xml:space="preserve">ОУ13 Матеріал, отриманий за технологією холодного ресайклінгу без додавання нових мінеральних матеріалів, укріплений бітумною емульсією або спіненим бітумом, марки М40</t>
  </si>
  <si>
    <t xml:space="preserve">  - на піщаному шарі</t>
  </si>
  <si>
    <t xml:space="preserve">ОУ14</t>
  </si>
  <si>
    <t xml:space="preserve">ОУ14 Матеріал, отриманий за технологією холодного ресайклінгу без додавання нових мінеральних матеріалів, укріплений бітумною емульсією або спіненим бітумом, марки М20</t>
  </si>
  <si>
    <t xml:space="preserve">Ґрунт, укріплений в'яжучим </t>
  </si>
  <si>
    <t xml:space="preserve">ОУ15</t>
  </si>
  <si>
    <t xml:space="preserve">ОУ15 Матеріал, отриманий за технологією холодного ресайклінгу з додаванням нових мінеральних матеріалів, укріплений цементом, марки М60</t>
  </si>
  <si>
    <t xml:space="preserve">Пісок </t>
  </si>
  <si>
    <t xml:space="preserve">ОУ16</t>
  </si>
  <si>
    <t xml:space="preserve">ОУ16 Матеріал, отриманий за технологією холодного ресайклінгу з додаванням нових мінеральних матеріалів, укріплений цементом, марки М40</t>
  </si>
  <si>
    <r>
      <rPr>
        <b val="true"/>
        <sz val="10"/>
        <color rgb="FF000000"/>
        <rFont val="Times New Roman"/>
        <family val="1"/>
        <charset val="204"/>
      </rPr>
      <t xml:space="preserve">Примітка.</t>
    </r>
    <r>
      <rPr>
        <sz val="10"/>
        <color rgb="FF000000"/>
        <rFont val="Times New Roman"/>
        <family val="1"/>
        <charset val="204"/>
      </rPr>
      <t xml:space="preserve"> Товщина верхнього ущільненого шару асфальтобетону повинна бути не менше ніж два максимальні розміри зерна щебеню, що використовується в прийнятій конструкції.</t>
    </r>
  </si>
  <si>
    <t xml:space="preserve">ОУ17</t>
  </si>
  <si>
    <t xml:space="preserve">ОУ17 Матеріал, отриманий за технологією холодного ресайклінгу з додаванням нових мінеральних матеріалів, укріплений цементом, марки М20</t>
  </si>
  <si>
    <t xml:space="preserve">ОУ18</t>
  </si>
  <si>
    <t xml:space="preserve">ОУ18 Матеріал, отриманий за технологією холодного ресайклінгу з додаванням нових мінеральних матеріалів, укріплених бітумною емульсією або спіненим бітумом та цементом (комплексним в’яжучим), марки М60</t>
  </si>
  <si>
    <t xml:space="preserve">ОУ19</t>
  </si>
  <si>
    <t xml:space="preserve">ОУ19 Матеріал, отриманий за технологією холодного ресайклінгу з додаванням нових мінеральних матеріалів, укріплених бітумною емульсією або спіненим бітумом та цементом (комплексним в’яжучим), марки М40</t>
  </si>
  <si>
    <t xml:space="preserve">ОУ20</t>
  </si>
  <si>
    <t xml:space="preserve">ОУ20 Матеріал, отриманий за технологією холодного ресайклінгу з додаванням нових мінеральних матеріалів, укріплених бітумною емульсією або спіненим бітумом та цементом (комплексним в’яжучим), марки М20</t>
  </si>
  <si>
    <t xml:space="preserve">ОУ21</t>
  </si>
  <si>
    <t xml:space="preserve">ОУ21 Матеріал, отриманий за технологією холодного ресайклінгу з додаванням нових мінеральних матеріалів, укріплений бітумною емульсією або спіненим бітумом, марки М60</t>
  </si>
  <si>
    <t xml:space="preserve">ОУ22</t>
  </si>
  <si>
    <t xml:space="preserve">ОУ22 Матеріал, отриманий за технологією холодного ресайклінгу з додаванням нових мінеральних матеріалів, укріплений бітумною емульсією або спіненим бітумом, марки М40</t>
  </si>
  <si>
    <t xml:space="preserve">ОУ23</t>
  </si>
  <si>
    <t xml:space="preserve">ОУ23 Матеріал, отриманий за технологією холодного ресайклінгу з додаванням нових мінеральних матеріалів, укріплений бітумною емульсією або спіненим бітумом, марки М20</t>
  </si>
  <si>
    <t xml:space="preserve">ОУ24</t>
  </si>
  <si>
    <t xml:space="preserve">ОУ24 Крупноуламкові ґрунти і ПГС оптимального чи близьких до оптимального складів, укріплені комплексними в’яжучими, марки М45</t>
  </si>
  <si>
    <t xml:space="preserve">ОУ25</t>
  </si>
  <si>
    <t xml:space="preserve">ОУ25 Крупноуламкові ґрунти і ПГС оптимального чи близьких до оптимального складів, укріплені комплексними в’яжучими, марки  М25</t>
  </si>
  <si>
    <t xml:space="preserve">ОУ26</t>
  </si>
  <si>
    <t xml:space="preserve">ОУ26 Крупноуламкові ґрунти і ПГС оптимального чи близьких до оптимального складів, укріплені комплексними в’яжучими, марки  М15</t>
  </si>
  <si>
    <t xml:space="preserve">ОУ27</t>
  </si>
  <si>
    <t xml:space="preserve">ОУ27 Крупноуламкові ґрунти і ПГС оптимального чи близьких до оптимального складів, укріплені цементом, марки М40</t>
  </si>
  <si>
    <t xml:space="preserve">ОУ28</t>
  </si>
  <si>
    <t xml:space="preserve">ОУ28 Крупноуламкові ґрунти і ПГС оптимального чи близьких до оптимального складів, укріплені цементом, марки М20</t>
  </si>
  <si>
    <t xml:space="preserve">ОУ29</t>
  </si>
  <si>
    <t xml:space="preserve">ОУ29 Крупноуламкові ґрунти і ПГС оптимального чи близьких до оптимального складів, укріплені цементом, марки М10</t>
  </si>
  <si>
    <t xml:space="preserve">ОУ30</t>
  </si>
  <si>
    <t xml:space="preserve">ОУ31</t>
  </si>
  <si>
    <t xml:space="preserve">ОУ31 Крупноуламкові ґрунти і ПГС оптимального чи близьких до оптимального складів,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М20</t>
  </si>
  <si>
    <t xml:space="preserve">ОУ32</t>
  </si>
  <si>
    <t xml:space="preserve">ОУ32 Крупноуламкові ґрунти і ПГС оптимального чи близьких до оптимального складів,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М10</t>
  </si>
  <si>
    <t xml:space="preserve">ОУ33</t>
  </si>
  <si>
    <t xml:space="preserve">ОУ33 Крупноуламкові ґрунти і ПГС оптимального чи близьких до оптимального складу, укріплені в’язким спіненим бітумом або емульсією на в’язкому бітумі</t>
  </si>
  <si>
    <t xml:space="preserve">ОУ34</t>
  </si>
  <si>
    <t xml:space="preserve">ОУ34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комплексними в’яжучими, марки М45</t>
  </si>
  <si>
    <t xml:space="preserve">ОУ35</t>
  </si>
  <si>
    <t xml:space="preserve">ОУ35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комплексними в’яжучими, марки  М25</t>
  </si>
  <si>
    <t xml:space="preserve">ОУ36</t>
  </si>
  <si>
    <t xml:space="preserve">ОУ36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комплексними в’яжучими, марки  М15</t>
  </si>
  <si>
    <t xml:space="preserve">ОУ37</t>
  </si>
  <si>
    <t xml:space="preserve">ОУ37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цементом, марки  М40</t>
  </si>
  <si>
    <t xml:space="preserve">ОУ38</t>
  </si>
  <si>
    <t xml:space="preserve">ОУ38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цементом, марки М20</t>
  </si>
  <si>
    <t xml:space="preserve">ОУ39</t>
  </si>
  <si>
    <t xml:space="preserve">ОУ39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цементом, марки  М10</t>
  </si>
  <si>
    <t xml:space="preserve">ОУ40</t>
  </si>
  <si>
    <t xml:space="preserve">ОУ40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М20</t>
  </si>
  <si>
    <t xml:space="preserve">ОУ41</t>
  </si>
  <si>
    <t xml:space="preserve">ОУ41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М10</t>
  </si>
  <si>
    <t xml:space="preserve">ОУ42</t>
  </si>
  <si>
    <t xml:space="preserve">ОУ42 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в’язким спіненим бітумом або емульсією на в’язкому бітуміки  </t>
  </si>
  <si>
    <t xml:space="preserve">ОУ43</t>
  </si>
  <si>
    <t xml:space="preserve">ОУ43 Піски дрібні і пилуваті, супісок легкий і пилуватий, укріплені комплексними в’яжучими, марки М45</t>
  </si>
  <si>
    <t xml:space="preserve">ОУ44</t>
  </si>
  <si>
    <t xml:space="preserve">ОУ44 Піски дрібні і пилуваті, супісок легкий і пилуватий, укріплені комплексними в’яжучими, марки М25</t>
  </si>
  <si>
    <t xml:space="preserve">ОУ45</t>
  </si>
  <si>
    <t xml:space="preserve">ОУ45 Піски дрібні і пилуваті, супісок легкий і пилуватий, укріплені комплексними в’яжучими, марки М15</t>
  </si>
  <si>
    <t xml:space="preserve">ОУ46</t>
  </si>
  <si>
    <t xml:space="preserve">ОУ46 Піски дрібні і пилуваті, супісок легкий і пилуватий, укріплені цементом, марки М40</t>
  </si>
  <si>
    <t xml:space="preserve">ОУ47</t>
  </si>
  <si>
    <t xml:space="preserve">ОУ47 Піски дрібні і пилуваті, супісок легкий і пилуватий, укріплені цементом, марки М20</t>
  </si>
  <si>
    <t xml:space="preserve">ОУ48</t>
  </si>
  <si>
    <t xml:space="preserve">ОУ48 Піски дрібні і пилуваті, супісок легкий і пилуватий, укріплені цементом, марки М10</t>
  </si>
  <si>
    <t xml:space="preserve">ОУ49</t>
  </si>
  <si>
    <t xml:space="preserve">ОУ49 Піски дрібні і пилуваті, супісок легкий і пилуватий,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М20</t>
  </si>
  <si>
    <t xml:space="preserve">ОУ50</t>
  </si>
  <si>
    <t xml:space="preserve">ОУ50 Піски дрібні і пилуваті, супісок легкий і пилуватий,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М10</t>
  </si>
  <si>
    <t xml:space="preserve">ОУ51</t>
  </si>
  <si>
    <t xml:space="preserve">ОУ51 Піски дрібні і пилуваті, супісок легкий і пилуватий, укріплені в’язким  спіненим бітумом або емульсією на в’язкому бітумі</t>
  </si>
  <si>
    <t xml:space="preserve">ОУ52</t>
  </si>
  <si>
    <t xml:space="preserve">ОУ52 Побічні продукти промисловості (кам’яні матеріали і крупноуламкові ґрунти, які відповідають рудним копалинам, золошлакові суміші, формувальні суміші, тощо), укріплені комплексними в’яжучими, марки М45</t>
  </si>
  <si>
    <t xml:space="preserve">ОУ53</t>
  </si>
  <si>
    <t xml:space="preserve">ОУ53 Побічні продукти промисловості (кам’яні матеріали і крупноуламкові ґрунти, які відповідають рудним копалинам, золошлакові суміші, формувальні суміші, тощо), укріплені комплексними в’яжучими, марки М25</t>
  </si>
  <si>
    <t xml:space="preserve">ОУ54</t>
  </si>
  <si>
    <t xml:space="preserve">ОУ54 Побічні продукти промисловості (кам’яні матеріали і крупноуламкові ґрунти, які відповідають рудним копалинам, золошлакові суміші, формувальні суміші, тощо), укріплені комплексними в’яжучими, марки М15 </t>
  </si>
  <si>
    <t xml:space="preserve">ОУ55</t>
  </si>
  <si>
    <t xml:space="preserve">ОУ55 Побічні продукти промисловості (кам’яні матеріали і крупноуламкові ґрунти, які відповідають рудним копалинам, золошлакові суміші, формувальні суміші, тощо), укріплені цементом, марки М40</t>
  </si>
  <si>
    <t xml:space="preserve">ОУ56</t>
  </si>
  <si>
    <t xml:space="preserve">ОУ56 Побічні продукти промисловості (кам’яні матеріали і крупноуламкові ґрунти, які відповідають рудним копалинам, золошлакові суміші, формувальні суміші, тощо), укріплені цементом, марки М20</t>
  </si>
  <si>
    <t xml:space="preserve">ОУ57</t>
  </si>
  <si>
    <t xml:space="preserve">ОУ57 Побічні продукти промисловості (кам’яні матеріали і крупноуламкові ґрунти, які відповідають рудним копалинам, золошлакові суміші, формувальні суміші, тощо), укріплені цементом, марки М10</t>
  </si>
  <si>
    <t xml:space="preserve">ОУ58</t>
  </si>
  <si>
    <t xml:space="preserve">ОУ58 Супіски важкі і пилуваті, суглинки легкі, укріплені комплексними в’яжучими, марки М45</t>
  </si>
  <si>
    <t xml:space="preserve">ОУ59</t>
  </si>
  <si>
    <t xml:space="preserve">ОУ59 Супіски важкі і пилуваті, суглинки легкі, укріплені комплексними в’яжучими, марки М25</t>
  </si>
  <si>
    <t xml:space="preserve">ОУ60</t>
  </si>
  <si>
    <t xml:space="preserve">ОУ60 Супіски важкі і пилуваті, суглинки легкі, укріплені комплексними в’яжучими, марки М15</t>
  </si>
  <si>
    <t xml:space="preserve">ОУ61</t>
  </si>
  <si>
    <t xml:space="preserve">ОУ61 Супіски важкі і пилуваті, суглинки легкі, укріплені цементом, марки М40</t>
  </si>
  <si>
    <t xml:space="preserve">ОУ62</t>
  </si>
  <si>
    <t xml:space="preserve">ОУ62 Супіски важкі і пилуваті, суглинки легкі, укріплені цементом, марки М20</t>
  </si>
  <si>
    <t xml:space="preserve">ОУ63</t>
  </si>
  <si>
    <t xml:space="preserve">ОУ63 Супіски важкі і пилуваті, суглинки легкі, укріплені цементом, марки М10 </t>
  </si>
  <si>
    <t xml:space="preserve">ОУ64</t>
  </si>
  <si>
    <t xml:space="preserve">ОУ64 Супіски важкі і пилуваті, суглинки легкі,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М20</t>
  </si>
  <si>
    <t xml:space="preserve">ОУ65</t>
  </si>
  <si>
    <t xml:space="preserve">ОУ65 Супіски важкі і пилуваті, суглинки легкі,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М10</t>
  </si>
  <si>
    <t xml:space="preserve">ОУ66</t>
  </si>
  <si>
    <t xml:space="preserve">ОУ66 Супіски важкі і пилуваті, суглинки легкі, укріплені емульсіями на в’язких бітумах</t>
  </si>
  <si>
    <t xml:space="preserve">ОУ67</t>
  </si>
  <si>
    <t xml:space="preserve">ОУ67 Суглинки важкі і пилуваті, глини піщанисті і пилуваті, укріплені мінеральними і комплексними в’яжучими, марки М20</t>
  </si>
  <si>
    <t xml:space="preserve">ОУ68</t>
  </si>
  <si>
    <t xml:space="preserve">ОУ68 Суглинки важкі і пилуваті, глини піщанисті і пилуваті, укріплені мінеральними і комплексними в’яжучими, марки М10</t>
  </si>
  <si>
    <t xml:space="preserve">ОУ69</t>
  </si>
  <si>
    <t xml:space="preserve">ОУ69 Суглинки важкі і пилуваті, глини піщанисті і пилуваті, укріплені дьогтем</t>
  </si>
  <si>
    <t xml:space="preserve">ОН1</t>
  </si>
  <si>
    <t xml:space="preserve">ОН1 Чорний щебінь, влаштований за способом заклинки </t>
  </si>
  <si>
    <t xml:space="preserve">ОН2</t>
  </si>
  <si>
    <t xml:space="preserve">ОН2 Щебінь марок 1000 – 1400, влаштований за способом просочення в’язким бітумом </t>
  </si>
  <si>
    <t xml:space="preserve">ОН3</t>
  </si>
  <si>
    <t xml:space="preserve">ОН3 Щебінь марок 800 – 1400, влаштований за способом заклинки:з міцних осадових та метаморфічних порід</t>
  </si>
  <si>
    <t xml:space="preserve">ОН4</t>
  </si>
  <si>
    <t xml:space="preserve">ОН4 Щебінь марок 800 – 1400, влаштований за способом заклинки з магматичних порід</t>
  </si>
  <si>
    <t xml:space="preserve">ОН5</t>
  </si>
  <si>
    <t xml:space="preserve">ОН5 Шлаковий щебінь </t>
  </si>
  <si>
    <t xml:space="preserve">ОН6</t>
  </si>
  <si>
    <t xml:space="preserve">ОН6 Бетонна бруківка "Г  подібної форми хвиля" розміром (243,5×243,5×120) мм</t>
  </si>
  <si>
    <t xml:space="preserve">ОН7</t>
  </si>
  <si>
    <t xml:space="preserve">ОН7 Бетонна бруківка "Г  подібної форми хвиля" розміром (243,5×243,5×100) мм</t>
  </si>
  <si>
    <t xml:space="preserve">ОН8</t>
  </si>
  <si>
    <t xml:space="preserve">ОН8 Бетонна бруківка "фалка"розміром (300×150×100) мм</t>
  </si>
  <si>
    <t xml:space="preserve">ОН9</t>
  </si>
  <si>
    <t xml:space="preserve">ОН9 Бетонна бруківка "фалка" розміром (240×130×80) мм</t>
  </si>
  <si>
    <t xml:space="preserve">ОН10</t>
  </si>
  <si>
    <t xml:space="preserve">ОН10 Бетонна бруківка "подвійне Т" розміром (200×165×80) мм</t>
  </si>
  <si>
    <t xml:space="preserve">ОН11</t>
  </si>
  <si>
    <t xml:space="preserve">ОН11 Кам'яна бруківка, пакеляж</t>
  </si>
  <si>
    <t xml:space="preserve">ОН12</t>
  </si>
  <si>
    <t xml:space="preserve">ОН13 Щебенево-піщана суміш для покриття С1 </t>
  </si>
  <si>
    <t xml:space="preserve">ОН13</t>
  </si>
  <si>
    <t xml:space="preserve">ОН14 Щебенево-піщана суміш для покриття С2 </t>
  </si>
  <si>
    <t xml:space="preserve">ОН14</t>
  </si>
  <si>
    <t xml:space="preserve">ОН15 Щебенево-піщана суміш для покриття С3</t>
  </si>
  <si>
    <t xml:space="preserve">ОН15</t>
  </si>
  <si>
    <t xml:space="preserve">ОН16 Щебенево-піщана суміш для шарів основи С4 </t>
  </si>
  <si>
    <t xml:space="preserve">ОН16</t>
  </si>
  <si>
    <t xml:space="preserve">ОН17</t>
  </si>
  <si>
    <t xml:space="preserve">ОН18 Щебенево-піщана суміш для шарів основи С6 </t>
  </si>
  <si>
    <t xml:space="preserve">ОН18</t>
  </si>
  <si>
    <t xml:space="preserve">ОН19 Щебенево-піщана суміш для шарів основи С7 </t>
  </si>
  <si>
    <t xml:space="preserve">ОН19</t>
  </si>
  <si>
    <t xml:space="preserve">ОН20 Щебенево-піщана суміш для шарів основи С8 </t>
  </si>
  <si>
    <t xml:space="preserve">ОН20</t>
  </si>
  <si>
    <t xml:space="preserve">ОН21</t>
  </si>
  <si>
    <t xml:space="preserve">ОН22 Щебенево-піщана суміш для шарів основи С10 </t>
  </si>
  <si>
    <t xml:space="preserve">ОН22</t>
  </si>
  <si>
    <t xml:space="preserve">ОН23 Віброруйнування цементно-бетонного покриття</t>
  </si>
  <si>
    <t xml:space="preserve">ОН23</t>
  </si>
  <si>
    <t xml:space="preserve">ОН24 Суглинки важкі і пилуваті, глини піщанисті і пилуваті, укріплені дьогтем</t>
  </si>
  <si>
    <t xml:space="preserve">G1</t>
  </si>
  <si>
    <t xml:space="preserve">G2</t>
  </si>
  <si>
    <t xml:space="preserve">G2 Пісок середньої крупності</t>
  </si>
  <si>
    <t xml:space="preserve">G3</t>
  </si>
  <si>
    <t xml:space="preserve">G3 Пісок дрібний</t>
  </si>
  <si>
    <t xml:space="preserve">G4</t>
  </si>
  <si>
    <t xml:space="preserve">G4 Пісок однорідний</t>
  </si>
  <si>
    <t xml:space="preserve">G5</t>
  </si>
  <si>
    <t xml:space="preserve">G5 Пісок пилуватий</t>
  </si>
  <si>
    <t xml:space="preserve">G6</t>
  </si>
  <si>
    <t xml:space="preserve">G6 Супісок піщанистий</t>
  </si>
  <si>
    <t xml:space="preserve">G7</t>
  </si>
  <si>
    <t xml:space="preserve">G7 Супісок пилуватий</t>
  </si>
  <si>
    <t xml:space="preserve">G8</t>
  </si>
  <si>
    <t xml:space="preserve">G8 Суглинок легкий піщанистий</t>
  </si>
  <si>
    <t xml:space="preserve">G9</t>
  </si>
  <si>
    <t xml:space="preserve">G10</t>
  </si>
  <si>
    <t xml:space="preserve">G10 Суглинок важкий піщанистий </t>
  </si>
  <si>
    <t xml:space="preserve">G11</t>
  </si>
  <si>
    <t xml:space="preserve">G11 Суглинок важкий пилуватий </t>
  </si>
  <si>
    <t xml:space="preserve">G12</t>
  </si>
  <si>
    <t xml:space="preserve">G12 Глина легка піщаниста</t>
  </si>
  <si>
    <t xml:space="preserve">G13</t>
  </si>
  <si>
    <t xml:space="preserve">G13Глина легка пилувата</t>
  </si>
  <si>
    <t xml:space="preserve">G14</t>
  </si>
  <si>
    <t xml:space="preserve">G14 Глина важка</t>
  </si>
  <si>
    <t xml:space="preserve">Додаток Е.</t>
  </si>
  <si>
    <r>
      <rPr>
        <b val="true"/>
        <sz val="12"/>
        <color rgb="FF000000"/>
        <rFont val="Times New Roman"/>
        <family val="1"/>
        <charset val="204"/>
      </rPr>
      <t xml:space="preserve">Таблиця Е</t>
    </r>
    <r>
      <rPr>
        <sz val="12"/>
        <color rgb="FF000000"/>
        <rFont val="Times New Roman"/>
        <family val="1"/>
        <charset val="204"/>
      </rPr>
      <t xml:space="preserve"> – Норми строків експлуатації дорожнього одягу між капітальними ремонтами</t>
    </r>
  </si>
  <si>
    <t xml:space="preserve">Код Текспл</t>
  </si>
  <si>
    <t xml:space="preserve">Інтенсивність руху, трансп.од./добу</t>
  </si>
  <si>
    <t xml:space="preserve">Матеріал покриття </t>
  </si>
  <si>
    <t xml:space="preserve">Строк експлуатації дорожнього одягу, роки</t>
  </si>
  <si>
    <t xml:space="preserve">немодифікований АБ</t>
  </si>
  <si>
    <t xml:space="preserve">БМП</t>
  </si>
  <si>
    <t xml:space="preserve">Тек1</t>
  </si>
  <si>
    <t xml:space="preserve">понад 10000</t>
  </si>
  <si>
    <t xml:space="preserve">Капітальний </t>
  </si>
  <si>
    <t xml:space="preserve">Цементобетон </t>
  </si>
  <si>
    <t xml:space="preserve">Тек2</t>
  </si>
  <si>
    <t xml:space="preserve">10000-20000</t>
  </si>
  <si>
    <t xml:space="preserve">ЩМА</t>
  </si>
  <si>
    <t xml:space="preserve">Тек3</t>
  </si>
  <si>
    <t xml:space="preserve">20000-30000</t>
  </si>
  <si>
    <t xml:space="preserve">Тек4</t>
  </si>
  <si>
    <t xml:space="preserve">понад 30000</t>
  </si>
  <si>
    <t xml:space="preserve">Тек5</t>
  </si>
  <si>
    <t xml:space="preserve">Асфальтобетон </t>
  </si>
  <si>
    <t xml:space="preserve">Тек6</t>
  </si>
  <si>
    <t xml:space="preserve">Тек7</t>
  </si>
  <si>
    <t xml:space="preserve">Тек8</t>
  </si>
  <si>
    <t xml:space="preserve">3000-10000</t>
  </si>
  <si>
    <t xml:space="preserve">Капітальний</t>
  </si>
  <si>
    <t xml:space="preserve">Тек9</t>
  </si>
  <si>
    <t xml:space="preserve">3000-5000</t>
  </si>
  <si>
    <t xml:space="preserve">Тек10</t>
  </si>
  <si>
    <t xml:space="preserve">5000-8000</t>
  </si>
  <si>
    <t xml:space="preserve">Тек11</t>
  </si>
  <si>
    <t xml:space="preserve">8000-10000</t>
  </si>
  <si>
    <t xml:space="preserve">Тек12</t>
  </si>
  <si>
    <t xml:space="preserve">Тек13</t>
  </si>
  <si>
    <t xml:space="preserve">Тек14</t>
  </si>
  <si>
    <t xml:space="preserve">Тек15</t>
  </si>
  <si>
    <t xml:space="preserve">1000-3000</t>
  </si>
  <si>
    <t xml:space="preserve">Тек16</t>
  </si>
  <si>
    <t xml:space="preserve">Тек17</t>
  </si>
  <si>
    <t xml:space="preserve">Тек18</t>
  </si>
  <si>
    <t xml:space="preserve">150-1000</t>
  </si>
  <si>
    <t xml:space="preserve">Тек19</t>
  </si>
  <si>
    <t xml:space="preserve">Тек20</t>
  </si>
  <si>
    <t xml:space="preserve">IV-V</t>
  </si>
  <si>
    <t xml:space="preserve">до 500</t>
  </si>
  <si>
    <t xml:space="preserve">Удосконалений полегшений</t>
  </si>
  <si>
    <t xml:space="preserve">Чорнощебеневе (просочування)</t>
  </si>
  <si>
    <t xml:space="preserve">Тек21</t>
  </si>
  <si>
    <t xml:space="preserve">Перехідний</t>
  </si>
  <si>
    <t xml:space="preserve">Бруківка</t>
  </si>
  <si>
    <t xml:space="preserve">Тек22</t>
  </si>
  <si>
    <t xml:space="preserve">Цементогрунтове, маломіцні кам`яні матеріали, укріплоені в`яжучими матеріалами </t>
  </si>
  <si>
    <t xml:space="preserve">Тек23</t>
  </si>
  <si>
    <t xml:space="preserve">до 150</t>
  </si>
  <si>
    <t xml:space="preserve">Фракціоновані кам`яні матеріали не укріплені в`яжучими матеріалами</t>
  </si>
  <si>
    <t xml:space="preserve">Тек24</t>
  </si>
  <si>
    <r>
      <rPr>
        <b val="true"/>
        <sz val="10"/>
        <color rgb="FF000000"/>
        <rFont val="Times New Roman"/>
        <family val="1"/>
        <charset val="204"/>
      </rPr>
      <t xml:space="preserve">Примітка.</t>
    </r>
    <r>
      <rPr>
        <sz val="10"/>
        <color rgb="FF000000"/>
        <rFont val="Times New Roman"/>
        <family val="1"/>
        <charset val="204"/>
      </rPr>
      <t xml:space="preserve"> При застосуванні бітумополімерних в’яжучих міжремонтні строки експлуатації дорожніх одягів необхідно збільшувати на 1 рік.</t>
    </r>
  </si>
  <si>
    <t xml:space="preserve">Склад автопарку М 06 км. 502 .- км 528 ДП "Укрдіпродор"</t>
  </si>
  <si>
    <t xml:space="preserve">№ п/п</t>
  </si>
  <si>
    <t xml:space="preserve">Марка автомобіля</t>
  </si>
  <si>
    <t xml:space="preserve">Вантажопідйомність, т</t>
  </si>
  <si>
    <t xml:space="preserve">Загальна масса.</t>
  </si>
  <si>
    <t xml:space="preserve">Інтенсивність руху в обох напрямках, авт/добу</t>
  </si>
  <si>
    <t xml:space="preserve">Відсоток, %</t>
  </si>
  <si>
    <t xml:space="preserve">Розрах. інтенсивність</t>
  </si>
  <si>
    <t xml:space="preserve">Повна маса автотранс-портного засобу, т</t>
  </si>
  <si>
    <r>
      <rPr>
        <i val="true"/>
        <sz val="12"/>
        <rFont val="Times New Roman"/>
        <family val="1"/>
        <charset val="204"/>
      </rPr>
      <t xml:space="preserve">Сумарні коефіцієнти</t>
    </r>
    <r>
      <rPr>
        <sz val="12"/>
        <rFont val="Times New Roman"/>
        <family val="1"/>
        <charset val="204"/>
      </rPr>
      <t xml:space="preserve"> приведення до розрахункового навантаження, кН </t>
    </r>
  </si>
  <si>
    <t xml:space="preserve">Приведена до 115 кН добова інтенсивність руху на 2023 р.</t>
  </si>
  <si>
    <t xml:space="preserve">Приведена до 115 кН інтенсивність руху на 2023 р.</t>
  </si>
  <si>
    <t xml:space="preserve">т</t>
  </si>
  <si>
    <t xml:space="preserve">Легкі ( &lt; 2,5 т)</t>
  </si>
  <si>
    <t xml:space="preserve">УАЗ 3741</t>
  </si>
  <si>
    <t xml:space="preserve">Ford Тгапzit FТ 150 2.50</t>
  </si>
  <si>
    <t xml:space="preserve">ГАЗ 2705 "Газель"</t>
  </si>
  <si>
    <t xml:space="preserve">Меrсеdеs-Веnz Sрrіпtег 4**</t>
  </si>
  <si>
    <t xml:space="preserve">Меrсеdеs-Веnz Sрrіпtег 2** - 3**</t>
  </si>
  <si>
    <t xml:space="preserve">Середні (2.5 - 5.0 т)</t>
  </si>
  <si>
    <t xml:space="preserve">Іvеcо Daily 50С 13 V</t>
  </si>
  <si>
    <t xml:space="preserve">ЗИЛ 5301 АО "Бьічок"</t>
  </si>
  <si>
    <t xml:space="preserve">Меrсевез-Веnz Vаrіо 7** - 8**</t>
  </si>
  <si>
    <t xml:space="preserve">ГАЗ 3307</t>
  </si>
  <si>
    <t xml:space="preserve">ЗИЛ 130</t>
  </si>
  <si>
    <t xml:space="preserve">Важкі (&gt; 5.0т)</t>
  </si>
  <si>
    <t xml:space="preserve">ЗИЛ 433360</t>
  </si>
  <si>
    <t xml:space="preserve">DAF LF FA 45. 150-10</t>
  </si>
  <si>
    <t xml:space="preserve">КамАЗ 5320</t>
  </si>
  <si>
    <t xml:space="preserve">МАЗ 53362</t>
  </si>
  <si>
    <t xml:space="preserve">МАN М200012.163</t>
  </si>
  <si>
    <t xml:space="preserve">КамАЗ 53212</t>
  </si>
  <si>
    <t xml:space="preserve">Меrсеdеs-Вепz Аtедо 18**</t>
  </si>
  <si>
    <t xml:space="preserve">КамАЗ 55111</t>
  </si>
  <si>
    <t xml:space="preserve">КрА3 6510</t>
  </si>
  <si>
    <t xml:space="preserve">VOLVO FL7</t>
  </si>
  <si>
    <t xml:space="preserve">Автопоїзди з причепами</t>
  </si>
  <si>
    <t xml:space="preserve">ЗИЛ 130 + ГКБ 8328-01</t>
  </si>
  <si>
    <t xml:space="preserve">КамАЗ 5320 + ГКБ 8350</t>
  </si>
  <si>
    <t xml:space="preserve">МАЗ 533702-2120 + МАЗ 8926-02</t>
  </si>
  <si>
    <t xml:space="preserve">КамАЗ 53212 + СЗАП 83571</t>
  </si>
  <si>
    <t xml:space="preserve">Sсаnіа R114 4x2 340 + КRОNЕ АDР24</t>
  </si>
  <si>
    <t xml:space="preserve">МАN F2000 23.314 + КоgеІ АN18Р</t>
  </si>
  <si>
    <t xml:space="preserve">VOLVO FН12 /420Р + Коgеl SN 24 P 100</t>
  </si>
  <si>
    <t xml:space="preserve"> Автомобілі-тагачі з напівпричепом</t>
  </si>
  <si>
    <t xml:space="preserve">МАЗ 543202-2120 + МАЗ 93802</t>
  </si>
  <si>
    <t xml:space="preserve">МАЗ 64226 + МАЗ 93802</t>
  </si>
  <si>
    <t xml:space="preserve"> МАЗ 54323-028 + МАЗ 9397</t>
  </si>
  <si>
    <t xml:space="preserve">КамАЗ 54112 + СЗАП 9905</t>
  </si>
  <si>
    <t xml:space="preserve">МАN F 2000 19.372 + Sоmmer SР 240</t>
  </si>
  <si>
    <t xml:space="preserve">VOLVO  FН12/420 + Коgel SN 24 Р 100</t>
  </si>
  <si>
    <t xml:space="preserve">Rеnault Рremium НR 385.18 + Sсhmitz Саrgobull SСО 24</t>
  </si>
  <si>
    <t xml:space="preserve">Меrсеdез-Веnz Асtrоs 1840 + Sсhmitz Саrgobull SСF 24G</t>
  </si>
  <si>
    <t xml:space="preserve">DАF ХF FТ 95.530 + Sоmmer SW 240</t>
  </si>
  <si>
    <t xml:space="preserve">Rеnault Magnum AE 430.26 +  Sсhmitz Саrgobull SСF 24G</t>
  </si>
  <si>
    <t xml:space="preserve">             Усього вантажних</t>
  </si>
  <si>
    <t xml:space="preserve">Автобуси</t>
  </si>
  <si>
    <t xml:space="preserve">Місткість, людей</t>
  </si>
  <si>
    <t xml:space="preserve">Vоlkswagen Тгаnsрогtеr</t>
  </si>
  <si>
    <t xml:space="preserve">ГАЗ 32213 "ГАЗ ель"</t>
  </si>
  <si>
    <t xml:space="preserve">Меrсеdеs-Веnz Sргіntеr 2** - 4**</t>
  </si>
  <si>
    <t xml:space="preserve">Іvеcо Daily  3512</t>
  </si>
  <si>
    <t xml:space="preserve">ЛАЗ 699</t>
  </si>
  <si>
    <t xml:space="preserve">Ikarus 256</t>
  </si>
  <si>
    <t xml:space="preserve">Neoplan N 117 Spaceliner</t>
  </si>
  <si>
    <t xml:space="preserve">Всього автобусів</t>
  </si>
  <si>
    <t xml:space="preserve">Всього</t>
  </si>
  <si>
    <t xml:space="preserve">де</t>
  </si>
  <si>
    <r>
      <rPr>
        <i val="true"/>
        <sz val="14"/>
        <rFont val="Times New Roman"/>
        <family val="1"/>
        <charset val="204"/>
      </rPr>
      <t xml:space="preserve">f</t>
    </r>
    <r>
      <rPr>
        <i val="true"/>
        <vertAlign val="subscript"/>
        <sz val="14"/>
        <rFont val="Times New Roman"/>
        <family val="1"/>
        <charset val="204"/>
      </rPr>
      <t xml:space="preserve">смуги</t>
    </r>
  </si>
  <si>
    <t xml:space="preserve">–</t>
  </si>
  <si>
    <t xml:space="preserve">коефіцієнт, що враховує кількість смуг руху та розподіл руху транспорту на них, визначається за таблицею 3.2;</t>
  </si>
  <si>
    <t xml:space="preserve">n</t>
  </si>
  <si>
    <t xml:space="preserve">загальна кількість марок транспортних засобів у складі транспортного потоку;</t>
  </si>
  <si>
    <r>
      <rPr>
        <i val="true"/>
        <sz val="14"/>
        <rFont val="Times New Roman"/>
        <family val="1"/>
        <charset val="204"/>
      </rPr>
      <t xml:space="preserve">N</t>
    </r>
    <r>
      <rPr>
        <i val="true"/>
        <vertAlign val="subscript"/>
        <sz val="14"/>
        <rFont val="Times New Roman"/>
        <family val="1"/>
        <charset val="204"/>
      </rPr>
      <t xml:space="preserve">m</t>
    </r>
  </si>
  <si>
    <r>
      <rPr>
        <sz val="14"/>
        <rFont val="Times New Roman"/>
        <family val="1"/>
        <charset val="204"/>
      </rPr>
      <t xml:space="preserve">кількість проїздів за добу в обох напрямках транспортних засобів </t>
    </r>
    <r>
      <rPr>
        <i val="true"/>
        <sz val="14"/>
        <rFont val="Times New Roman"/>
        <family val="1"/>
        <charset val="204"/>
      </rPr>
      <t xml:space="preserve">і</t>
    </r>
    <r>
      <rPr>
        <sz val="14"/>
        <rFont val="Times New Roman"/>
        <family val="1"/>
        <charset val="204"/>
      </rPr>
      <t xml:space="preserve">-ої марки;</t>
    </r>
  </si>
  <si>
    <r>
      <rPr>
        <i val="true"/>
        <sz val="14"/>
        <rFont val="Times New Roman"/>
        <family val="1"/>
        <charset val="204"/>
      </rPr>
      <t xml:space="preserve">S</t>
    </r>
    <r>
      <rPr>
        <i val="true"/>
        <vertAlign val="subscript"/>
        <sz val="14"/>
        <rFont val="Times New Roman"/>
        <family val="1"/>
        <charset val="204"/>
      </rPr>
      <t xml:space="preserve">m сум</t>
    </r>
  </si>
  <si>
    <r>
      <rPr>
        <sz val="14"/>
        <rFont val="Times New Roman"/>
        <family val="1"/>
        <charset val="204"/>
      </rPr>
      <t xml:space="preserve">сумарний коефіцієнт приведення дії на дорожній одяг тран-спортного засобу </t>
    </r>
    <r>
      <rPr>
        <i val="true"/>
        <sz val="14"/>
        <rFont val="Times New Roman"/>
        <family val="1"/>
        <charset val="204"/>
      </rPr>
      <t xml:space="preserve">і</t>
    </r>
    <r>
      <rPr>
        <sz val="14"/>
        <rFont val="Times New Roman"/>
        <family val="1"/>
        <charset val="204"/>
      </rPr>
      <t xml:space="preserve">-ої марки до розрахункового навантаження (</t>
    </r>
    <r>
      <rPr>
        <i val="true"/>
        <sz val="14"/>
        <rFont val="Times New Roman"/>
        <family val="1"/>
        <charset val="204"/>
      </rPr>
      <t xml:space="preserve">Q</t>
    </r>
    <r>
      <rPr>
        <i val="true"/>
        <vertAlign val="subscript"/>
        <sz val="14"/>
        <rFont val="Times New Roman"/>
        <family val="1"/>
        <charset val="204"/>
      </rPr>
      <t xml:space="preserve">розр</t>
    </r>
    <r>
      <rPr>
        <sz val="14"/>
        <rFont val="Times New Roman"/>
        <family val="1"/>
        <charset val="204"/>
      </rPr>
      <t xml:space="preserve">).</t>
    </r>
  </si>
  <si>
    <t xml:space="preserve">Дорожньо-кліматичний район</t>
  </si>
  <si>
    <t xml:space="preserve">У-І</t>
  </si>
  <si>
    <t xml:space="preserve">У-ІІ</t>
  </si>
  <si>
    <t xml:space="preserve">У-ІІІ</t>
  </si>
  <si>
    <t xml:space="preserve">У-IV</t>
  </si>
  <si>
    <t xml:space="preserve">Захід</t>
  </si>
  <si>
    <t xml:space="preserve">Південь</t>
  </si>
  <si>
    <r>
      <rPr>
        <sz val="14"/>
        <rFont val="Times New Roman"/>
        <family val="1"/>
        <charset val="204"/>
      </rPr>
      <t xml:space="preserve">Кількість розрахункових днів на рік (</t>
    </r>
    <r>
      <rPr>
        <i val="true"/>
        <sz val="14"/>
        <rFont val="Times New Roman"/>
        <family val="1"/>
        <charset val="204"/>
      </rPr>
      <t xml:space="preserve">Т</t>
    </r>
    <r>
      <rPr>
        <i val="true"/>
        <vertAlign val="subscript"/>
        <sz val="14"/>
        <rFont val="Times New Roman"/>
        <family val="1"/>
        <charset val="204"/>
      </rPr>
      <t xml:space="preserve">рдр</t>
    </r>
    <r>
      <rPr>
        <sz val="14"/>
        <rFont val="Times New Roman"/>
        <family val="1"/>
        <charset val="204"/>
      </rPr>
      <t xml:space="preserve">) </t>
    </r>
  </si>
  <si>
    <r>
      <rPr>
        <sz val="14"/>
        <rFont val="Times New Roman"/>
        <family val="1"/>
        <charset val="204"/>
      </rPr>
      <t xml:space="preserve">Значення коефіцієнта </t>
    </r>
    <r>
      <rPr>
        <i val="true"/>
        <sz val="14"/>
        <rFont val="Times New Roman"/>
        <family val="1"/>
        <charset val="204"/>
      </rPr>
      <t xml:space="preserve">К</t>
    </r>
    <r>
      <rPr>
        <i val="true"/>
        <vertAlign val="subscript"/>
        <sz val="14"/>
        <rFont val="Times New Roman"/>
        <family val="1"/>
        <charset val="204"/>
      </rPr>
      <t xml:space="preserve">n</t>
    </r>
    <r>
      <rPr>
        <sz val="14"/>
        <rFont val="Times New Roman"/>
        <family val="1"/>
        <charset val="204"/>
      </rPr>
      <t xml:space="preserve"> для різних категорій доріг</t>
    </r>
  </si>
  <si>
    <t xml:space="preserve">Полегшений</t>
  </si>
  <si>
    <t xml:space="preserve">Iа</t>
  </si>
  <si>
    <r>
      <rPr>
        <i val="true"/>
        <sz val="14"/>
        <rFont val="Times New Roman"/>
        <family val="1"/>
        <charset val="204"/>
      </rPr>
      <t xml:space="preserve">Т</t>
    </r>
    <r>
      <rPr>
        <i val="true"/>
        <vertAlign val="subscript"/>
        <sz val="14"/>
        <rFont val="Times New Roman"/>
        <family val="1"/>
        <charset val="204"/>
      </rPr>
      <t xml:space="preserve">сл</t>
    </r>
  </si>
  <si>
    <t xml:space="preserve">cтрок експлуатації дорожнього одягу, у роках за Табл. 3.5 </t>
  </si>
  <si>
    <t xml:space="preserve">q</t>
  </si>
  <si>
    <t xml:space="preserve">Показник змін інтенсивності руху по роках</t>
  </si>
  <si>
    <r>
      <rPr>
        <i val="true"/>
        <sz val="14"/>
        <rFont val="Times New Roman"/>
        <family val="1"/>
        <charset val="204"/>
      </rPr>
      <t xml:space="preserve">N</t>
    </r>
    <r>
      <rPr>
        <vertAlign val="subscript"/>
        <sz val="14"/>
        <rFont val="Times New Roman"/>
        <family val="1"/>
        <charset val="204"/>
      </rPr>
      <t xml:space="preserve">1</t>
    </r>
    <r>
      <rPr>
        <i val="true"/>
        <vertAlign val="subscript"/>
        <sz val="14"/>
        <rFont val="Times New Roman"/>
        <family val="1"/>
        <charset val="204"/>
      </rPr>
      <t xml:space="preserve">m</t>
    </r>
  </si>
  <si>
    <r>
      <rPr>
        <sz val="14"/>
        <rFont val="Times New Roman"/>
        <family val="1"/>
        <charset val="204"/>
      </rPr>
      <t xml:space="preserve">середньодобова інтенсивність руху в обох напрямках автомобілів </t>
    </r>
    <r>
      <rPr>
        <i val="true"/>
        <sz val="14"/>
        <rFont val="Times New Roman"/>
        <family val="1"/>
        <charset val="204"/>
      </rPr>
      <t xml:space="preserve">i</t>
    </r>
    <r>
      <rPr>
        <sz val="14"/>
        <rFont val="Times New Roman"/>
        <family val="1"/>
        <charset val="204"/>
      </rPr>
      <t xml:space="preserve">-ї марки в перший рік служби, один./д;</t>
    </r>
  </si>
  <si>
    <r>
      <rPr>
        <i val="true"/>
        <sz val="14"/>
        <rFont val="Times New Roman"/>
        <family val="1"/>
        <charset val="204"/>
      </rPr>
      <t xml:space="preserve">Т</t>
    </r>
    <r>
      <rPr>
        <i val="true"/>
        <vertAlign val="subscript"/>
        <sz val="14"/>
        <rFont val="Times New Roman"/>
        <family val="1"/>
        <charset val="204"/>
      </rPr>
      <t xml:space="preserve">рдр</t>
    </r>
  </si>
  <si>
    <t xml:space="preserve">Кількість розрахункових діб за рік, відповідно до стану деформативності конструкції, за таблицею 3.3;</t>
  </si>
  <si>
    <r>
      <rPr>
        <i val="true"/>
        <sz val="14"/>
        <rFont val="Times New Roman"/>
        <family val="1"/>
        <charset val="204"/>
      </rPr>
      <t xml:space="preserve">К</t>
    </r>
    <r>
      <rPr>
        <i val="true"/>
        <vertAlign val="subscript"/>
        <sz val="14"/>
        <rFont val="Times New Roman"/>
        <family val="1"/>
        <charset val="204"/>
      </rPr>
      <t xml:space="preserve">n</t>
    </r>
  </si>
  <si>
    <t xml:space="preserve">коефіцієнт, що враховує ймовірність відхилення сумарного руху від середнього, що очікується, за таблицею 3.4;</t>
  </si>
  <si>
    <r>
      <rPr>
        <i val="true"/>
        <sz val="14"/>
        <rFont val="Times New Roman"/>
        <family val="1"/>
        <charset val="204"/>
      </rPr>
      <t xml:space="preserve">К</t>
    </r>
    <r>
      <rPr>
        <i val="true"/>
        <vertAlign val="subscript"/>
        <sz val="14"/>
        <rFont val="Times New Roman"/>
        <family val="1"/>
        <charset val="204"/>
      </rPr>
      <t xml:space="preserve">с</t>
    </r>
  </si>
  <si>
    <t xml:space="preserve">коефіцієнт суми, що визначається за формулою:</t>
  </si>
  <si>
    <t xml:space="preserve">Сумарна кількість проїздів розрахункового навантаження за термін служби дорожнього одягу визначається за формулою:</t>
  </si>
  <si>
    <r>
      <rPr>
        <i val="true"/>
        <sz val="14"/>
        <color rgb="FF000000"/>
        <rFont val="Times New Roman"/>
        <family val="1"/>
        <charset val="204"/>
      </rPr>
      <t xml:space="preserve">Е</t>
    </r>
    <r>
      <rPr>
        <i val="true"/>
        <vertAlign val="subscript"/>
        <sz val="14"/>
        <color rgb="FF000000"/>
        <rFont val="Times New Roman"/>
        <family val="1"/>
        <charset val="204"/>
      </rPr>
      <t xml:space="preserve">потр</t>
    </r>
  </si>
  <si>
    <t xml:space="preserve">потрібний модуль пружності конструкції </t>
  </si>
  <si>
    <r>
      <rPr>
        <sz val="14"/>
        <color rgb="FF000000"/>
        <rFont val="Times New Roman"/>
        <family val="1"/>
        <charset val="204"/>
      </rPr>
      <t xml:space="preserve">Коефіцієнт запасу, </t>
    </r>
    <r>
      <rPr>
        <i val="true"/>
        <sz val="14"/>
        <color rgb="FF000000"/>
        <rFont val="Times New Roman"/>
        <family val="1"/>
        <charset val="204"/>
      </rPr>
      <t xml:space="preserve">К</t>
    </r>
    <r>
      <rPr>
        <i val="true"/>
        <vertAlign val="subscript"/>
        <sz val="14"/>
        <color rgb="FF000000"/>
        <rFont val="Times New Roman"/>
        <family val="1"/>
        <charset val="204"/>
      </rPr>
      <t xml:space="preserve">мц</t>
    </r>
    <r>
      <rPr>
        <sz val="14"/>
        <color rgb="FF000000"/>
        <rFont val="Times New Roman"/>
        <family val="1"/>
        <charset val="204"/>
      </rPr>
      <t xml:space="preserve">, за критерієм граничного стану</t>
    </r>
  </si>
  <si>
    <t xml:space="preserve">пружний прогин</t>
  </si>
  <si>
    <r>
      <rPr>
        <i val="true"/>
        <sz val="14"/>
        <color rgb="FF000000"/>
        <rFont val="Times New Roman"/>
        <family val="1"/>
        <charset val="204"/>
      </rPr>
      <t xml:space="preserve">Е</t>
    </r>
    <r>
      <rPr>
        <i val="true"/>
        <vertAlign val="subscript"/>
        <sz val="14"/>
        <color rgb="FF000000"/>
        <rFont val="Times New Roman"/>
        <family val="1"/>
        <charset val="204"/>
      </rPr>
      <t xml:space="preserve">заг</t>
    </r>
  </si>
  <si>
    <t xml:space="preserve">мінімальне значення загального модуля пружності конструкції з врахуванням коеф. запасу</t>
  </si>
  <si>
    <t xml:space="preserve">Розрахунок неоднорідності за критерієм згину</t>
  </si>
  <si>
    <r>
      <rPr>
        <i val="true"/>
        <sz val="14"/>
        <rFont val="Times New Roman"/>
        <family val="1"/>
        <charset val="204"/>
      </rPr>
      <t xml:space="preserve">h -  </t>
    </r>
    <r>
      <rPr>
        <sz val="14"/>
        <rFont val="Times New Roman"/>
        <family val="1"/>
        <charset val="204"/>
      </rPr>
      <t xml:space="preserve">загальна товщина пакету монолітних шарів дорожнього одягу, </t>
    </r>
  </si>
  <si>
    <r>
      <rPr>
        <i val="true"/>
        <sz val="14"/>
        <rFont val="Times New Roman"/>
        <family val="1"/>
        <charset val="204"/>
      </rPr>
      <t xml:space="preserve">с</t>
    </r>
    <r>
      <rPr>
        <i val="true"/>
        <vertAlign val="subscript"/>
        <sz val="14"/>
        <rFont val="Times New Roman"/>
        <family val="1"/>
        <charset val="204"/>
      </rPr>
      <t xml:space="preserve">h </t>
    </r>
    <r>
      <rPr>
        <i val="true"/>
        <sz val="14"/>
        <rFont val="Times New Roman"/>
        <family val="1"/>
        <charset val="204"/>
      </rPr>
      <t xml:space="preserve">-</t>
    </r>
    <r>
      <rPr>
        <sz val="14"/>
        <rFont val="Times New Roman"/>
        <family val="1"/>
        <charset val="204"/>
      </rPr>
      <t xml:space="preserve">  коефіцієнт варіації товщини дорожнього одягу,</t>
    </r>
  </si>
  <si>
    <r>
      <rPr>
        <i val="true"/>
        <sz val="14"/>
        <rFont val="Times New Roman"/>
        <family val="1"/>
        <charset val="204"/>
      </rPr>
      <t xml:space="preserve">D</t>
    </r>
    <r>
      <rPr>
        <sz val="14"/>
        <rFont val="Times New Roman"/>
        <family val="1"/>
        <charset val="204"/>
      </rPr>
      <t xml:space="preserve"> – діаметр відбитку колеса;</t>
    </r>
  </si>
  <si>
    <r>
      <rPr>
        <i val="true"/>
        <sz val="14"/>
        <rFont val="Times New Roman"/>
        <family val="1"/>
        <charset val="204"/>
      </rPr>
      <t xml:space="preserve">с</t>
    </r>
    <r>
      <rPr>
        <vertAlign val="subscript"/>
        <sz val="14"/>
        <rFont val="Times New Roman"/>
        <family val="1"/>
        <charset val="204"/>
      </rPr>
      <t xml:space="preserve">D </t>
    </r>
    <r>
      <rPr>
        <sz val="14"/>
        <rFont val="Times New Roman"/>
        <family val="1"/>
        <charset val="204"/>
      </rPr>
      <t xml:space="preserve">- коефіцієнт варіації діаметру відбитку колеса;</t>
    </r>
  </si>
  <si>
    <r>
      <rPr>
        <i val="true"/>
        <sz val="14"/>
        <rFont val="Times New Roman"/>
        <family val="1"/>
        <charset val="204"/>
      </rPr>
      <t xml:space="preserve">p</t>
    </r>
    <r>
      <rPr>
        <sz val="14"/>
        <rFont val="Times New Roman"/>
        <family val="1"/>
        <charset val="204"/>
      </rPr>
      <t xml:space="preserve"> – інтенсивність дії розрахункового навантаження. </t>
    </r>
  </si>
  <si>
    <r>
      <rPr>
        <i val="true"/>
        <sz val="14"/>
        <rFont val="Times New Roman"/>
        <family val="1"/>
        <charset val="204"/>
      </rPr>
      <t xml:space="preserve">с</t>
    </r>
    <r>
      <rPr>
        <vertAlign val="subscript"/>
        <sz val="14"/>
        <rFont val="Times New Roman"/>
        <family val="1"/>
        <charset val="204"/>
      </rPr>
      <t xml:space="preserve">h </t>
    </r>
    <r>
      <rPr>
        <sz val="14"/>
        <rFont val="Times New Roman"/>
        <family val="1"/>
        <charset val="204"/>
      </rPr>
      <t xml:space="preserve">-  коефіцієнт варіації товщини монолітних шарів покриття;</t>
    </r>
  </si>
  <si>
    <r>
      <rPr>
        <i val="true"/>
        <sz val="14"/>
        <rFont val="Times New Roman"/>
        <family val="1"/>
        <charset val="204"/>
      </rPr>
      <t xml:space="preserve">с</t>
    </r>
    <r>
      <rPr>
        <i val="true"/>
        <vertAlign val="subscript"/>
        <sz val="14"/>
        <rFont val="Times New Roman"/>
        <family val="1"/>
        <charset val="204"/>
      </rPr>
      <t xml:space="preserve">1</t>
    </r>
    <r>
      <rPr>
        <sz val="14"/>
        <rFont val="Times New Roman"/>
        <family val="1"/>
        <charset val="204"/>
      </rPr>
      <t xml:space="preserve"> - коефіцієнт варіації середнього модуля пружності пакету монолітних шарів;</t>
    </r>
  </si>
  <si>
    <r>
      <rPr>
        <i val="true"/>
        <sz val="14"/>
        <rFont val="Times New Roman"/>
        <family val="1"/>
        <charset val="204"/>
      </rPr>
      <t xml:space="preserve">с</t>
    </r>
    <r>
      <rPr>
        <i val="true"/>
        <vertAlign val="subscript"/>
        <sz val="14"/>
        <rFont val="Times New Roman"/>
        <family val="1"/>
        <charset val="204"/>
      </rPr>
      <t xml:space="preserve">2 </t>
    </r>
    <r>
      <rPr>
        <sz val="14"/>
        <rFont val="Times New Roman"/>
        <family val="1"/>
        <charset val="204"/>
      </rPr>
      <t xml:space="preserve">- коефіцієнт варіації модуля пружності основи під покриттям;</t>
    </r>
  </si>
  <si>
    <r>
      <rPr>
        <i val="true"/>
        <sz val="14"/>
        <rFont val="Times New Roman"/>
        <family val="1"/>
        <charset val="204"/>
      </rPr>
      <t xml:space="preserve">Kg</t>
    </r>
    <r>
      <rPr>
        <sz val="14"/>
        <rFont val="Times New Roman"/>
        <family val="1"/>
        <charset val="204"/>
      </rPr>
      <t xml:space="preserve"> – коефіцієнт, який враховує кількість коліс;</t>
    </r>
  </si>
  <si>
    <r>
      <rPr>
        <i val="true"/>
        <sz val="14"/>
        <rFont val="Symbol"/>
        <family val="1"/>
        <charset val="2"/>
      </rPr>
      <t xml:space="preserve">m</t>
    </r>
    <r>
      <rPr>
        <i val="true"/>
        <vertAlign val="subscript"/>
        <sz val="14"/>
        <rFont val="Times New Roman"/>
        <family val="1"/>
        <charset val="204"/>
      </rPr>
      <t xml:space="preserve">1</t>
    </r>
    <r>
      <rPr>
        <sz val="14"/>
        <rFont val="Times New Roman"/>
        <family val="1"/>
        <charset val="204"/>
      </rPr>
      <t xml:space="preserve"> – коефіцієнт Пуассона матеріалу покриття;</t>
    </r>
  </si>
  <si>
    <r>
      <rPr>
        <i val="true"/>
        <sz val="14"/>
        <rFont val="Symbol"/>
        <family val="1"/>
        <charset val="2"/>
      </rPr>
      <t xml:space="preserve">s</t>
    </r>
    <r>
      <rPr>
        <i val="true"/>
        <vertAlign val="subscript"/>
        <sz val="14"/>
        <rFont val="Times New Roman"/>
        <family val="1"/>
        <charset val="204"/>
      </rPr>
      <t xml:space="preserve">r</t>
    </r>
    <r>
      <rPr>
        <sz val="14"/>
        <rFont val="Times New Roman"/>
        <family val="1"/>
        <charset val="204"/>
      </rPr>
      <t xml:space="preserve"> – середнє значення напруження розтягу при згині пакету монолітних шарів.</t>
    </r>
  </si>
  <si>
    <t xml:space="preserve">Коефіцієнт варіації загального модуля пружності приймається </t>
  </si>
  <si>
    <t xml:space="preserve">Категорія</t>
  </si>
  <si>
    <t xml:space="preserve">СЕзаг=0,12 для доріг Iа категорії, СЕзаг=0,10 для доріг Iб - II категорії, </t>
  </si>
  <si>
    <t xml:space="preserve">СЕзаг=0,07 для доріг </t>
  </si>
  <si>
    <r>
      <rPr>
        <i val="true"/>
        <sz val="14"/>
        <rFont val="Times New Roman"/>
        <family val="1"/>
        <charset val="204"/>
      </rPr>
      <t xml:space="preserve">С</t>
    </r>
    <r>
      <rPr>
        <i val="true"/>
        <sz val="14"/>
        <rFont val="Symbol"/>
        <family val="1"/>
        <charset val="2"/>
      </rPr>
      <t xml:space="preserve">s</t>
    </r>
    <r>
      <rPr>
        <i val="true"/>
        <vertAlign val="subscript"/>
        <sz val="14"/>
        <rFont val="Times New Roman"/>
        <family val="1"/>
        <charset val="204"/>
      </rPr>
      <t xml:space="preserve">r</t>
    </r>
    <r>
      <rPr>
        <sz val="14"/>
        <rFont val="Times New Roman"/>
        <family val="1"/>
        <charset val="204"/>
      </rPr>
      <t xml:space="preserve"> – коефіцієнт варіації напруження розтягу при згині пакету монолітних шарів.</t>
    </r>
  </si>
  <si>
    <t xml:space="preserve">Таблиця В.4</t>
  </si>
  <si>
    <t xml:space="preserve">β</t>
  </si>
  <si>
    <t xml:space="preserve">Надій-ність, H</t>
  </si>
  <si>
    <t xml:space="preserve">Програма розрахунку міцності та надйності КДО</t>
  </si>
  <si>
    <t xml:space="preserve">Автор - Гамеляк І.П.</t>
  </si>
  <si>
    <t xml:space="preserve">змінні парметри</t>
  </si>
  <si>
    <t xml:space="preserve">результати</t>
  </si>
  <si>
    <t xml:space="preserve">Задана надійність</t>
  </si>
  <si>
    <t xml:space="preserve">Вхідні дані</t>
  </si>
  <si>
    <t xml:space="preserve">Заданий нормований термін служби</t>
  </si>
  <si>
    <t xml:space="preserve">роки</t>
  </si>
  <si>
    <r>
      <rPr>
        <sz val="12"/>
        <rFont val="Arial Cyr"/>
        <family val="2"/>
        <charset val="204"/>
      </rPr>
      <t xml:space="preserve">Т</t>
    </r>
    <r>
      <rPr>
        <vertAlign val="subscript"/>
        <sz val="12"/>
        <rFont val="Arial Cyr"/>
        <family val="2"/>
        <charset val="204"/>
      </rPr>
      <t xml:space="preserve">сл</t>
    </r>
  </si>
  <si>
    <t xml:space="preserve">Питомий тиск </t>
  </si>
  <si>
    <t xml:space="preserve">МПа</t>
  </si>
  <si>
    <t xml:space="preserve">p</t>
  </si>
  <si>
    <t xml:space="preserve">Діаметр відбитку</t>
  </si>
  <si>
    <t xml:space="preserve">см</t>
  </si>
  <si>
    <t xml:space="preserve">D</t>
  </si>
  <si>
    <t xml:space="preserve">Модуль грунта ЗП </t>
  </si>
  <si>
    <r>
      <rPr>
        <sz val="12"/>
        <rFont val="Arial Cyr"/>
        <family val="2"/>
        <charset val="204"/>
      </rPr>
      <t xml:space="preserve">Е</t>
    </r>
    <r>
      <rPr>
        <vertAlign val="subscript"/>
        <sz val="12"/>
        <rFont val="Arial Cyr"/>
        <family val="2"/>
        <charset val="204"/>
      </rPr>
      <t xml:space="preserve">0</t>
    </r>
  </si>
  <si>
    <t xml:space="preserve">Коеф. приросту інтенсивність руху</t>
  </si>
  <si>
    <t xml:space="preserve">Приведена добова інтенсивність руху на початку/ накінець строку служби</t>
  </si>
  <si>
    <t xml:space="preserve">од/добу</t>
  </si>
  <si>
    <t xml:space="preserve">Коеф. сумування</t>
  </si>
  <si>
    <r>
      <rPr>
        <sz val="12"/>
        <rFont val="Arial Cyr"/>
        <family val="2"/>
        <charset val="204"/>
      </rPr>
      <t xml:space="preserve">К</t>
    </r>
    <r>
      <rPr>
        <vertAlign val="subscript"/>
        <sz val="12"/>
        <rFont val="Arial Cyr"/>
        <family val="2"/>
        <charset val="204"/>
      </rPr>
      <t xml:space="preserve">с</t>
    </r>
  </si>
  <si>
    <t xml:space="preserve">-</t>
  </si>
  <si>
    <t xml:space="preserve">Коеф. відхилення від прогнозної ін-ті</t>
  </si>
  <si>
    <r>
      <rPr>
        <sz val="12"/>
        <rFont val="Arial Cyr"/>
        <family val="2"/>
        <charset val="204"/>
      </rPr>
      <t xml:space="preserve">k</t>
    </r>
    <r>
      <rPr>
        <vertAlign val="subscript"/>
        <sz val="12"/>
        <rFont val="Arial Cyr"/>
        <family val="2"/>
        <charset val="204"/>
      </rPr>
      <t xml:space="preserve">П</t>
    </r>
  </si>
  <si>
    <t xml:space="preserve">Розрахункова кількість днів у році</t>
  </si>
  <si>
    <r>
      <rPr>
        <sz val="12"/>
        <rFont val="Arial Cyr"/>
        <family val="2"/>
        <charset val="204"/>
      </rPr>
      <t xml:space="preserve">Т</t>
    </r>
    <r>
      <rPr>
        <vertAlign val="subscript"/>
        <sz val="12"/>
        <rFont val="Arial Cyr"/>
        <family val="2"/>
        <charset val="204"/>
      </rPr>
      <t xml:space="preserve">р</t>
    </r>
  </si>
  <si>
    <t xml:space="preserve">Коеф. при спарених балонах  = 0,85, при однобалонному колесi =1.0</t>
  </si>
  <si>
    <t xml:space="preserve">Розрахунок</t>
  </si>
  <si>
    <t xml:space="preserve">Точність розрахунку</t>
  </si>
  <si>
    <t xml:space="preserve">Загальна товщина</t>
  </si>
  <si>
    <r>
      <rPr>
        <sz val="12"/>
        <rFont val="Arial Cyr"/>
        <family val="2"/>
        <charset val="204"/>
      </rPr>
      <t xml:space="preserve">h</t>
    </r>
    <r>
      <rPr>
        <vertAlign val="subscript"/>
        <sz val="12"/>
        <rFont val="Arial Cyr"/>
        <family val="2"/>
        <charset val="204"/>
      </rPr>
      <t xml:space="preserve">сум</t>
    </r>
  </si>
  <si>
    <t xml:space="preserve">Товщина асфальтобетону</t>
  </si>
  <si>
    <r>
      <rPr>
        <sz val="12"/>
        <rFont val="Arial Cyr"/>
        <family val="2"/>
        <charset val="204"/>
      </rPr>
      <t xml:space="preserve">h</t>
    </r>
    <r>
      <rPr>
        <vertAlign val="subscript"/>
        <sz val="12"/>
        <rFont val="Arial Cyr"/>
        <family val="2"/>
        <charset val="204"/>
      </rPr>
      <t xml:space="preserve">аб</t>
    </r>
  </si>
  <si>
    <t xml:space="preserve">Приведення до двохшарової системи</t>
  </si>
  <si>
    <t xml:space="preserve">Згин</t>
  </si>
  <si>
    <t xml:space="preserve">Прогин</t>
  </si>
  <si>
    <t xml:space="preserve">Зсув</t>
  </si>
  <si>
    <t xml:space="preserve">Середній модуль пакету шарів</t>
  </si>
  <si>
    <r>
      <rPr>
        <sz val="12"/>
        <rFont val="Arial Cyr"/>
        <family val="2"/>
        <charset val="204"/>
      </rPr>
      <t xml:space="preserve">Е</t>
    </r>
    <r>
      <rPr>
        <vertAlign val="subscript"/>
        <sz val="12"/>
        <rFont val="Arial Cyr"/>
        <family val="2"/>
        <charset val="204"/>
      </rPr>
      <t xml:space="preserve">ср</t>
    </r>
  </si>
  <si>
    <t xml:space="preserve">Приведений модуль під покриттям</t>
  </si>
  <si>
    <t xml:space="preserve">Відношення E1/E2</t>
  </si>
  <si>
    <t xml:space="preserve">Відношення h/D</t>
  </si>
  <si>
    <t xml:space="preserve">Cумарна інтенсивність руху</t>
  </si>
  <si>
    <t xml:space="preserve">од за термін служби</t>
  </si>
  <si>
    <t xml:space="preserve">Результати розрахунку за критерієм загального модуля пружності</t>
  </si>
  <si>
    <t xml:space="preserve">Потрібний модуль пружності</t>
  </si>
  <si>
    <r>
      <rPr>
        <sz val="12"/>
        <rFont val="Arial Cyr"/>
        <family val="2"/>
        <charset val="204"/>
      </rPr>
      <t xml:space="preserve">Ет</t>
    </r>
    <r>
      <rPr>
        <vertAlign val="subscript"/>
        <sz val="12"/>
        <rFont val="Arial Cyr"/>
        <family val="2"/>
        <charset val="204"/>
      </rPr>
      <t xml:space="preserve">р</t>
    </r>
  </si>
  <si>
    <t xml:space="preserve">Загальний модуль пружності</t>
  </si>
  <si>
    <t xml:space="preserve">Езаг</t>
  </si>
  <si>
    <t xml:space="preserve">Коеф. запасу</t>
  </si>
  <si>
    <t xml:space="preserve">Зсув у грунті</t>
  </si>
  <si>
    <t xml:space="preserve">ВСН</t>
  </si>
  <si>
    <t xml:space="preserve">ОНД</t>
  </si>
  <si>
    <t xml:space="preserve">Активне напруження зсуву від тимчасового навантаження за формулою Б.С.Радовського </t>
  </si>
  <si>
    <t xml:space="preserve">Розрахунок напруження зсуву від власної ваги</t>
  </si>
  <si>
    <t xml:space="preserve">Розрахунок повного активного напруження зсуву від тимчасового навантаження та власної ваги</t>
  </si>
  <si>
    <t xml:space="preserve">Коефіцієнти </t>
  </si>
  <si>
    <t xml:space="preserve">k1=</t>
  </si>
  <si>
    <t xml:space="preserve">k2=</t>
  </si>
  <si>
    <t xml:space="preserve">k3=</t>
  </si>
  <si>
    <t xml:space="preserve">Граничне активне напруження зсуву в грунті робочого шару визначається за формулою</t>
  </si>
  <si>
    <t xml:space="preserve">Розрахунок  коефіцієнту запасу міцності по ВСН </t>
  </si>
  <si>
    <t xml:space="preserve">Розрахунок монолітних шарів на розтяг при згині</t>
  </si>
  <si>
    <t xml:space="preserve">За табл ВСН 46-83 шляхом інтерполяції знаходимо</t>
  </si>
  <si>
    <t xml:space="preserve">Е1/Е2</t>
  </si>
  <si>
    <t xml:space="preserve">(Для визначення напруження треба змінювати межі)</t>
  </si>
  <si>
    <t xml:space="preserve">Напруження розтягу при згині за інтерполяцією</t>
  </si>
  <si>
    <t xml:space="preserve">Середні розтягуючі напруження за формулою П.І.Теляєва</t>
  </si>
  <si>
    <t xml:space="preserve">Розрахункове розтягуюче напруження за формулою П.І.Теляєва</t>
  </si>
  <si>
    <t xml:space="preserve">За даними т а б л и ц і  Д.3.1 характеристики для розрахунку на згин</t>
  </si>
  <si>
    <t xml:space="preserve">Rлаб – лабораторне значення границі міцності на розтяг при згині при однократному прикладанні навантаження (приймається за таблицею Д.3.1), МПа</t>
  </si>
  <si>
    <t xml:space="preserve">Показник втоми т</t>
  </si>
  <si>
    <t xml:space="preserve">m – показник втоми (приймається за таблицею Д.3.1);</t>
  </si>
  <si>
    <t xml:space="preserve">Допустима інтенсивність руху</t>
  </si>
  <si>
    <t xml:space="preserve">kпр – коефіцієнт, що враховує вплив повторних навантажень в нерозрахунковий період (приймається за таблицею Д.3.1)</t>
  </si>
  <si>
    <t xml:space="preserve">Коефіцієнт варіації, СR</t>
  </si>
  <si>
    <t xml:space="preserve">km – коефіцієнт, що враховує зниження міцності в часі від дії погодно-кліматичних умов (табл. 3.11)</t>
  </si>
  <si>
    <t xml:space="preserve">kТ – коефіцієнт, що враховує зниження міцності матеріалу в конструкції в результаті температуро-усадочних впливів (табл. 3.12)</t>
  </si>
  <si>
    <t xml:space="preserve">Міцність матеріалу монолітного при багатократному розтягу при згині </t>
  </si>
  <si>
    <t xml:space="preserve">Розрахунок за формулою</t>
  </si>
  <si>
    <t xml:space="preserve">Е. Барбера</t>
  </si>
  <si>
    <t xml:space="preserve">Проект 2004</t>
  </si>
  <si>
    <t xml:space="preserve">М.Б. Корсунського</t>
  </si>
  <si>
    <t xml:space="preserve">ВСН 46-83</t>
  </si>
  <si>
    <t xml:space="preserve">М.М. Іванова</t>
  </si>
  <si>
    <t xml:space="preserve">№ шару</t>
  </si>
  <si>
    <t xml:space="preserve">hi</t>
  </si>
  <si>
    <r>
      <rPr>
        <sz val="12"/>
        <rFont val="Arial Cyr"/>
        <family val="2"/>
        <charset val="204"/>
      </rPr>
      <t xml:space="preserve">C</t>
    </r>
    <r>
      <rPr>
        <vertAlign val="subscript"/>
        <sz val="12"/>
        <rFont val="Arial Cyr"/>
        <family val="2"/>
        <charset val="204"/>
      </rPr>
      <t xml:space="preserve">hi</t>
    </r>
  </si>
  <si>
    <r>
      <rPr>
        <sz val="12"/>
        <rFont val="Arial Cyr"/>
        <family val="2"/>
        <charset val="204"/>
      </rPr>
      <t xml:space="preserve">C</t>
    </r>
    <r>
      <rPr>
        <vertAlign val="subscript"/>
        <sz val="12"/>
        <rFont val="Arial Cyr"/>
        <family val="2"/>
        <charset val="204"/>
      </rPr>
      <t xml:space="preserve">hi* hi</t>
    </r>
  </si>
  <si>
    <r>
      <rPr>
        <sz val="12"/>
        <rFont val="Arial Cyr"/>
        <family val="2"/>
        <charset val="204"/>
      </rPr>
      <t xml:space="preserve">Езгин</t>
    </r>
    <r>
      <rPr>
        <vertAlign val="subscript"/>
        <sz val="12"/>
        <rFont val="Arial Cyr"/>
        <family val="2"/>
        <charset val="204"/>
      </rPr>
      <t xml:space="preserve">1</t>
    </r>
  </si>
  <si>
    <r>
      <rPr>
        <sz val="12"/>
        <rFont val="Arial Cyr"/>
        <family val="2"/>
        <charset val="204"/>
      </rPr>
      <t xml:space="preserve">Е</t>
    </r>
    <r>
      <rPr>
        <vertAlign val="subscript"/>
        <sz val="12"/>
        <rFont val="Arial Cyr"/>
        <family val="2"/>
        <charset val="204"/>
      </rPr>
      <t xml:space="preserve">1</t>
    </r>
  </si>
  <si>
    <r>
      <rPr>
        <sz val="12"/>
        <rFont val="Arial Cyr"/>
        <family val="2"/>
        <charset val="204"/>
      </rPr>
      <t xml:space="preserve">Езсув</t>
    </r>
    <r>
      <rPr>
        <vertAlign val="subscript"/>
        <sz val="12"/>
        <rFont val="Arial Cyr"/>
        <family val="2"/>
        <charset val="204"/>
      </rPr>
      <t xml:space="preserve">1</t>
    </r>
  </si>
  <si>
    <r>
      <rPr>
        <sz val="12"/>
        <rFont val="Arial Cyr"/>
        <family val="2"/>
        <charset val="204"/>
      </rPr>
      <t xml:space="preserve">СЕзсув</t>
    </r>
    <r>
      <rPr>
        <vertAlign val="subscript"/>
        <sz val="12"/>
        <rFont val="Arial Cyr"/>
        <family val="2"/>
        <charset val="204"/>
      </rPr>
      <t xml:space="preserve">1</t>
    </r>
  </si>
  <si>
    <r>
      <rPr>
        <sz val="12"/>
        <rFont val="Arial Cyr"/>
        <family val="2"/>
        <charset val="204"/>
      </rPr>
      <t xml:space="preserve">СЕ</t>
    </r>
    <r>
      <rPr>
        <vertAlign val="subscript"/>
        <sz val="12"/>
        <rFont val="Arial Cyr"/>
        <family val="2"/>
        <charset val="204"/>
      </rPr>
      <t xml:space="preserve">1</t>
    </r>
  </si>
  <si>
    <r>
      <rPr>
        <sz val="12"/>
        <rFont val="Arial Cyr"/>
        <family val="2"/>
        <charset val="204"/>
      </rPr>
      <t xml:space="preserve">Е</t>
    </r>
    <r>
      <rPr>
        <vertAlign val="subscript"/>
        <sz val="12"/>
        <rFont val="Arial Cyr"/>
        <family val="2"/>
        <charset val="204"/>
      </rPr>
      <t xml:space="preserve">iзгин*hi</t>
    </r>
  </si>
  <si>
    <r>
      <rPr>
        <sz val="12"/>
        <rFont val="Arial Cyr"/>
        <family val="2"/>
        <charset val="204"/>
      </rPr>
      <t xml:space="preserve">Е</t>
    </r>
    <r>
      <rPr>
        <vertAlign val="subscript"/>
        <sz val="12"/>
        <rFont val="Arial Cyr"/>
        <family val="2"/>
        <charset val="204"/>
      </rPr>
      <t xml:space="preserve">i*hi</t>
    </r>
  </si>
  <si>
    <r>
      <rPr>
        <sz val="12"/>
        <rFont val="Arial Cyr"/>
        <family val="2"/>
        <charset val="204"/>
      </rPr>
      <t xml:space="preserve">Е</t>
    </r>
    <r>
      <rPr>
        <vertAlign val="subscript"/>
        <sz val="12"/>
        <rFont val="Arial Cyr"/>
        <family val="2"/>
        <charset val="204"/>
      </rPr>
      <t xml:space="preserve">iзсув*hi</t>
    </r>
  </si>
  <si>
    <r>
      <rPr>
        <sz val="12"/>
        <rFont val="Arial Cyr"/>
        <family val="2"/>
        <charset val="204"/>
      </rPr>
      <t xml:space="preserve">Згин Е</t>
    </r>
    <r>
      <rPr>
        <vertAlign val="subscript"/>
        <sz val="12"/>
        <rFont val="Arial Cyr"/>
        <family val="2"/>
        <charset val="204"/>
      </rPr>
      <t xml:space="preserve">i*hi * (Chi + СЕ1)</t>
    </r>
  </si>
  <si>
    <r>
      <rPr>
        <sz val="12"/>
        <rFont val="Arial Cyr"/>
        <family val="2"/>
        <charset val="204"/>
      </rPr>
      <t xml:space="preserve">Е</t>
    </r>
    <r>
      <rPr>
        <vertAlign val="subscript"/>
        <sz val="12"/>
        <rFont val="Arial Cyr"/>
        <family val="2"/>
        <charset val="204"/>
      </rPr>
      <t xml:space="preserve">i*hi * (Chi + СЕ1)</t>
    </r>
  </si>
  <si>
    <r>
      <rPr>
        <sz val="12"/>
        <rFont val="Arial Cyr"/>
        <family val="2"/>
        <charset val="204"/>
      </rPr>
      <t xml:space="preserve">Зсув Е</t>
    </r>
    <r>
      <rPr>
        <vertAlign val="subscript"/>
        <sz val="12"/>
        <rFont val="Arial Cyr"/>
        <family val="2"/>
        <charset val="204"/>
      </rPr>
      <t xml:space="preserve">i*hi * (Chi + СЕ1)</t>
    </r>
  </si>
  <si>
    <t xml:space="preserve">Е1 / Е0</t>
  </si>
  <si>
    <t xml:space="preserve">G</t>
  </si>
  <si>
    <r>
      <rPr>
        <sz val="12"/>
        <rFont val="Arial Cyr"/>
        <family val="2"/>
        <charset val="204"/>
      </rPr>
      <t xml:space="preserve">Е</t>
    </r>
    <r>
      <rPr>
        <vertAlign val="subscript"/>
        <sz val="12"/>
        <rFont val="Arial Cyr"/>
        <family val="2"/>
        <charset val="204"/>
      </rPr>
      <t xml:space="preserve">заг1</t>
    </r>
  </si>
  <si>
    <r>
      <rPr>
        <sz val="12"/>
        <rFont val="Arial Cyr"/>
        <family val="2"/>
        <charset val="204"/>
      </rPr>
      <t xml:space="preserve">Е</t>
    </r>
    <r>
      <rPr>
        <vertAlign val="subscript"/>
        <sz val="12"/>
        <rFont val="Arial Cyr"/>
        <family val="2"/>
        <charset val="204"/>
      </rPr>
      <t xml:space="preserve">заг2</t>
    </r>
  </si>
  <si>
    <r>
      <rPr>
        <sz val="12"/>
        <rFont val="Arial Cyr"/>
        <family val="2"/>
        <charset val="204"/>
      </rPr>
      <t xml:space="preserve">Е</t>
    </r>
    <r>
      <rPr>
        <vertAlign val="subscript"/>
        <sz val="12"/>
        <rFont val="Arial Cyr"/>
        <family val="2"/>
        <charset val="204"/>
      </rPr>
      <t xml:space="preserve">екв</t>
    </r>
  </si>
  <si>
    <r>
      <rPr>
        <sz val="12"/>
        <rFont val="Arial Cyr"/>
        <family val="2"/>
        <charset val="204"/>
      </rPr>
      <t xml:space="preserve">Е</t>
    </r>
    <r>
      <rPr>
        <vertAlign val="subscript"/>
        <sz val="12"/>
        <rFont val="Arial Cyr"/>
        <family val="2"/>
        <charset val="204"/>
      </rPr>
      <t xml:space="preserve">екв Іванов</t>
    </r>
  </si>
  <si>
    <t xml:space="preserve">delta</t>
  </si>
  <si>
    <t xml:space="preserve">delta 5%</t>
  </si>
  <si>
    <t xml:space="preserve">Відношення</t>
  </si>
  <si>
    <t xml:space="preserve">Грунт </t>
  </si>
  <si>
    <t xml:space="preserve">Сума</t>
  </si>
  <si>
    <t xml:space="preserve">Характеристики грунту земполотна</t>
  </si>
  <si>
    <t xml:space="preserve">Кут внутрішнього тертя</t>
  </si>
  <si>
    <t xml:space="preserve">Fi</t>
  </si>
  <si>
    <t xml:space="preserve">Коефіцієнт варіації кута внутрішнього тертя, Сφ</t>
  </si>
  <si>
    <t xml:space="preserve">Зчеплення</t>
  </si>
  <si>
    <t xml:space="preserve">c</t>
  </si>
  <si>
    <t xml:space="preserve">Коефіцієнт варіації зчеплення, Сс</t>
  </si>
  <si>
    <t xml:space="preserve">Сума квадаратів товщин</t>
  </si>
  <si>
    <t xml:space="preserve">Покриття</t>
  </si>
  <si>
    <t xml:space="preserve">Низ під АБ</t>
  </si>
  <si>
    <t xml:space="preserve">Розрахунок неоднорідності</t>
  </si>
  <si>
    <t xml:space="preserve">Аh= </t>
  </si>
  <si>
    <t xml:space="preserve">Bh = </t>
  </si>
  <si>
    <t xml:space="preserve">АЕ=</t>
  </si>
  <si>
    <t xml:space="preserve"> BЕ =</t>
  </si>
  <si>
    <t xml:space="preserve">Коеф. варіації товщини, Сh</t>
  </si>
  <si>
    <t xml:space="preserve">Коеф. варіації діаметру, CD</t>
  </si>
  <si>
    <t xml:space="preserve">Коеф. варіації СЕ1 модуля пружності пакету шарів дорожнього одягу</t>
  </si>
  <si>
    <t xml:space="preserve">Коеф. варіації СЕ2 модуля пружності грунту</t>
  </si>
  <si>
    <t xml:space="preserve">0,0565 + 0,065*LN(Egr)</t>
  </si>
  <si>
    <t xml:space="preserve">Розрахункові значення коефіцієнта варіації модуля приведених шарів СЕ2 під асфальтобетоном або модуля грунта</t>
  </si>
  <si>
    <t xml:space="preserve">СЕгр=СЕгрЛаб·Кd=СЕгрЛаб·(1/(1+2h/D))</t>
  </si>
  <si>
    <t xml:space="preserve">Розрах. коефіцієнт варіації кута внутрішнього тертя, Сφ</t>
  </si>
  <si>
    <t xml:space="preserve">Розрах. коефіцієнт варіації зчеплення, Сс</t>
  </si>
  <si>
    <t xml:space="preserve">Міцність</t>
  </si>
  <si>
    <t xml:space="preserve">Rзг</t>
  </si>
  <si>
    <t xml:space="preserve">Тгран</t>
  </si>
  <si>
    <t xml:space="preserve">Напруження</t>
  </si>
  <si>
    <t xml:space="preserve">Sigm</t>
  </si>
  <si>
    <t xml:space="preserve">Епотр</t>
  </si>
  <si>
    <t xml:space="preserve">ТауАкт</t>
  </si>
  <si>
    <t xml:space="preserve">Запас міцності</t>
  </si>
  <si>
    <t xml:space="preserve">Коефіцієнт варіації міцності С1</t>
  </si>
  <si>
    <t xml:space="preserve">Сr - міцності на розтяг при згині</t>
  </si>
  <si>
    <t xml:space="preserve">CЕ - загального модуля пружності </t>
  </si>
  <si>
    <t xml:space="preserve">Cc - міцності при зчепленні</t>
  </si>
  <si>
    <t xml:space="preserve">Csigm - напруження розтягу при згині</t>
  </si>
  <si>
    <t xml:space="preserve">СЕтр - потрібного модуля пружності</t>
  </si>
  <si>
    <t xml:space="preserve">Ctau - напруження зсуву</t>
  </si>
  <si>
    <r>
      <rPr>
        <i val="true"/>
        <sz val="14"/>
        <rFont val="Times New Roman"/>
        <family val="1"/>
        <charset val="204"/>
      </rPr>
      <t xml:space="preserve">K</t>
    </r>
    <r>
      <rPr>
        <sz val="14"/>
        <rFont val="Times New Roman"/>
        <family val="1"/>
        <charset val="204"/>
      </rPr>
      <t xml:space="preserve"> – коефіцієнт</t>
    </r>
  </si>
  <si>
    <r>
      <rPr>
        <i val="true"/>
        <sz val="14"/>
        <rFont val="Symbol"/>
        <family val="1"/>
        <charset val="2"/>
      </rPr>
      <t xml:space="preserve">m</t>
    </r>
    <r>
      <rPr>
        <i val="true"/>
        <vertAlign val="subscript"/>
        <sz val="14"/>
        <rFont val="Times New Roman"/>
        <family val="1"/>
        <charset val="204"/>
      </rPr>
      <t xml:space="preserve">1</t>
    </r>
    <r>
      <rPr>
        <sz val="14"/>
        <rFont val="Times New Roman"/>
        <family val="1"/>
        <charset val="204"/>
      </rPr>
      <t xml:space="preserve"> – коефіцієнт Пуассона матеріалу покриття</t>
    </r>
  </si>
  <si>
    <t xml:space="preserve">Коеф. варіації напруження</t>
  </si>
  <si>
    <t xml:space="preserve">Запас міцності </t>
  </si>
  <si>
    <t xml:space="preserve">Розрахунок надійності</t>
  </si>
  <si>
    <t xml:space="preserve">Характеристика надійності, розрахункова</t>
  </si>
  <si>
    <t xml:space="preserve">Надійність</t>
  </si>
  <si>
    <t xml:space="preserve">Проектна надійність</t>
  </si>
  <si>
    <t xml:space="preserve">Розрахункова перспективна інтенсивність руху, авт/добу</t>
  </si>
  <si>
    <t xml:space="preserve">у транспортних одиницях</t>
  </si>
  <si>
    <t xml:space="preserve">у приведених одиницях до легкового автомобіля</t>
  </si>
  <si>
    <t xml:space="preserve">понад 10 000</t>
  </si>
  <si>
    <t xml:space="preserve">понад 14 000</t>
  </si>
  <si>
    <t xml:space="preserve">I-б</t>
  </si>
  <si>
    <t xml:space="preserve">від 3 000 до 10 000</t>
  </si>
  <si>
    <t xml:space="preserve">від 5 000 до 14 000</t>
  </si>
  <si>
    <t xml:space="preserve">від 1 000 до 3 000</t>
  </si>
  <si>
    <t xml:space="preserve">від 2 000 до 5 000</t>
  </si>
  <si>
    <t xml:space="preserve">від 150 до 1 000</t>
  </si>
  <si>
    <t xml:space="preserve">від 300 до 2 500</t>
  </si>
  <si>
    <t xml:space="preserve">до 300</t>
  </si>
  <si>
    <t xml:space="preserve">Таблиця 4.1 - Значення розрахункової вологості ґрунтів при глибокому заляганні ґрунтових вод, забезпеченому поверхневому водовідводі та наявності нижнього шару основи з дискретних матеріалів у дорожньому одязі на межі поділу із земляним полотном </t>
  </si>
  <si>
    <t xml:space="preserve">Таблиця 4.2 - Значення розрахункової вологості ґрунтів при глибокому заляганні ґрунтових вод, тривалому застої води в бічних канавах і наявності нижнього шару основи з дискретних матеріалів у дорожньому одязі на межі поділу із земляним полотном</t>
  </si>
  <si>
    <t xml:space="preserve">Таблиця 4.3 - Значення розрахункової вологості ґрунтів при близькому заляганні ґрунтових вод і наявності нижнього шару основи з дискретних матеріалів у дорожньому одязі на межі поділу із земляним полотном</t>
  </si>
  <si>
    <t xml:space="preserve">Таблиця 4.4 - Значення розрахункової вологості ґрунтів при глибокому заляганні ґрунтових вод, забезпеченому поверхневому водовідводі та наявності щільного монолітного нижнього шару основи у дорожньому одязі на межі поділу із земляним полотном</t>
  </si>
  <si>
    <t xml:space="preserve">Таблиця 4.5 - Значення розрахункової вологості ґрунтів при глибокому заляганні ґрунтових вод, застої води в бічних канавах і наявності щільного монолітного нижнього шару основи у дорожньому одязі на межі поділу із земляним полотном</t>
  </si>
  <si>
    <t xml:space="preserve">Параметр ґрунтового покриву</t>
  </si>
  <si>
    <t xml:space="preserve">Середня районна розрахункова відносна вологість ґрунтів полотна для категорій, Wр</t>
  </si>
  <si>
    <t xml:space="preserve">№ дорожнього району</t>
  </si>
  <si>
    <t xml:space="preserve">I-II</t>
  </si>
  <si>
    <t xml:space="preserve">III-IV</t>
  </si>
  <si>
    <t xml:space="preserve">Типовий ґрунт в районі</t>
  </si>
  <si>
    <t xml:space="preserve">ё</t>
  </si>
  <si>
    <t xml:space="preserve">Ґрунти при глибокому заляганні ґрунтових вод, тривалому застої води в бічних канавах і наявності нижнього шару основи з дискретних матеріалів у дорожньому одязі на межі поділу із земляним полотном</t>
  </si>
  <si>
    <t xml:space="preserve">I.P.1</t>
  </si>
  <si>
    <t xml:space="preserve">Супісок, пісок</t>
  </si>
  <si>
    <t xml:space="preserve">error</t>
  </si>
  <si>
    <t xml:space="preserve">Ґрунти при близькому заляганні ґрунтових вод і наявності нижнього шару основи з дискретних матеріалів у дорожньому одязі на межі поділу із земляним полотном</t>
  </si>
  <si>
    <t xml:space="preserve">I.P.2</t>
  </si>
  <si>
    <t xml:space="preserve">Ґрунти при глибокому заляганні ґрунтових вод, забезпеченому поверхневому водовідводі та наявності щільного монолітного нижнього шару основи у дорожньому одязі на межі поділу із земляним полотном</t>
  </si>
  <si>
    <t xml:space="preserve">I.P.3</t>
  </si>
  <si>
    <t xml:space="preserve">Ґрунти при глибокому заляганні ґрунтових вод, застої води в бічних канавах і наявності щільного монолітного нижнього шару основи у дорожньому одязі на межі поділу із земляним полотном</t>
  </si>
  <si>
    <t xml:space="preserve">II.P.4</t>
  </si>
  <si>
    <t xml:space="preserve">II.P.6</t>
  </si>
  <si>
    <t xml:space="preserve">Важкий суглинок, глина</t>
  </si>
  <si>
    <t xml:space="preserve">IV.Г.7</t>
  </si>
  <si>
    <t xml:space="preserve">IV.Г.8</t>
  </si>
  <si>
    <t xml:space="preserve">Важкий суглинок</t>
  </si>
  <si>
    <t xml:space="preserve">III.P.9</t>
  </si>
  <si>
    <t xml:space="preserve">III.P.10</t>
  </si>
  <si>
    <t xml:space="preserve">III.P.11</t>
  </si>
  <si>
    <t xml:space="preserve">III.P.12</t>
  </si>
  <si>
    <t xml:space="preserve">III.P.13</t>
  </si>
  <si>
    <t xml:space="preserve">III.P.14</t>
  </si>
  <si>
    <t xml:space="preserve">III.P.15</t>
  </si>
  <si>
    <t xml:space="preserve">III.Г.16</t>
  </si>
  <si>
    <t xml:space="preserve">Таблиця 4.6  Розрахункові значення характеристик ґрунтів</t>
  </si>
  <si>
    <r>
      <rPr>
        <sz val="18"/>
        <color rgb="FF000000"/>
        <rFont val="Times New Roman"/>
        <family val="1"/>
        <charset val="204"/>
      </rPr>
      <t xml:space="preserve">Розрахункові значення характеристик за вологістю ґрунту, частки від W</t>
    </r>
    <r>
      <rPr>
        <vertAlign val="subscript"/>
        <sz val="18"/>
        <color rgb="FF000000"/>
        <rFont val="Times New Roman"/>
        <family val="1"/>
        <charset val="204"/>
      </rPr>
      <t xml:space="preserve">т</t>
    </r>
  </si>
  <si>
    <t xml:space="preserve">Різновид глинистих ґрунтів</t>
  </si>
  <si>
    <r>
      <rPr>
        <b val="true"/>
        <sz val="18"/>
        <color rgb="FF000000"/>
        <rFont val="Times New Roman"/>
        <family val="1"/>
        <charset val="204"/>
      </rPr>
      <t xml:space="preserve">Число пластичності, J</t>
    </r>
    <r>
      <rPr>
        <vertAlign val="subscript"/>
        <sz val="18"/>
        <color rgb="FF000000"/>
        <rFont val="Times New Roman"/>
        <family val="1"/>
        <charset val="204"/>
      </rPr>
      <t xml:space="preserve">P</t>
    </r>
  </si>
  <si>
    <t xml:space="preserve">k3 - коефіцієнт, який враховує особливості роботи грунту в конструкції, повяхані зі збільшенням фактичного зчепелення грунтів за рахунок защемлення та іншого </t>
  </si>
  <si>
    <r>
      <rPr>
        <b val="true"/>
        <sz val="18"/>
        <color rgb="FF000000"/>
        <rFont val="Times New Roman"/>
        <family val="1"/>
        <charset val="204"/>
      </rPr>
      <t xml:space="preserve">коефіцієнт варіації кута внутрішнього тертя С</t>
    </r>
    <r>
      <rPr>
        <b val="true"/>
        <vertAlign val="subscript"/>
        <sz val="18"/>
        <color rgb="FF000000"/>
        <rFont val="Times New Roman"/>
        <family val="1"/>
        <charset val="204"/>
      </rPr>
      <t xml:space="preserve">fi</t>
    </r>
  </si>
  <si>
    <r>
      <rPr>
        <b val="true"/>
        <sz val="18"/>
        <color rgb="FF000000"/>
        <rFont val="Times New Roman"/>
        <family val="1"/>
        <charset val="204"/>
      </rPr>
      <t xml:space="preserve">коефіцієнт варіації модуля пружності грунтового півпростору C</t>
    </r>
    <r>
      <rPr>
        <b val="true"/>
        <vertAlign val="subscript"/>
        <sz val="18"/>
        <color rgb="FF000000"/>
        <rFont val="Times New Roman"/>
        <family val="1"/>
        <charset val="204"/>
      </rPr>
      <t xml:space="preserve">Eгр</t>
    </r>
  </si>
  <si>
    <t xml:space="preserve">Розрахункові значення характеристик за вологістю ґрунту, частки від Wт</t>
  </si>
  <si>
    <r>
      <rPr>
        <sz val="18"/>
        <color rgb="FF000000"/>
        <rFont val="Times New Roman"/>
        <family val="1"/>
        <charset val="204"/>
      </rPr>
      <t xml:space="preserve">Число пластичності, J</t>
    </r>
    <r>
      <rPr>
        <vertAlign val="subscript"/>
        <sz val="18"/>
        <color rgb="FF000000"/>
        <rFont val="Times New Roman"/>
        <family val="1"/>
        <charset val="204"/>
      </rPr>
      <t xml:space="preserve">P</t>
    </r>
  </si>
  <si>
    <t xml:space="preserve">Показники</t>
  </si>
  <si>
    <t xml:space="preserve">0,5</t>
  </si>
  <si>
    <t xml:space="preserve">0,55</t>
  </si>
  <si>
    <t xml:space="preserve">0,6</t>
  </si>
  <si>
    <t xml:space="preserve">0,65</t>
  </si>
  <si>
    <t xml:space="preserve">0,7</t>
  </si>
  <si>
    <t xml:space="preserve">0,75</t>
  </si>
  <si>
    <t xml:space="preserve">0,8</t>
  </si>
  <si>
    <t xml:space="preserve">0,85</t>
  </si>
  <si>
    <t xml:space="preserve">0,9</t>
  </si>
  <si>
    <t xml:space="preserve">Пісок крупний</t>
  </si>
  <si>
    <r>
      <rPr>
        <sz val="18"/>
        <color rgb="FF000000"/>
        <rFont val="Times New Roman"/>
        <family val="1"/>
        <charset val="204"/>
      </rPr>
      <t xml:space="preserve">Е</t>
    </r>
    <r>
      <rPr>
        <vertAlign val="subscript"/>
        <sz val="18"/>
        <color rgb="FF000000"/>
        <rFont val="Times New Roman"/>
        <family val="1"/>
        <charset val="204"/>
      </rPr>
      <t xml:space="preserve">гр</t>
    </r>
    <r>
      <rPr>
        <sz val="18"/>
        <color rgb="FF000000"/>
        <rFont val="Times New Roman"/>
        <family val="1"/>
        <charset val="204"/>
      </rPr>
      <t xml:space="preserve">, МПа</t>
    </r>
  </si>
  <si>
    <t xml:space="preserve">Егр, МПа</t>
  </si>
  <si>
    <r>
      <rPr>
        <sz val="18"/>
        <color rgb="FF000000"/>
        <rFont val="Symbol"/>
        <family val="1"/>
        <charset val="2"/>
      </rPr>
      <t xml:space="preserve">j</t>
    </r>
    <r>
      <rPr>
        <sz val="18"/>
        <color rgb="FF000000"/>
        <rFont val="Times New Roman"/>
        <family val="1"/>
        <charset val="204"/>
      </rPr>
      <t xml:space="preserve">, град</t>
    </r>
  </si>
  <si>
    <r>
      <rPr>
        <sz val="18"/>
        <color rgb="FF000000"/>
        <rFont val="Times New Roman"/>
        <family val="1"/>
        <charset val="204"/>
      </rPr>
      <t xml:space="preserve">С</t>
    </r>
    <r>
      <rPr>
        <vertAlign val="subscript"/>
        <sz val="18"/>
        <color rgb="FF000000"/>
        <rFont val="Times New Roman"/>
        <family val="1"/>
        <charset val="204"/>
      </rPr>
      <t xml:space="preserve">гр</t>
    </r>
    <r>
      <rPr>
        <sz val="18"/>
        <color rgb="FF000000"/>
        <rFont val="Times New Roman"/>
        <family val="1"/>
        <charset val="204"/>
      </rPr>
      <t xml:space="preserve">, МПа</t>
    </r>
  </si>
  <si>
    <t xml:space="preserve">Пісок середньої крупності</t>
  </si>
  <si>
    <t xml:space="preserve">від 1 до 7</t>
  </si>
  <si>
    <t xml:space="preserve">більше  50</t>
  </si>
  <si>
    <t xml:space="preserve">Пісок дрібний</t>
  </si>
  <si>
    <t xml:space="preserve">від 7 до 12</t>
  </si>
  <si>
    <t xml:space="preserve">більше  40</t>
  </si>
  <si>
    <t xml:space="preserve">менше 40</t>
  </si>
  <si>
    <t xml:space="preserve">від 12 до 17</t>
  </si>
  <si>
    <t xml:space="preserve">більш  40</t>
  </si>
  <si>
    <t xml:space="preserve">Пісок однорідний</t>
  </si>
  <si>
    <t xml:space="preserve">менше  40</t>
  </si>
  <si>
    <t xml:space="preserve">від 17 до 27</t>
  </si>
  <si>
    <t xml:space="preserve">більше 40</t>
  </si>
  <si>
    <t xml:space="preserve">Пісок пилуватий</t>
  </si>
  <si>
    <t xml:space="preserve">більше 27</t>
  </si>
  <si>
    <t xml:space="preserve">не нормується</t>
  </si>
  <si>
    <t xml:space="preserve">Супісок піщанистий</t>
  </si>
  <si>
    <t xml:space="preserve">Супісок пилуватий</t>
  </si>
  <si>
    <t xml:space="preserve">Суглинок легкий піщанистий</t>
  </si>
  <si>
    <t xml:space="preserve"> Суглинок легкий пилуватий</t>
  </si>
  <si>
    <t xml:space="preserve">Суглинок важкий піщанистий </t>
  </si>
  <si>
    <t xml:space="preserve">Суглинок важкий пилуватий </t>
  </si>
  <si>
    <t xml:space="preserve">Глина легка піщаниста</t>
  </si>
  <si>
    <t xml:space="preserve">Глина легка пилувата</t>
  </si>
  <si>
    <t xml:space="preserve">Глина важка</t>
  </si>
  <si>
    <t xml:space="preserve">не норму-</t>
  </si>
  <si>
    <t xml:space="preserve">ється</t>
  </si>
  <si>
    <r>
      <rPr>
        <b val="true"/>
        <sz val="14"/>
        <color rgb="FF000000"/>
        <rFont val="Arial"/>
        <family val="2"/>
        <charset val="204"/>
      </rPr>
      <t xml:space="preserve">Таблиця 4.7</t>
    </r>
    <r>
      <rPr>
        <sz val="14"/>
        <color rgb="FF000000"/>
        <rFont val="Arial"/>
        <family val="2"/>
        <charset val="204"/>
      </rPr>
      <t xml:space="preserve">  -  Поправка на конструктивні особливості використовуваних дренажних конструкцій у дорожньо-кліматичних зонах І - ІV</t>
    </r>
  </si>
  <si>
    <t xml:space="preserve">Столбец1</t>
  </si>
  <si>
    <t xml:space="preserve">Столбец2</t>
  </si>
  <si>
    <t xml:space="preserve">Столбец3</t>
  </si>
  <si>
    <t xml:space="preserve">Столбец4</t>
  </si>
  <si>
    <t xml:space="preserve">Столбец5</t>
  </si>
  <si>
    <t xml:space="preserve">Столбец6</t>
  </si>
  <si>
    <t xml:space="preserve">Код ∆W</t>
  </si>
  <si>
    <t xml:space="preserve">Конструктивна особливість</t>
  </si>
  <si>
    <t xml:space="preserve">Поправка </t>
  </si>
  <si>
    <t xml:space="preserve">  II</t>
  </si>
  <si>
    <t xml:space="preserve">ІІI</t>
  </si>
  <si>
    <t xml:space="preserve">ІV</t>
  </si>
  <si>
    <t xml:space="preserve">∆W1</t>
  </si>
  <si>
    <t xml:space="preserve"> ∆W1 голкопробивний геотекстиль в контакті з ґрунтами</t>
  </si>
  <si>
    <t xml:space="preserve">∆W2</t>
  </si>
  <si>
    <t xml:space="preserve">∆W2 голкопробивний геотекстиль в контакті з ґрунтами</t>
  </si>
  <si>
    <t xml:space="preserve">∆W3</t>
  </si>
  <si>
    <t xml:space="preserve">∆W4</t>
  </si>
  <si>
    <t xml:space="preserve">∆W4 голкопробивний геотекстиль в контакті з  супісками і пісками</t>
  </si>
  <si>
    <t xml:space="preserve">∆W5</t>
  </si>
  <si>
    <t xml:space="preserve">∆W5 дренажні композити</t>
  </si>
  <si>
    <t xml:space="preserve">∆W6</t>
  </si>
  <si>
    <t xml:space="preserve">∆W6 термоскріплений геотекстиль з жорстким ядром</t>
  </si>
  <si>
    <t xml:space="preserve">∆W7</t>
  </si>
  <si>
    <t xml:space="preserve">∆W7 дренаж</t>
  </si>
  <si>
    <t xml:space="preserve">∆W8</t>
  </si>
  <si>
    <t xml:space="preserve">∆W8 дренаж з поздовжніми трубчастими дренами</t>
  </si>
  <si>
    <t xml:space="preserve">∆W9</t>
  </si>
  <si>
    <t xml:space="preserve">∆W9 дренаж з зернистого матеріалу в обоймі з геосинтетичних матеріалу з дренажною трубою</t>
  </si>
  <si>
    <t xml:space="preserve">Зниження розрахункової вологості до оптимальної</t>
  </si>
  <si>
    <t xml:space="preserve">∆W10</t>
  </si>
  <si>
    <t xml:space="preserve">∆W10 влаштування  гідроізолюючих водопаронепроникних прошарків з полімерних матеріалів</t>
  </si>
  <si>
    <r>
      <rPr>
        <b val="true"/>
        <sz val="14"/>
        <color rgb="FF000000"/>
        <rFont val="Arial"/>
        <family val="2"/>
        <charset val="204"/>
      </rPr>
      <t xml:space="preserve">Таблиця 5.1 - </t>
    </r>
    <r>
      <rPr>
        <sz val="14"/>
        <color rgb="FF000000"/>
        <rFont val="Arial"/>
        <family val="2"/>
        <charset val="204"/>
      </rPr>
      <t xml:space="preserve">Розрахункові характеристики асфальтобетонів для розрахунку монолітних шарів конструкції дорожнього одягу на розтяг при згині</t>
    </r>
  </si>
  <si>
    <r>
      <rPr>
        <b val="true"/>
        <sz val="14"/>
        <color rgb="FF000000"/>
        <rFont val="Arial"/>
        <family val="2"/>
        <charset val="204"/>
      </rPr>
      <t xml:space="preserve">Таблиця 5.2</t>
    </r>
    <r>
      <rPr>
        <sz val="14"/>
        <color rgb="FF000000"/>
        <rFont val="Arial"/>
        <family val="2"/>
        <charset val="204"/>
      </rPr>
      <t xml:space="preserve"> - Значення короткочасного модуля пружності асфальтобетонів</t>
    </r>
    <r>
      <rPr>
        <sz val="12"/>
        <color rgb="FF000000"/>
        <rFont val="Arial"/>
        <family val="2"/>
        <charset val="204"/>
      </rPr>
      <t xml:space="preserve"> </t>
    </r>
  </si>
  <si>
    <r>
      <rPr>
        <b val="true"/>
        <sz val="14"/>
        <color rgb="FF000000"/>
        <rFont val="Arial"/>
        <family val="2"/>
        <charset val="204"/>
      </rPr>
      <t xml:space="preserve">Таблиця 5.3</t>
    </r>
    <r>
      <rPr>
        <sz val="14"/>
        <color rgb="FF000000"/>
        <rFont val="Arial"/>
        <family val="2"/>
        <charset val="204"/>
      </rPr>
      <t xml:space="preserve"> – Значення модуля пружності асфальтобетонів при статичній дії навантаження</t>
    </r>
  </si>
  <si>
    <t xml:space="preserve">Характеристики для розрахунку на згин</t>
  </si>
  <si>
    <r>
      <rPr>
        <sz val="12"/>
        <color rgb="FF000000"/>
        <rFont val="Arial"/>
        <family val="2"/>
        <charset val="204"/>
      </rPr>
      <t xml:space="preserve">Розрахункові значення короткочасного модуля пружності Е, МПа, за температури покриття, </t>
    </r>
    <r>
      <rPr>
        <vertAlign val="superscript"/>
        <sz val="12"/>
        <color rgb="FF000000"/>
        <rFont val="Arial"/>
        <family val="2"/>
        <charset val="204"/>
      </rPr>
      <t xml:space="preserve">о</t>
    </r>
    <r>
      <rPr>
        <sz val="12"/>
        <color rgb="FF000000"/>
        <rFont val="Arial"/>
        <family val="2"/>
        <charset val="204"/>
      </rPr>
      <t xml:space="preserve">С</t>
    </r>
  </si>
  <si>
    <t xml:space="preserve">Розрахунковий модуль пружності Е при статичній дії навантаження, МПа, при розрахунковій температурі, °С</t>
  </si>
  <si>
    <t xml:space="preserve">Вид асфальтобетону</t>
  </si>
  <si>
    <t xml:space="preserve">Вид суміші</t>
  </si>
  <si>
    <t xml:space="preserve">20</t>
  </si>
  <si>
    <t xml:space="preserve">25</t>
  </si>
  <si>
    <t xml:space="preserve">30</t>
  </si>
  <si>
    <t xml:space="preserve">35</t>
  </si>
  <si>
    <t xml:space="preserve">40</t>
  </si>
  <si>
    <t xml:space="preserve">Марка в’яжучого</t>
  </si>
  <si>
    <t xml:space="preserve">Коефіцієнт варіації (СЕ)</t>
  </si>
  <si>
    <r>
      <rPr>
        <sz val="12"/>
        <color rgb="FF000000"/>
        <rFont val="Arial"/>
        <family val="2"/>
        <charset val="204"/>
      </rPr>
      <t xml:space="preserve">Границя міцності на розтягування при згині (R</t>
    </r>
    <r>
      <rPr>
        <vertAlign val="subscript"/>
        <sz val="12"/>
        <color rgb="FF000000"/>
        <rFont val="Arial"/>
        <family val="2"/>
        <charset val="204"/>
      </rPr>
      <t xml:space="preserve">лаб</t>
    </r>
    <r>
      <rPr>
        <sz val="12"/>
        <color rgb="FF000000"/>
        <rFont val="Arial"/>
        <family val="2"/>
        <charset val="204"/>
      </rPr>
      <t xml:space="preserve">), МПа</t>
    </r>
  </si>
  <si>
    <r>
      <rPr>
        <sz val="12"/>
        <color rgb="FF000000"/>
        <rFont val="Arial"/>
        <family val="2"/>
        <charset val="204"/>
      </rPr>
      <t xml:space="preserve">Коефіцієнт k</t>
    </r>
    <r>
      <rPr>
        <vertAlign val="subscript"/>
        <sz val="12"/>
        <color rgb="FF000000"/>
        <rFont val="Arial"/>
        <family val="2"/>
        <charset val="204"/>
      </rPr>
      <t xml:space="preserve">пр</t>
    </r>
  </si>
  <si>
    <t xml:space="preserve">km</t>
  </si>
  <si>
    <t xml:space="preserve">kT</t>
  </si>
  <si>
    <t xml:space="preserve">Марка бітуму</t>
  </si>
  <si>
    <t xml:space="preserve">10</t>
  </si>
  <si>
    <t xml:space="preserve">АЩС1</t>
  </si>
  <si>
    <t xml:space="preserve">Щільний асфальтобетон типу Б</t>
  </si>
  <si>
    <t xml:space="preserve">Крупнозерниста </t>
  </si>
  <si>
    <t xml:space="preserve">БМПА 60/90-53 на основі термопластів</t>
  </si>
  <si>
    <r>
      <rPr>
        <sz val="12"/>
        <color rgb="FF000000"/>
        <rFont val="Arial"/>
        <family val="2"/>
        <charset val="204"/>
      </rPr>
      <t xml:space="preserve">БМПА 60/90-53</t>
    </r>
    <r>
      <rPr>
        <sz val="12"/>
        <color rgb="FF0000FF"/>
        <rFont val="Arial"/>
        <family val="2"/>
        <charset val="204"/>
      </rPr>
      <t xml:space="preserve"> </t>
    </r>
    <r>
      <rPr>
        <sz val="12"/>
        <color rgb="FF000000"/>
        <rFont val="Arial"/>
        <family val="2"/>
        <charset val="204"/>
      </rPr>
      <t xml:space="preserve">на основі термопластів</t>
    </r>
  </si>
  <si>
    <t xml:space="preserve">АЩС2</t>
  </si>
  <si>
    <t xml:space="preserve">Щільний асфальтобетон типу Г, Д</t>
  </si>
  <si>
    <t xml:space="preserve">Дрібнозерниста </t>
  </si>
  <si>
    <t xml:space="preserve">БМПА 60/90-53               на основі термо-еластопластів</t>
  </si>
  <si>
    <r>
      <rPr>
        <sz val="12"/>
        <color rgb="FF000000"/>
        <rFont val="Arial"/>
        <family val="2"/>
        <charset val="204"/>
      </rPr>
      <t xml:space="preserve">БМПА 60/90-53</t>
    </r>
    <r>
      <rPr>
        <sz val="12"/>
        <color rgb="FF0000FF"/>
        <rFont val="Arial"/>
        <family val="2"/>
        <charset val="204"/>
      </rPr>
      <t xml:space="preserve"> </t>
    </r>
    <r>
      <rPr>
        <sz val="12"/>
        <color rgb="FF000000"/>
        <rFont val="Arial"/>
        <family val="2"/>
        <charset val="204"/>
      </rPr>
      <t xml:space="preserve">на основі термоеластопластів</t>
    </r>
  </si>
  <si>
    <t xml:space="preserve">АПС1</t>
  </si>
  <si>
    <t xml:space="preserve">Пористий та високопористий </t>
  </si>
  <si>
    <t xml:space="preserve">Піщана </t>
  </si>
  <si>
    <t xml:space="preserve">БНД 40/60 </t>
  </si>
  <si>
    <t xml:space="preserve">БНД 40/60</t>
  </si>
  <si>
    <t xml:space="preserve">АПС2</t>
  </si>
  <si>
    <t xml:space="preserve">Крупнозерниста</t>
  </si>
  <si>
    <t xml:space="preserve">БНД 60/90</t>
  </si>
  <si>
    <t xml:space="preserve">АПС3</t>
  </si>
  <si>
    <t xml:space="preserve">БНД 90/130</t>
  </si>
  <si>
    <t xml:space="preserve">АПС4</t>
  </si>
  <si>
    <t xml:space="preserve">Піщана</t>
  </si>
  <si>
    <t xml:space="preserve">БНД 130/200</t>
  </si>
  <si>
    <t xml:space="preserve">ЩМАс1</t>
  </si>
  <si>
    <t xml:space="preserve">Щебенево-мастиковий асфальтобетон </t>
  </si>
  <si>
    <t xml:space="preserve">ЩМА-5</t>
  </si>
  <si>
    <t xml:space="preserve">ЩМАс2</t>
  </si>
  <si>
    <t xml:space="preserve">ЩМА-10</t>
  </si>
  <si>
    <t xml:space="preserve">БНД 60/90,</t>
  </si>
  <si>
    <t xml:space="preserve">ЩМАс3</t>
  </si>
  <si>
    <t xml:space="preserve">ЩМА-15</t>
  </si>
  <si>
    <t xml:space="preserve">μ</t>
  </si>
  <si>
    <r>
      <rPr>
        <sz val="14"/>
        <color rgb="FF000000"/>
        <rFont val="Times New Roman"/>
        <family val="1"/>
        <charset val="204"/>
      </rPr>
      <t xml:space="preserve">коефіцієнт Пуассона (для ґрунтів земляного полотна </t>
    </r>
    <r>
      <rPr>
        <i val="true"/>
        <sz val="14"/>
        <color rgb="FF000000"/>
        <rFont val="Times New Roman"/>
        <family val="1"/>
        <charset val="204"/>
      </rPr>
      <t xml:space="preserve">μ </t>
    </r>
    <r>
      <rPr>
        <sz val="14"/>
        <color rgb="FF000000"/>
        <rFont val="Times New Roman"/>
        <family val="1"/>
        <charset val="204"/>
      </rPr>
      <t xml:space="preserve">= 0,35, для матеріалів основ </t>
    </r>
    <r>
      <rPr>
        <i val="true"/>
        <sz val="14"/>
        <color rgb="FF000000"/>
        <rFont val="Times New Roman"/>
        <family val="1"/>
        <charset val="204"/>
      </rPr>
      <t xml:space="preserve">μ </t>
    </r>
    <r>
      <rPr>
        <sz val="14"/>
        <color rgb="FF000000"/>
        <rFont val="Times New Roman"/>
        <family val="1"/>
        <charset val="204"/>
      </rPr>
      <t xml:space="preserve">= 0,25, а при обчисленні загального модуля пружності  </t>
    </r>
    <r>
      <rPr>
        <i val="true"/>
        <sz val="14"/>
        <color rgb="FF000000"/>
        <rFont val="Times New Roman"/>
        <family val="1"/>
        <charset val="204"/>
      </rPr>
      <t xml:space="preserve">μ </t>
    </r>
    <r>
      <rPr>
        <sz val="14"/>
        <color rgb="FF000000"/>
        <rFont val="Times New Roman"/>
        <family val="1"/>
        <charset val="204"/>
      </rPr>
      <t xml:space="preserve">= 0,3);</t>
    </r>
  </si>
  <si>
    <t xml:space="preserve">ЩМАс4</t>
  </si>
  <si>
    <t xml:space="preserve">ЩМА-20</t>
  </si>
  <si>
    <r>
      <rPr>
        <b val="true"/>
        <sz val="11"/>
        <color rgb="FF000000"/>
        <rFont val="Arial"/>
        <family val="2"/>
        <charset val="204"/>
      </rPr>
      <t xml:space="preserve">Примітка 1.</t>
    </r>
    <r>
      <rPr>
        <sz val="11"/>
        <color rgb="FF000000"/>
        <rFont val="Arial"/>
        <family val="2"/>
        <charset val="204"/>
      </rPr>
      <t xml:space="preserve"> Модулі пружності асфальтобетону типу А збільшують на 20 %, а типу В зменшують на 20 %, порівняно з асфальтобетоном типу Б.    </t>
    </r>
  </si>
  <si>
    <r>
      <rPr>
        <sz val="11"/>
        <color rgb="FF000000"/>
        <rFont val="Arial"/>
        <family val="2"/>
        <charset val="204"/>
      </rPr>
      <t xml:space="preserve"> </t>
    </r>
    <r>
      <rPr>
        <b val="true"/>
        <sz val="11"/>
        <color rgb="FF000000"/>
        <rFont val="Arial"/>
        <family val="2"/>
        <charset val="204"/>
      </rPr>
      <t xml:space="preserve">Примітка 2.</t>
    </r>
    <r>
      <rPr>
        <sz val="11"/>
        <color rgb="FF000000"/>
        <rFont val="Arial"/>
        <family val="2"/>
        <charset val="204"/>
      </rPr>
      <t xml:space="preserve"> Значення модулів пружності подані в таблиці для ЩМА на основі нафтових дорожніх бітумів. Для ЩМА на основі бітумів, модифікованих термоеластопластами або структуруючими добавками,  модулі пружності слід збільшити на 10 %. </t>
    </r>
  </si>
  <si>
    <t xml:space="preserve">БНД-40/60</t>
  </si>
  <si>
    <t xml:space="preserve">БНД-60/90</t>
  </si>
  <si>
    <t xml:space="preserve">БМПА 60/90-52</t>
  </si>
  <si>
    <t xml:space="preserve">ЩМА9 Щебеневомастиковий асфальтобетон виду ЩМА-5 БМПА 60/90-52</t>
  </si>
  <si>
    <t xml:space="preserve">БМПА 60/90-53  </t>
  </si>
  <si>
    <r>
      <rPr>
        <b val="true"/>
        <sz val="12"/>
        <color rgb="FF000000"/>
        <rFont val="Arial"/>
        <family val="2"/>
        <charset val="204"/>
      </rPr>
      <t xml:space="preserve">Примітка 1.</t>
    </r>
    <r>
      <rPr>
        <sz val="12"/>
        <color rgb="FF000000"/>
        <rFont val="Arial"/>
        <family val="2"/>
        <charset val="204"/>
      </rPr>
      <t xml:space="preserve">  Розрахункові характеристики ЩМА на основі бітуму марки БНД 90/130, слід зменшити на 10 % порівняно з ЩМА на основі бітуму БНД 60/90.</t>
    </r>
  </si>
  <si>
    <r>
      <rPr>
        <b val="true"/>
        <sz val="12"/>
        <color rgb="FF000000"/>
        <rFont val="Arial"/>
        <family val="2"/>
        <charset val="204"/>
      </rPr>
      <t xml:space="preserve">Примітка 2.</t>
    </r>
    <r>
      <rPr>
        <sz val="12"/>
        <color rgb="FF000000"/>
        <rFont val="Arial"/>
        <family val="2"/>
        <charset val="204"/>
      </rPr>
      <t xml:space="preserve">  Розрахункові характеристики ЩМА на основі бітуму, модифікованого термоеластопластом, марки БМПА 40/60-57, слід збільшити на 10 % порівняно з ЩМА на основі бітуму, модифікованого термоеластопластом, марки БМПА 60/90-53.</t>
    </r>
  </si>
  <si>
    <r>
      <rPr>
        <b val="true"/>
        <sz val="11"/>
        <color rgb="FF000000"/>
        <rFont val="Arial"/>
        <family val="2"/>
        <charset val="204"/>
      </rPr>
      <t xml:space="preserve">Примітка 1. </t>
    </r>
    <r>
      <rPr>
        <sz val="11"/>
        <color rgb="FF000000"/>
        <rFont val="Arial"/>
        <family val="2"/>
        <charset val="204"/>
      </rPr>
      <t xml:space="preserve">Якщо дані безпосередніх регіональних спостережень за температурою покриття відсутні, можна застосовувати як розрахункову температуру асфальтобетону в дорожньо-кліматичних зонах У-І та У-ІІ – 20 </t>
    </r>
    <r>
      <rPr>
        <vertAlign val="superscript"/>
        <sz val="11"/>
        <color rgb="FF000000"/>
        <rFont val="Arial"/>
        <family val="2"/>
        <charset val="204"/>
      </rPr>
      <t xml:space="preserve">о</t>
    </r>
    <r>
      <rPr>
        <sz val="11"/>
        <color rgb="FF000000"/>
        <rFont val="Arial"/>
        <family val="2"/>
        <charset val="204"/>
      </rPr>
      <t xml:space="preserve">С, у зоні У-ІІІ –30</t>
    </r>
    <r>
      <rPr>
        <vertAlign val="superscript"/>
        <sz val="11"/>
        <color rgb="FF000000"/>
        <rFont val="Arial"/>
        <family val="2"/>
        <charset val="204"/>
      </rPr>
      <t xml:space="preserve"> о</t>
    </r>
    <r>
      <rPr>
        <sz val="11"/>
        <color rgb="FF000000"/>
        <rFont val="Arial"/>
        <family val="2"/>
        <charset val="204"/>
      </rPr>
      <t xml:space="preserve">С, в У-ІV – 40 °С.</t>
    </r>
  </si>
  <si>
    <r>
      <rPr>
        <b val="true"/>
        <sz val="12"/>
        <color rgb="FF000000"/>
        <rFont val="Arial"/>
        <family val="2"/>
        <charset val="204"/>
      </rPr>
      <t xml:space="preserve">Примітка 3.</t>
    </r>
    <r>
      <rPr>
        <sz val="12"/>
        <color rgb="FF000000"/>
        <rFont val="Arial"/>
        <family val="2"/>
        <charset val="204"/>
      </rPr>
      <t xml:space="preserve">  Розрахункові характеристики ЩМА на основі бітуму, модифікованого термоеластопластом, марки БМПА 90/130-50, слід зменшити на 10 % порівняно з ЩМА на основі бітуму, модифікованого термоеластопластом, марки БМПА 60/90-53.</t>
    </r>
  </si>
  <si>
    <r>
      <rPr>
        <b val="true"/>
        <sz val="11"/>
        <color rgb="FF000000"/>
        <rFont val="Arial"/>
        <family val="2"/>
        <charset val="204"/>
      </rPr>
      <t xml:space="preserve">Примітка 2. </t>
    </r>
    <r>
      <rPr>
        <sz val="11"/>
        <color rgb="FF000000"/>
        <rFont val="Arial"/>
        <family val="2"/>
        <charset val="204"/>
      </rPr>
      <t xml:space="preserve">Модулі пружності щільного асфальтобетону подані в таблиці стосовно до сумішей типу Б. При температурах від 30 </t>
    </r>
    <r>
      <rPr>
        <vertAlign val="superscript"/>
        <sz val="11"/>
        <color rgb="FF000000"/>
        <rFont val="Arial"/>
        <family val="2"/>
        <charset val="204"/>
      </rPr>
      <t xml:space="preserve">о</t>
    </r>
    <r>
      <rPr>
        <sz val="11"/>
        <color rgb="FF000000"/>
        <rFont val="Arial"/>
        <family val="2"/>
        <charset val="204"/>
      </rPr>
      <t xml:space="preserve">С до 40 </t>
    </r>
    <r>
      <rPr>
        <vertAlign val="superscript"/>
        <sz val="11"/>
        <color rgb="FF000000"/>
        <rFont val="Arial"/>
        <family val="2"/>
        <charset val="204"/>
      </rPr>
      <t xml:space="preserve">о</t>
    </r>
    <r>
      <rPr>
        <sz val="11"/>
        <color rgb="FF000000"/>
        <rFont val="Arial"/>
        <family val="2"/>
        <charset val="204"/>
      </rPr>
      <t xml:space="preserve">С модулі пружності для сумішей типу А слід  збільшити, а типів В, Г, Д – зменшити на 20 %.</t>
    </r>
  </si>
  <si>
    <r>
      <rPr>
        <b val="true"/>
        <sz val="12"/>
        <color rgb="FF000000"/>
        <rFont val="Arial"/>
        <family val="2"/>
        <charset val="204"/>
      </rPr>
      <t xml:space="preserve">Примітка 4.</t>
    </r>
    <r>
      <rPr>
        <sz val="12"/>
        <color rgb="FF000000"/>
        <rFont val="Arial"/>
        <family val="2"/>
        <charset val="204"/>
      </rPr>
      <t xml:space="preserve"> Для ЩМА на основі бітумів, модифікованих структуруючими добавками (синтетичними восками типу Licomont BS 100, CCBit 113 AD, Sasobit та їх аналогами), Розрахункові характеристики слід приймати аналогічними модулям пружності ЩМА на основі бітумів, модифікованих термоеластопластами.</t>
    </r>
  </si>
  <si>
    <r>
      <rPr>
        <b val="true"/>
        <sz val="11"/>
        <color rgb="FF000000"/>
        <rFont val="Arial"/>
        <family val="2"/>
        <charset val="204"/>
      </rPr>
      <t xml:space="preserve">Примітка 3. </t>
    </r>
    <r>
      <rPr>
        <sz val="11"/>
        <color rgb="FF000000"/>
        <rFont val="Arial"/>
        <family val="2"/>
        <charset val="204"/>
      </rPr>
      <t xml:space="preserve">Модулі пружності пористого і високопористого асфальтобетону подані в таблиці стосовно до піщаних сумішей. При температурі від 30 °С до 50 °С модулі пружності для дрібнозернистих сумішей слід збільшити на 10 %, а для крупнозернистих сумішей – на  20 %.</t>
    </r>
  </si>
  <si>
    <r>
      <rPr>
        <b val="true"/>
        <sz val="12"/>
        <color rgb="FF000000"/>
        <rFont val="Arial"/>
        <family val="2"/>
        <charset val="204"/>
      </rPr>
      <t xml:space="preserve">Примітка 5.</t>
    </r>
    <r>
      <rPr>
        <sz val="12"/>
        <color rgb="FF000000"/>
        <rFont val="Arial"/>
        <family val="2"/>
        <charset val="204"/>
      </rPr>
      <t xml:space="preserve"> Значення розрахункових характеристик подані в таблиці для ЩМА на основі бітумів, модифікованих 3 % термоеластопласту або структуруючої добавки. При збільшенні в бітумі концентрації термоеластопласту або структуруючої добавки на 1 % розрахункові характеристики і ЩМА слід збільшити на 10 %. При зменшенні в бітумі концентрації термоеластопласту або структуруючої добавки на 1 % розрахункові характеристики ЩМА слід зменшити на 5 %.</t>
    </r>
  </si>
  <si>
    <r>
      <rPr>
        <b val="true"/>
        <sz val="11"/>
        <color rgb="FF000000"/>
        <rFont val="Arial"/>
        <family val="2"/>
        <charset val="204"/>
      </rPr>
      <t xml:space="preserve">Примітка 4.</t>
    </r>
    <r>
      <rPr>
        <sz val="11"/>
        <color rgb="FF000000"/>
        <rFont val="Arial"/>
        <family val="2"/>
        <charset val="204"/>
      </rPr>
      <t xml:space="preserve">  Модулі пружності ЩМА на основі бітуму марки БНД 90/130, слід зменшити на 10 % порівняно з ЩМА на основі бітуму БНД 60/90.</t>
    </r>
  </si>
  <si>
    <r>
      <rPr>
        <b val="true"/>
        <sz val="12"/>
        <color rgb="FF000000"/>
        <rFont val="Arial"/>
        <family val="2"/>
        <charset val="204"/>
      </rPr>
      <t xml:space="preserve">Примітка 6.</t>
    </r>
    <r>
      <rPr>
        <sz val="12"/>
        <color rgb="FF000000"/>
        <rFont val="Arial"/>
        <family val="2"/>
        <charset val="204"/>
      </rPr>
      <t xml:space="preserve"> При використанні нових модифікуючих добавок розрахункові характеристики визначаються в лабораторних і/або польових умовах за методиками затвердженими у встановленому порядку з приведенням до розрахункової температури та частоти (часу) дії навантаження.</t>
    </r>
  </si>
  <si>
    <r>
      <rPr>
        <b val="true"/>
        <sz val="11"/>
        <color rgb="FF000000"/>
        <rFont val="Arial"/>
        <family val="2"/>
        <charset val="204"/>
      </rPr>
      <t xml:space="preserve">Примітка 5.</t>
    </r>
    <r>
      <rPr>
        <sz val="11"/>
        <color rgb="FF000000"/>
        <rFont val="Arial"/>
        <family val="2"/>
        <charset val="204"/>
      </rPr>
      <t xml:space="preserve">  Модулі пружності ЩМА на основі бітуму, модифікованого термоеластопластом, марки БМПА 40/60-57, слід збільшити на 10 % порівняно з ЩМА на основі бітуму, модифікованого термоеластопластом, марки БМПА 60/90-53.</t>
    </r>
  </si>
  <si>
    <r>
      <rPr>
        <b val="true"/>
        <sz val="11"/>
        <color rgb="FF000000"/>
        <rFont val="Arial"/>
        <family val="2"/>
        <charset val="204"/>
      </rPr>
      <t xml:space="preserve">Примітка 6.</t>
    </r>
    <r>
      <rPr>
        <sz val="11"/>
        <color rgb="FF000000"/>
        <rFont val="Arial"/>
        <family val="2"/>
        <charset val="204"/>
      </rPr>
      <t xml:space="preserve">  Модулі пружності ЩМА на основі бітуму, модифікованого термоеластопластом, марки БМПА 90/130-50, слід зменшити на 10 % порівняно з ЩМА на основі бітуму, модифікованого термоеластопластом, марки БМПА 60/90-53.</t>
    </r>
  </si>
  <si>
    <r>
      <rPr>
        <b val="true"/>
        <sz val="11"/>
        <color rgb="FF000000"/>
        <rFont val="Arial"/>
        <family val="2"/>
        <charset val="204"/>
      </rPr>
      <t xml:space="preserve">Примітка 7.</t>
    </r>
    <r>
      <rPr>
        <sz val="11"/>
        <color rgb="FF000000"/>
        <rFont val="Arial"/>
        <family val="2"/>
        <charset val="204"/>
      </rPr>
      <t xml:space="preserve"> Для ЩМА на основі бітумів, модифікованих структуруючими добавками (синтетичними восками типу Licomont BS 100, CCBit 113 AD, Sasobit та їх аналогами), модулі пружності слід приймати аналогічними модулям пружності ЩМА на основі бітумів, модифікованих термоеластопластами.</t>
    </r>
  </si>
  <si>
    <r>
      <rPr>
        <b val="true"/>
        <sz val="11"/>
        <color rgb="FF000000"/>
        <rFont val="Arial"/>
        <family val="2"/>
        <charset val="204"/>
      </rPr>
      <t xml:space="preserve">Примітка 8.</t>
    </r>
    <r>
      <rPr>
        <sz val="11"/>
        <color rgb="FF000000"/>
        <rFont val="Arial"/>
        <family val="2"/>
        <charset val="204"/>
      </rPr>
      <t xml:space="preserve"> Значення модулів пружності подані в таблиці для ЩМА на основі бітумів, модифікованих 3 % термоеластопласту або структуруючої добавки. При збільшенні в бітумі концентрації термоеластопласту або структуруючої добавки на 1 % модулі пружності ЩМА слід збільшити на 10 %. При зменшенні в бітумі концентрації термоеластопласту або структуруючої добавки на 1 % модулі пружності ЩМА слід зменшити на 5 %.</t>
    </r>
  </si>
  <si>
    <r>
      <rPr>
        <b val="true"/>
        <sz val="14"/>
        <color rgb="FF000000"/>
        <rFont val="Arial"/>
        <family val="2"/>
        <charset val="204"/>
      </rPr>
      <t xml:space="preserve">Таблиця 5.4 - </t>
    </r>
    <r>
      <rPr>
        <sz val="14"/>
        <color rgb="FF000000"/>
        <rFont val="Arial"/>
        <family val="2"/>
        <charset val="204"/>
      </rPr>
      <t xml:space="preserve">Розрахункові характеристики матеріалів і ґрунтів, укріплених в’яжучими речовинами</t>
    </r>
  </si>
  <si>
    <t xml:space="preserve">Код матеріалу укріпленої основи, ОУ</t>
  </si>
  <si>
    <t xml:space="preserve">Ч.ч.</t>
  </si>
  <si>
    <t xml:space="preserve">Розрахункові характеристики матеріалів і ґрунтів, укріплених в’яжучими</t>
  </si>
  <si>
    <t xml:space="preserve">Марка</t>
  </si>
  <si>
    <t xml:space="preserve">Модуль пружності Е, МПа</t>
  </si>
  <si>
    <t xml:space="preserve">Коефіцієнт варіації, СЕ</t>
  </si>
  <si>
    <t xml:space="preserve">Границя міцність на розтягування при згині, R, МПа</t>
  </si>
  <si>
    <t xml:space="preserve">ЩПС, укріплені цементом, марок:</t>
  </si>
  <si>
    <t xml:space="preserve">Матеріали, отримані за технологією холодного ресайклінгу без додавання нових мінеральних матеріалів, укріплені цементом, марок:</t>
  </si>
  <si>
    <t xml:space="preserve">800-900</t>
  </si>
  <si>
    <t xml:space="preserve">0,40-0,45</t>
  </si>
  <si>
    <t xml:space="preserve">600-700</t>
  </si>
  <si>
    <t xml:space="preserve">0,35-040</t>
  </si>
  <si>
    <t xml:space="preserve">350-400</t>
  </si>
  <si>
    <t xml:space="preserve">0,20-0,25</t>
  </si>
  <si>
    <t xml:space="preserve">Матеріали, отримані за технологією холодного ресайклінгу без додавання нових мінеральних матеріалів, укріплені бітумною емульсією або спіненим бітумом та цементом (комплексним в’яжучим), марок:</t>
  </si>
  <si>
    <t xml:space="preserve">850-950</t>
  </si>
  <si>
    <t xml:space="preserve">0,45-0,50</t>
  </si>
  <si>
    <t xml:space="preserve">650-750</t>
  </si>
  <si>
    <t xml:space="preserve">400-450</t>
  </si>
  <si>
    <t xml:space="preserve">0,25-0,30</t>
  </si>
  <si>
    <r>
      <rPr>
        <sz val="12"/>
        <color rgb="FF000000"/>
        <rFont val="Arial"/>
        <family val="2"/>
        <charset val="204"/>
      </rPr>
      <t xml:space="preserve">Матеріали, отримані за технологією холодного ресайклінгу без додавання нових мінеральних матеріалів, укріплені бітумною емульсією або спіненим бітумом,</t>
    </r>
    <r>
      <rPr>
        <sz val="12"/>
        <color rgb="FFFF0000"/>
        <rFont val="Arial"/>
        <family val="2"/>
        <charset val="204"/>
      </rPr>
      <t xml:space="preserve"> </t>
    </r>
    <r>
      <rPr>
        <sz val="12"/>
        <color rgb="FF000000"/>
        <rFont val="Arial"/>
        <family val="2"/>
        <charset val="204"/>
      </rPr>
      <t xml:space="preserve">марок:</t>
    </r>
  </si>
  <si>
    <t xml:space="preserve">300-350</t>
  </si>
  <si>
    <t xml:space="preserve">0,10-0,12</t>
  </si>
  <si>
    <t xml:space="preserve">200-250</t>
  </si>
  <si>
    <t xml:space="preserve">0,10-0,09</t>
  </si>
  <si>
    <t xml:space="preserve">120-150</t>
  </si>
  <si>
    <t xml:space="preserve">0,09-0,07</t>
  </si>
  <si>
    <t xml:space="preserve">Матеріали, отримані за технологією холодного ресайклінгу з додаванням нових мінеральних матеріалів, укріплені цементом, марок:</t>
  </si>
  <si>
    <t xml:space="preserve">800-970</t>
  </si>
  <si>
    <t xml:space="preserve">0,45-0,55</t>
  </si>
  <si>
    <t xml:space="preserve">650-800</t>
  </si>
  <si>
    <t xml:space="preserve">0,35-0,45</t>
  </si>
  <si>
    <t xml:space="preserve">350-450</t>
  </si>
  <si>
    <t xml:space="preserve">0,20-0,30</t>
  </si>
  <si>
    <t xml:space="preserve">Матеріали, отримані за технологією холодного ресайклінгу з додаванням нових мінеральних матеріалів, укріплені бітумною емульсією або спіненим бітумом та цементом (комплексним в’яжучим), марок:</t>
  </si>
  <si>
    <t xml:space="preserve">850-1000</t>
  </si>
  <si>
    <t xml:space="preserve">0,55-0,60</t>
  </si>
  <si>
    <t xml:space="preserve">700-800</t>
  </si>
  <si>
    <t xml:space="preserve">0,40-0,55</t>
  </si>
  <si>
    <t xml:space="preserve">400-470</t>
  </si>
  <si>
    <t xml:space="preserve">0,25-0,35</t>
  </si>
  <si>
    <t xml:space="preserve">Матеріали, отримані за технологією холодного ресайклінгу з додаванням нових мінеральних матеріалів, укріплені бітумною емульсією або спіненим бітумом, марок:</t>
  </si>
  <si>
    <t xml:space="preserve">320-370</t>
  </si>
  <si>
    <t xml:space="preserve">0,12-0,15</t>
  </si>
  <si>
    <t xml:space="preserve">220-270</t>
  </si>
  <si>
    <t xml:space="preserve">0,12-0,10</t>
  </si>
  <si>
    <t xml:space="preserve">150-180</t>
  </si>
  <si>
    <t xml:space="preserve">Крупноуламкові ґрунти і ПГС оптимального чи близьких до оптимального складів, укріплені комплексними в’яжучими, марок:</t>
  </si>
  <si>
    <t xml:space="preserve">900 – 700</t>
  </si>
  <si>
    <t xml:space="preserve">0,55 – 0,45</t>
  </si>
  <si>
    <t xml:space="preserve">650 – 500</t>
  </si>
  <si>
    <t xml:space="preserve">0,42 – 0,35</t>
  </si>
  <si>
    <t xml:space="preserve">450 – 300</t>
  </si>
  <si>
    <t xml:space="preserve">0,32 – 0,25</t>
  </si>
  <si>
    <t xml:space="preserve">Те саме, укріплені цементом:</t>
  </si>
  <si>
    <t xml:space="preserve">800 – 550</t>
  </si>
  <si>
    <t xml:space="preserve">0,46 – 0,34</t>
  </si>
  <si>
    <t xml:space="preserve">530 – 350</t>
  </si>
  <si>
    <t xml:space="preserve">0,33 – 0,25</t>
  </si>
  <si>
    <t xml:space="preserve">320 – 280</t>
  </si>
  <si>
    <t xml:space="preserve">0,22 – 0,20</t>
  </si>
  <si>
    <t xml:space="preserve">Те саме,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марок:</t>
  </si>
  <si>
    <t xml:space="preserve">700 – 530</t>
  </si>
  <si>
    <t xml:space="preserve">0,40 – 0,32</t>
  </si>
  <si>
    <t xml:space="preserve">500 – 330</t>
  </si>
  <si>
    <t xml:space="preserve">0,31 – 0,22</t>
  </si>
  <si>
    <t xml:space="preserve">300 – 250</t>
  </si>
  <si>
    <t xml:space="preserve">0,20 – 0,18</t>
  </si>
  <si>
    <t xml:space="preserve">Крупноуламкові ґрунти і ПГС оптимального чи близьких до оптимального складу, укріплені в’язким спіненим бітумом або емульсією на в’язкому бітумі</t>
  </si>
  <si>
    <t xml:space="preserve">350 – 250</t>
  </si>
  <si>
    <t xml:space="preserve">0,35 – 0,30</t>
  </si>
  <si>
    <t xml:space="preserve">Крупноуламкові ґрунти і ПГС неоптимального складу, піски (крім дрібних, пилуватих і однорозмірних), супісок легкий, крупний, відходи каменедроблення з маломіцних гірських порід, укріплені комплексними в’яжучими, марок:</t>
  </si>
  <si>
    <t xml:space="preserve">800 – 650</t>
  </si>
  <si>
    <t xml:space="preserve">0,50 – 0,42</t>
  </si>
  <si>
    <t xml:space="preserve">600 – 450</t>
  </si>
  <si>
    <t xml:space="preserve">420 – 280</t>
  </si>
  <si>
    <t xml:space="preserve">0,31 – 0,24</t>
  </si>
  <si>
    <t xml:space="preserve">700 – 500</t>
  </si>
  <si>
    <t xml:space="preserve">0,40 – 0,30</t>
  </si>
  <si>
    <t xml:space="preserve">480 – 330</t>
  </si>
  <si>
    <t xml:space="preserve">0,28 – 0,22</t>
  </si>
  <si>
    <t xml:space="preserve">0,19 – 0,18</t>
  </si>
  <si>
    <t xml:space="preserve">0,25 – 0,17</t>
  </si>
  <si>
    <t xml:space="preserve">280 – 200</t>
  </si>
  <si>
    <t xml:space="preserve">0,16 – 0,12</t>
  </si>
  <si>
    <t xml:space="preserve">Те саме, укріплені в’язким спіненим бітумом або емульсією на в’язкому бітумі</t>
  </si>
  <si>
    <t xml:space="preserve">300 – 200</t>
  </si>
  <si>
    <t xml:space="preserve">0,30 – 0,25</t>
  </si>
  <si>
    <t xml:space="preserve">Піски дрібні і пилуваті, супісок легкий і пилуватий, укріплені комплексними в’яжучими, марок:</t>
  </si>
  <si>
    <t xml:space="preserve">750 – 600</t>
  </si>
  <si>
    <t xml:space="preserve">0,47 – 0,40</t>
  </si>
  <si>
    <t xml:space="preserve">550 – 400</t>
  </si>
  <si>
    <t xml:space="preserve">0,37 – 0,30</t>
  </si>
  <si>
    <t xml:space="preserve">380 – 250</t>
  </si>
  <si>
    <t xml:space="preserve">Те саме, укріплені цементом: </t>
  </si>
  <si>
    <t xml:space="preserve">650 – 480</t>
  </si>
  <si>
    <t xml:space="preserve">0,35 – 0,26</t>
  </si>
  <si>
    <t xml:space="preserve">0,25 – 0,18</t>
  </si>
  <si>
    <t xml:space="preserve">260 – 220</t>
  </si>
  <si>
    <t xml:space="preserve">0,16 – 0,13</t>
  </si>
  <si>
    <r>
      <rPr>
        <sz val="12"/>
        <color rgb="FF000000"/>
        <rFont val="Arial"/>
        <family val="2"/>
        <charset val="204"/>
      </rPr>
      <t xml:space="preserve">Те саме,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t>
    </r>
    <r>
      <rPr>
        <sz val="12"/>
        <color rgb="FFFF0000"/>
        <rFont val="Arial"/>
        <family val="2"/>
        <charset val="204"/>
      </rPr>
      <t xml:space="preserve"> </t>
    </r>
    <r>
      <rPr>
        <sz val="12"/>
        <color rgb="FF000000"/>
        <rFont val="Arial"/>
        <family val="2"/>
        <charset val="204"/>
      </rPr>
      <t xml:space="preserve">марок:</t>
    </r>
  </si>
  <si>
    <t xml:space="preserve">430 – 280</t>
  </si>
  <si>
    <t xml:space="preserve">0,22 – 0,11</t>
  </si>
  <si>
    <t xml:space="preserve">230 – 180</t>
  </si>
  <si>
    <t xml:space="preserve">0,08 – 0,07</t>
  </si>
  <si>
    <t xml:space="preserve">Те саме, укріплені в’язким  спіненим бітумом або емульсією на в’язкому бітумі</t>
  </si>
  <si>
    <t xml:space="preserve">300 – 220</t>
  </si>
  <si>
    <t xml:space="preserve">0,25 – 0,20</t>
  </si>
  <si>
    <t xml:space="preserve">Побічні продукти промисловості (кам’яні матеріали і крупноуламкові ґрунти, які відповідають рудним копалинам, золошлакові суміші, формувальні суміші, тощо), укріплені комплексними в’яжучими, марок:</t>
  </si>
  <si>
    <t xml:space="preserve">700 – 550</t>
  </si>
  <si>
    <t xml:space="preserve">0,45 – 0,37</t>
  </si>
  <si>
    <t xml:space="preserve">0,36 – 0,28</t>
  </si>
  <si>
    <t xml:space="preserve">320 – 200</t>
  </si>
  <si>
    <t xml:space="preserve">0,26 – 0,12</t>
  </si>
  <si>
    <t xml:space="preserve">600 – 420</t>
  </si>
  <si>
    <t xml:space="preserve">0,30 – 0,22</t>
  </si>
  <si>
    <t xml:space="preserve">400 – 250</t>
  </si>
  <si>
    <t xml:space="preserve">0,20 – 0,14</t>
  </si>
  <si>
    <t xml:space="preserve">220 – 180</t>
  </si>
  <si>
    <t xml:space="preserve">0,12 – 0,09</t>
  </si>
  <si>
    <t xml:space="preserve">Супіски важкі і пилуваті, суглинки легкі, укріплені комплексними в’яжучими, марок:</t>
  </si>
  <si>
    <t xml:space="preserve">600 – 500</t>
  </si>
  <si>
    <t xml:space="preserve">0,40 – 0,35</t>
  </si>
  <si>
    <t xml:space="preserve">280 – 150</t>
  </si>
  <si>
    <t xml:space="preserve">0,24 – 0,10</t>
  </si>
  <si>
    <t xml:space="preserve">500 – 350</t>
  </si>
  <si>
    <t xml:space="preserve">0,22 – 0,16</t>
  </si>
  <si>
    <t xml:space="preserve">350 – 230</t>
  </si>
  <si>
    <t xml:space="preserve">200 – 120</t>
  </si>
  <si>
    <t xml:space="preserve">0,09 – 0,07</t>
  </si>
  <si>
    <t xml:space="preserve">0,12 – 0,08</t>
  </si>
  <si>
    <t xml:space="preserve">180 – 100</t>
  </si>
  <si>
    <t xml:space="preserve">0,06 – 0,05</t>
  </si>
  <si>
    <t xml:space="preserve">Те саме, укріплені емульсіями на в’язких бітумах </t>
  </si>
  <si>
    <t xml:space="preserve">250 – 180</t>
  </si>
  <si>
    <t xml:space="preserve">0,17 – 0,10</t>
  </si>
  <si>
    <t xml:space="preserve">Суглинки важкі і пилуваті, глини піщанисті і пилуваті, укріплені мінеральними і комплексними в’яжучими, марок:</t>
  </si>
  <si>
    <t xml:space="preserve">330 – 200</t>
  </si>
  <si>
    <t xml:space="preserve">180 – 80</t>
  </si>
  <si>
    <t xml:space="preserve">Грунтодьоготь</t>
  </si>
  <si>
    <r>
      <rPr>
        <b val="true"/>
        <sz val="12"/>
        <color rgb="FF000000"/>
        <rFont val="Arial"/>
        <family val="2"/>
        <charset val="204"/>
      </rPr>
      <t xml:space="preserve">Примітка 1. </t>
    </r>
    <r>
      <rPr>
        <sz val="12"/>
        <color rgb="FF000000"/>
        <rFont val="Arial"/>
        <family val="2"/>
        <charset val="204"/>
      </rPr>
      <t xml:space="preserve">Під комплексними в’яжучими розуміють комбінацію мінеральних та органічних в’яжучих (цемент та в’язкий спінений бітум; цемент та бітумна емульсія; цемент, вапно та в’язкий спінений бітум або бітумна емульсія, тощо).</t>
    </r>
  </si>
  <si>
    <r>
      <rPr>
        <b val="true"/>
        <sz val="12"/>
        <color rgb="FF000000"/>
        <rFont val="Arial"/>
        <family val="2"/>
        <charset val="204"/>
      </rPr>
      <t xml:space="preserve">Примітка 2. </t>
    </r>
    <r>
      <rPr>
        <sz val="12"/>
        <color rgb="FF000000"/>
        <rFont val="Arial"/>
        <family val="2"/>
        <charset val="204"/>
      </rPr>
      <t xml:space="preserve">Більші значення розрахункових характеристик приймають при:</t>
    </r>
  </si>
  <si>
    <t xml:space="preserve">а) використанні більш якісних мінеральних матеріалів і активних в’яжучих; </t>
  </si>
  <si>
    <t xml:space="preserve">б) укріпленні матеріалів і ґрунтів неорганічними в’яжучими в дорожньо-кліматичних зонах ІІІ та ІV; </t>
  </si>
  <si>
    <t xml:space="preserve">в) укріпленні матеріалів і ґрунтів в’язким спіненим бітумом і бітумною емульсією на в’язкому бітумі в дорожньо-кліматичних зонах І та ІІ.</t>
  </si>
  <si>
    <r>
      <rPr>
        <b val="true"/>
        <sz val="14"/>
        <color rgb="FF000000"/>
        <rFont val="Arial"/>
        <family val="2"/>
        <charset val="204"/>
      </rPr>
      <t xml:space="preserve">Таблиця 5.5</t>
    </r>
    <r>
      <rPr>
        <sz val="14"/>
        <color rgb="FF000000"/>
        <rFont val="Arial"/>
        <family val="2"/>
        <charset val="204"/>
      </rPr>
      <t xml:space="preserve"> - Розрахункові характеристики неукріплених матеріалів </t>
    </r>
  </si>
  <si>
    <t xml:space="preserve">Розрахункові характеристики</t>
  </si>
  <si>
    <t xml:space="preserve">Код матеріалу неукріпленої основи, ОН</t>
  </si>
  <si>
    <t xml:space="preserve">Матеріал (ґрунт)</t>
  </si>
  <si>
    <t xml:space="preserve">Модуль пружності для основ Е, МПа</t>
  </si>
  <si>
    <t xml:space="preserve">Модуль пружності для покриттів Е, МПа</t>
  </si>
  <si>
    <t xml:space="preserve">Кут внутріш-нього тертя φ, град</t>
  </si>
  <si>
    <r>
      <rPr>
        <sz val="12"/>
        <color rgb="FF000000"/>
        <rFont val="Arial"/>
        <family val="2"/>
        <charset val="204"/>
      </rPr>
      <t xml:space="preserve">Зчеплення С</t>
    </r>
    <r>
      <rPr>
        <vertAlign val="subscript"/>
        <sz val="12"/>
        <color rgb="FF000000"/>
        <rFont val="Arial"/>
        <family val="2"/>
        <charset val="204"/>
      </rPr>
      <t xml:space="preserve">м</t>
    </r>
    <r>
      <rPr>
        <sz val="12"/>
        <color rgb="FF000000"/>
        <rFont val="Arial"/>
        <family val="2"/>
        <charset val="204"/>
      </rPr>
      <t xml:space="preserve">, МПа</t>
    </r>
  </si>
  <si>
    <t xml:space="preserve">Коефіцієнт варіації модуля пружності для основ Е, МПа2</t>
  </si>
  <si>
    <t xml:space="preserve">Коефіцієнт варіації модуля пружності для покриттів Е, МПа3</t>
  </si>
  <si>
    <t xml:space="preserve">ОН7 Бетонна бруківка "Г  подібної форми хвиля" розміром (243,5×243,5×120) мм</t>
  </si>
  <si>
    <t xml:space="preserve">ОН12 ПГС згідно з ДСТУ Б В.2.7-30</t>
  </si>
  <si>
    <t xml:space="preserve">ОУ68 Суглинки важкі і пилуваті, глини піщанисті і пилуваті, укріплені дьогтем</t>
  </si>
  <si>
    <t xml:space="preserve">Пісок, що відповідає ви-могам ДСТУ Б В.2.7-32:</t>
  </si>
  <si>
    <r>
      <rPr>
        <sz val="14"/>
        <color rgb="FF000000"/>
        <rFont val="Times New Roman"/>
        <family val="1"/>
        <charset val="204"/>
      </rPr>
      <t xml:space="preserve">Показники с</t>
    </r>
    <r>
      <rPr>
        <vertAlign val="subscript"/>
        <sz val="14"/>
        <color rgb="FF000000"/>
        <rFont val="Times New Roman"/>
        <family val="1"/>
        <charset val="204"/>
      </rPr>
      <t xml:space="preserve">м</t>
    </r>
    <r>
      <rPr>
        <sz val="14"/>
        <color rgb="FF000000"/>
        <rFont val="Times New Roman"/>
        <family val="1"/>
        <charset val="204"/>
      </rPr>
      <t xml:space="preserve"> і Е, прийняті при за-лишковій порис-тості піску, ущі-льненого до мак-симальної щіль-ності 26 % &lt; n &lt; 32 %, при n &lt;26 %  збільшуються на 20 %, а при</t>
    </r>
  </si>
  <si>
    <t xml:space="preserve">дуже крупний, підвище-ної крупності та крупний</t>
  </si>
  <si>
    <t xml:space="preserve">n &gt; 32 % змен-шується на 20 %</t>
  </si>
  <si>
    <t xml:space="preserve">середній </t>
  </si>
  <si>
    <t xml:space="preserve">мілкий </t>
  </si>
  <si>
    <t xml:space="preserve">z</t>
  </si>
  <si>
    <t xml:space="preserve">Коефіцієнт запасу міцності, Кмц, за критерієм граничного стану</t>
  </si>
  <si>
    <r>
      <rPr>
        <sz val="12"/>
        <color rgb="FF000000"/>
        <rFont val="Times New Roman"/>
        <family val="1"/>
        <charset val="204"/>
      </rPr>
      <t xml:space="preserve">Коефіцієнт варіації міцності </t>
    </r>
    <r>
      <rPr>
        <i val="true"/>
        <sz val="12"/>
        <color rgb="FF000000"/>
        <rFont val="Times New Roman"/>
        <family val="1"/>
        <charset val="204"/>
      </rPr>
      <t xml:space="preserve">С</t>
    </r>
    <r>
      <rPr>
        <i val="true"/>
        <vertAlign val="subscript"/>
        <sz val="12"/>
        <color rgb="FF000000"/>
        <rFont val="Times New Roman"/>
        <family val="1"/>
        <charset val="204"/>
      </rPr>
      <t xml:space="preserve">R</t>
    </r>
    <r>
      <rPr>
        <sz val="12"/>
        <color rgb="FF000000"/>
        <rFont val="Times New Roman"/>
        <family val="1"/>
        <charset val="204"/>
      </rPr>
      <t xml:space="preserve"> (жорсткості)</t>
    </r>
  </si>
  <si>
    <r>
      <rPr>
        <sz val="12"/>
        <color rgb="FF000000"/>
        <rFont val="Times New Roman"/>
        <family val="1"/>
        <charset val="204"/>
      </rPr>
      <t xml:space="preserve">Коефіцієнт варіації напруження (потрібного модуля пружності), </t>
    </r>
    <r>
      <rPr>
        <i val="true"/>
        <sz val="12"/>
        <color rgb="FF000000"/>
        <rFont val="Times New Roman"/>
        <family val="1"/>
        <charset val="204"/>
      </rPr>
      <t xml:space="preserve">С</t>
    </r>
    <r>
      <rPr>
        <i val="true"/>
        <vertAlign val="subscript"/>
        <sz val="12"/>
        <color rgb="FF000000"/>
        <rFont val="Times New Roman"/>
        <family val="1"/>
        <charset val="204"/>
      </rPr>
      <t xml:space="preserve">Q</t>
    </r>
    <r>
      <rPr>
        <sz val="12"/>
        <color rgb="FF000000"/>
        <rFont val="Times New Roman"/>
        <family val="1"/>
        <charset val="204"/>
      </rPr>
      <t xml:space="preserve"> для критеріїв розрахунку</t>
    </r>
  </si>
  <si>
    <t xml:space="preserve">Категорія дороги </t>
  </si>
  <si>
    <t xml:space="preserve">Харак-теристика надійності, β</t>
  </si>
  <si>
    <t xml:space="preserve">Коефіцієнт варіації на розтяг при згині СRзг</t>
  </si>
  <si>
    <t xml:space="preserve">Коефіцієнт варіації на загальний модуль пружності СЕзаг</t>
  </si>
  <si>
    <r>
      <rPr>
        <sz val="12"/>
        <color rgb="FF000000"/>
        <rFont val="Times New Roman"/>
        <family val="1"/>
        <charset val="204"/>
      </rPr>
      <t xml:space="preserve">згин моно-літних шарів, </t>
    </r>
    <r>
      <rPr>
        <i val="true"/>
        <sz val="12"/>
        <color rgb="FF000000"/>
        <rFont val="Times New Roman"/>
        <family val="1"/>
        <charset val="204"/>
      </rPr>
      <t xml:space="preserve">с</t>
    </r>
    <r>
      <rPr>
        <i val="true"/>
        <vertAlign val="subscript"/>
        <sz val="12"/>
        <color rgb="FF000000"/>
        <rFont val="Symbol"/>
        <family val="1"/>
        <charset val="2"/>
      </rPr>
      <t xml:space="preserve">s</t>
    </r>
  </si>
  <si>
    <r>
      <rPr>
        <sz val="12"/>
        <color rgb="FF000000"/>
        <rFont val="Times New Roman"/>
        <family val="1"/>
        <charset val="204"/>
      </rPr>
      <t xml:space="preserve">пружний прогин, </t>
    </r>
    <r>
      <rPr>
        <i val="true"/>
        <sz val="12"/>
        <color rgb="FF000000"/>
        <rFont val="Times New Roman"/>
        <family val="1"/>
        <charset val="204"/>
      </rPr>
      <t xml:space="preserve">СЕпотр</t>
    </r>
  </si>
  <si>
    <r>
      <rPr>
        <sz val="12"/>
        <color rgb="FF000000"/>
        <rFont val="Times New Roman"/>
        <family val="1"/>
        <charset val="204"/>
      </rPr>
      <t xml:space="preserve">зсув у нез-в'язних шарах, </t>
    </r>
    <r>
      <rPr>
        <i val="true"/>
        <sz val="12"/>
        <color rgb="FF000000"/>
        <rFont val="Times New Roman"/>
        <family val="1"/>
        <charset val="204"/>
      </rPr>
      <t xml:space="preserve">с</t>
    </r>
    <r>
      <rPr>
        <i val="true"/>
        <vertAlign val="subscript"/>
        <sz val="12"/>
        <color rgb="FF000000"/>
        <rFont val="Times New Roman"/>
        <family val="1"/>
        <charset val="204"/>
      </rPr>
      <t xml:space="preserve">τ</t>
    </r>
  </si>
  <si>
    <r>
      <rPr>
        <i val="true"/>
        <sz val="14"/>
        <color rgb="FF000000"/>
        <rFont val="Arial"/>
        <family val="2"/>
        <charset val="204"/>
      </rPr>
      <t xml:space="preserve">К</t>
    </r>
    <r>
      <rPr>
        <i val="true"/>
        <vertAlign val="subscript"/>
        <sz val="14"/>
        <color rgb="FF000000"/>
        <rFont val="Arial"/>
        <family val="2"/>
        <charset val="204"/>
      </rPr>
      <t xml:space="preserve">н</t>
    </r>
  </si>
  <si>
    <t xml:space="preserve">t</t>
  </si>
  <si>
    <r>
      <rPr>
        <b val="true"/>
        <sz val="14"/>
        <color rgb="FF000000"/>
        <rFont val="Arial"/>
        <family val="2"/>
        <charset val="204"/>
      </rPr>
      <t xml:space="preserve">Таблиця 6.3 - </t>
    </r>
    <r>
      <rPr>
        <sz val="14"/>
        <color rgb="FF000000"/>
        <rFont val="Arial"/>
        <family val="2"/>
        <charset val="204"/>
      </rPr>
      <t xml:space="preserve">Значення коефіцієнта </t>
    </r>
    <r>
      <rPr>
        <i val="true"/>
        <sz val="14"/>
        <color rgb="FF000000"/>
        <rFont val="Arial"/>
        <family val="2"/>
        <charset val="204"/>
      </rPr>
      <t xml:space="preserve">f</t>
    </r>
    <r>
      <rPr>
        <i val="true"/>
        <vertAlign val="subscript"/>
        <sz val="14"/>
        <color rgb="FF000000"/>
        <rFont val="Arial"/>
        <family val="2"/>
        <charset val="204"/>
      </rPr>
      <t xml:space="preserve">смуги</t>
    </r>
  </si>
  <si>
    <r>
      <rPr>
        <sz val="14"/>
        <color rgb="FF000000"/>
        <rFont val="Arial"/>
        <family val="2"/>
        <charset val="204"/>
      </rPr>
      <t xml:space="preserve">Значення коефіцієнта </t>
    </r>
    <r>
      <rPr>
        <i val="true"/>
        <sz val="14"/>
        <color rgb="FF000000"/>
        <rFont val="Arial"/>
        <family val="2"/>
        <charset val="204"/>
      </rPr>
      <t xml:space="preserve">f</t>
    </r>
    <r>
      <rPr>
        <i val="true"/>
        <vertAlign val="subscript"/>
        <sz val="14"/>
        <color rgb="FF000000"/>
        <rFont val="Arial"/>
        <family val="2"/>
        <charset val="204"/>
      </rPr>
      <t xml:space="preserve">смуги</t>
    </r>
    <r>
      <rPr>
        <vertAlign val="subscript"/>
        <sz val="14"/>
        <color rgb="FF000000"/>
        <rFont val="Arial"/>
        <family val="2"/>
        <charset val="204"/>
      </rPr>
      <t xml:space="preserve"> </t>
    </r>
    <r>
      <rPr>
        <sz val="14"/>
        <color rgb="FF000000"/>
        <rFont val="Arial"/>
        <family val="2"/>
        <charset val="204"/>
      </rPr>
      <t xml:space="preserve"> для смуги за номером</t>
    </r>
  </si>
  <si>
    <t xml:space="preserve">1</t>
  </si>
  <si>
    <t xml:space="preserve">2</t>
  </si>
  <si>
    <t xml:space="preserve">3</t>
  </si>
  <si>
    <t xml:space="preserve">4</t>
  </si>
  <si>
    <r>
      <rPr>
        <b val="true"/>
        <sz val="12"/>
        <color rgb="FF000000"/>
        <rFont val="Arial"/>
        <family val="2"/>
        <charset val="204"/>
      </rPr>
      <t xml:space="preserve">Примітка 1.</t>
    </r>
    <r>
      <rPr>
        <sz val="12"/>
        <color rgb="FF000000"/>
        <rFont val="Arial"/>
        <family val="2"/>
        <charset val="204"/>
      </rPr>
      <t xml:space="preserve"> Порядковий номер смуги рахується справа по ходу руху в одному напрямку.</t>
    </r>
  </si>
  <si>
    <r>
      <rPr>
        <b val="true"/>
        <sz val="12"/>
        <color rgb="FF000000"/>
        <rFont val="Arial"/>
        <family val="2"/>
        <charset val="204"/>
      </rPr>
      <t xml:space="preserve">Примітка 2.</t>
    </r>
    <r>
      <rPr>
        <sz val="12"/>
        <color rgb="FF000000"/>
        <rFont val="Arial"/>
        <family val="2"/>
        <charset val="204"/>
      </rPr>
      <t xml:space="preserve"> Для розрахунку узбіч приймають </t>
    </r>
    <r>
      <rPr>
        <i val="true"/>
        <sz val="12"/>
        <color rgb="FF000000"/>
        <rFont val="Arial"/>
        <family val="2"/>
        <charset val="204"/>
      </rPr>
      <t xml:space="preserve">f</t>
    </r>
    <r>
      <rPr>
        <i val="true"/>
        <vertAlign val="subscript"/>
        <sz val="12"/>
        <color rgb="FF000000"/>
        <rFont val="Arial"/>
        <family val="2"/>
        <charset val="204"/>
      </rPr>
      <t xml:space="preserve">смуги</t>
    </r>
    <r>
      <rPr>
        <sz val="12"/>
        <color rgb="FF000000"/>
        <rFont val="Arial"/>
        <family val="2"/>
        <charset val="204"/>
      </rPr>
      <t xml:space="preserve"> = 0,01.</t>
    </r>
  </si>
  <si>
    <r>
      <rPr>
        <b val="true"/>
        <sz val="12"/>
        <color rgb="FF000000"/>
        <rFont val="Arial"/>
        <family val="2"/>
        <charset val="204"/>
      </rPr>
      <t xml:space="preserve">Примітка 3.</t>
    </r>
    <r>
      <rPr>
        <sz val="12"/>
        <color rgb="FF000000"/>
        <rFont val="Arial"/>
        <family val="2"/>
        <charset val="204"/>
      </rPr>
      <t xml:space="preserve"> На перехрещеннях і підходах до них (у місцях зміни напряму руху автомобілів для здійснення лівих поворотів тощо) при розрахунках дорожнього одягу в межах всіх смуг руху потрібно приймати, </t>
    </r>
    <r>
      <rPr>
        <i val="true"/>
        <sz val="12"/>
        <color rgb="FF000000"/>
        <rFont val="Arial"/>
        <family val="2"/>
        <charset val="204"/>
      </rPr>
      <t xml:space="preserve">f</t>
    </r>
    <r>
      <rPr>
        <i val="true"/>
        <vertAlign val="subscript"/>
        <sz val="12"/>
        <color rgb="FF000000"/>
        <rFont val="Arial"/>
        <family val="2"/>
        <charset val="204"/>
      </rPr>
      <t xml:space="preserve">смуги</t>
    </r>
    <r>
      <rPr>
        <sz val="12"/>
        <color rgb="FF000000"/>
        <rFont val="Arial"/>
        <family val="2"/>
        <charset val="204"/>
      </rPr>
      <t xml:space="preserve"> = 0,50 (якщо загальна кількість смуг проїзної частини дороги більша ніж три)</t>
    </r>
    <r>
      <rPr>
        <i val="true"/>
        <sz val="12"/>
        <color rgb="FF000000"/>
        <rFont val="Arial"/>
        <family val="2"/>
        <charset val="204"/>
      </rPr>
      <t xml:space="preserve">.</t>
    </r>
  </si>
  <si>
    <t xml:space="preserve">Таблиця 6.4  - Кількість розрахункових діб на рік</t>
  </si>
  <si>
    <r>
      <rPr>
        <sz val="14"/>
        <color rgb="FF000000"/>
        <rFont val="Arial"/>
        <family val="2"/>
        <charset val="204"/>
      </rPr>
      <t xml:space="preserve">Кількість розрахункових діб на рік (</t>
    </r>
    <r>
      <rPr>
        <i val="true"/>
        <sz val="14"/>
        <color rgb="FF000000"/>
        <rFont val="Arial"/>
        <family val="2"/>
        <charset val="204"/>
      </rPr>
      <t xml:space="preserve">Т</t>
    </r>
    <r>
      <rPr>
        <i val="true"/>
        <vertAlign val="subscript"/>
        <sz val="14"/>
        <color rgb="FF000000"/>
        <rFont val="Arial"/>
        <family val="2"/>
        <charset val="204"/>
      </rPr>
      <t xml:space="preserve">рдр</t>
    </r>
    <r>
      <rPr>
        <sz val="14"/>
        <color rgb="FF000000"/>
        <rFont val="Arial"/>
        <family val="2"/>
        <charset val="204"/>
      </rPr>
      <t xml:space="preserve">) </t>
    </r>
  </si>
  <si>
    <t xml:space="preserve">IV Захід</t>
  </si>
  <si>
    <t xml:space="preserve">IV Південь</t>
  </si>
  <si>
    <r>
      <rPr>
        <sz val="14"/>
        <color rgb="FF000000"/>
        <rFont val="Arial"/>
        <family val="2"/>
        <charset val="204"/>
      </rPr>
      <t xml:space="preserve">Розрахункова температура, </t>
    </r>
    <r>
      <rPr>
        <sz val="14"/>
        <color rgb="FF000000"/>
        <rFont val="Symbol"/>
        <family val="1"/>
        <charset val="2"/>
      </rPr>
      <t xml:space="preserve">°</t>
    </r>
    <r>
      <rPr>
        <sz val="14"/>
        <color rgb="FF000000"/>
        <rFont val="Arial"/>
        <family val="2"/>
        <charset val="204"/>
      </rPr>
      <t xml:space="preserve">С</t>
    </r>
  </si>
  <si>
    <r>
      <rPr>
        <b val="true"/>
        <sz val="14"/>
        <color rgb="FF000000"/>
        <rFont val="Arial"/>
        <family val="2"/>
        <charset val="204"/>
      </rPr>
      <t xml:space="preserve">Таблиця 6.6 - </t>
    </r>
    <r>
      <rPr>
        <sz val="14"/>
        <color rgb="FF000000"/>
        <rFont val="Arial"/>
        <family val="2"/>
        <charset val="204"/>
      </rPr>
      <t xml:space="preserve">Значення мінімального потрібного модуля пружності дорожнього одягу</t>
    </r>
  </si>
  <si>
    <t xml:space="preserve">Мінімальний потрібний модуль пружності, МПа, в залежності від типу дорожнього одягу</t>
  </si>
  <si>
    <t xml:space="preserve">Потрібний модуль пружності основи</t>
  </si>
  <si>
    <t xml:space="preserve">капітальний </t>
  </si>
  <si>
    <t xml:space="preserve">удосконалений полегшений</t>
  </si>
  <si>
    <t xml:space="preserve">перехідний</t>
  </si>
  <si>
    <t xml:space="preserve">k4</t>
  </si>
  <si>
    <t xml:space="preserve">Матеріал шару,  що розраховується</t>
  </si>
  <si>
    <r>
      <rPr>
        <i val="true"/>
        <sz val="14"/>
        <color rgb="FF000000"/>
        <rFont val="Arial"/>
        <family val="2"/>
        <charset val="204"/>
      </rPr>
      <t xml:space="preserve">k</t>
    </r>
    <r>
      <rPr>
        <i val="true"/>
        <vertAlign val="subscript"/>
        <sz val="14"/>
        <color rgb="FF000000"/>
        <rFont val="Arial"/>
        <family val="2"/>
        <charset val="204"/>
      </rPr>
      <t xml:space="preserve">m</t>
    </r>
  </si>
  <si>
    <r>
      <rPr>
        <i val="true"/>
        <sz val="14"/>
        <color rgb="FF000000"/>
        <rFont val="Arial"/>
        <family val="2"/>
        <charset val="204"/>
      </rPr>
      <t xml:space="preserve">k</t>
    </r>
    <r>
      <rPr>
        <i val="true"/>
        <vertAlign val="subscript"/>
        <sz val="14"/>
        <color rgb="FF000000"/>
        <rFont val="Arial"/>
        <family val="2"/>
        <charset val="204"/>
      </rPr>
      <t xml:space="preserve">Т</t>
    </r>
  </si>
  <si>
    <t xml:space="preserve">Асфальтополімербетон</t>
  </si>
  <si>
    <t xml:space="preserve">    Асфальтобетон щільний І марки</t>
  </si>
  <si>
    <t xml:space="preserve">   Асфальтобетон щільний ІІ марки</t>
  </si>
  <si>
    <t xml:space="preserve">Асфальтобетон щебенево-мастиковий</t>
  </si>
  <si>
    <t xml:space="preserve">Асфальтобетон пористий </t>
  </si>
  <si>
    <t xml:space="preserve">Асфальтобетон високопористий</t>
  </si>
  <si>
    <t xml:space="preserve">Діаметр відбитка колеса Dн, м</t>
  </si>
  <si>
    <t xml:space="preserve">Ia-II</t>
  </si>
  <si>
    <t xml:space="preserve">А1</t>
  </si>
  <si>
    <t xml:space="preserve">А3</t>
  </si>
  <si>
    <t xml:space="preserve">В</t>
  </si>
  <si>
    <t xml:space="preserve">Ia-II, III</t>
  </si>
  <si>
    <t xml:space="preserve">III, IV-V</t>
  </si>
  <si>
    <t xml:space="preserve">Показник</t>
  </si>
  <si>
    <t xml:space="preserve">Одиниця вимірювання</t>
  </si>
  <si>
    <t xml:space="preserve">Кількість смуг</t>
  </si>
  <si>
    <t xml:space="preserve">Ширина смуги руху</t>
  </si>
  <si>
    <t xml:space="preserve">Ширина узбіччя, у тому числі</t>
  </si>
  <si>
    <t xml:space="preserve">ширина зупиночної смуги разом з укрвпленою смугою</t>
  </si>
  <si>
    <t xml:space="preserve">ширина укріпленої смуги</t>
  </si>
  <si>
    <t xml:space="preserve">Ширина розділювальної смуги</t>
  </si>
  <si>
    <t xml:space="preserve">Ширина укріпленої смуги на розділювальній смузі</t>
  </si>
  <si>
    <t xml:space="preserve">шт</t>
  </si>
  <si>
    <t xml:space="preserve">4; 6; 8</t>
  </si>
  <si>
    <t xml:space="preserve">4; 6</t>
  </si>
  <si>
    <t xml:space="preserve">м</t>
  </si>
  <si>
    <t xml:space="preserve">Таблиця Ж.2</t>
  </si>
  <si>
    <t xml:space="preserve">Автотранспортний засіб</t>
  </si>
  <si>
    <t xml:space="preserve">Легкі</t>
  </si>
  <si>
    <t xml:space="preserve">FIAT Ducato 14 2,8 D</t>
  </si>
  <si>
    <t xml:space="preserve">FORD Transit FT 150 2.5 D</t>
  </si>
  <si>
    <t xml:space="preserve">IVECO Daily 35 S 12 V</t>
  </si>
  <si>
    <r>
      <rPr>
        <sz val="12"/>
        <rFont val="Times New Roman"/>
        <family val="1"/>
        <charset val="204"/>
      </rPr>
      <t xml:space="preserve">MERCEDES-BENZ Sprinter 200-300</t>
    </r>
    <r>
      <rPr>
        <vertAlign val="superscript"/>
        <sz val="12"/>
        <rFont val="Times New Roman"/>
        <family val="1"/>
        <charset val="204"/>
      </rPr>
      <t xml:space="preserve">1)</t>
    </r>
  </si>
  <si>
    <t xml:space="preserve">Sn</t>
  </si>
  <si>
    <r>
      <rPr>
        <sz val="12"/>
        <rFont val="Times New Roman"/>
        <family val="1"/>
        <charset val="204"/>
      </rPr>
      <t xml:space="preserve">MERCEDES-BENZ Sprinter 400</t>
    </r>
    <r>
      <rPr>
        <vertAlign val="superscript"/>
        <sz val="12"/>
        <rFont val="Times New Roman"/>
        <family val="1"/>
        <charset val="204"/>
      </rPr>
      <t xml:space="preserve">1)</t>
    </r>
  </si>
  <si>
    <t xml:space="preserve">Peugot Boxer 350M 2,5D</t>
  </si>
  <si>
    <t xml:space="preserve">VOLKSWAGEN LT31 2.5D</t>
  </si>
  <si>
    <t xml:space="preserve">ГАЗ 2705 "ГАЗель"</t>
  </si>
  <si>
    <t xml:space="preserve">ГАЗ 2752 "Соболь"</t>
  </si>
  <si>
    <t xml:space="preserve">Середні</t>
  </si>
  <si>
    <t xml:space="preserve">DAF LF FA 45. 130-06</t>
  </si>
  <si>
    <t xml:space="preserve">IVECO Daily 50 C 13 V</t>
  </si>
  <si>
    <t xml:space="preserve">IVECO Daily 65 C 15 V </t>
  </si>
  <si>
    <t xml:space="preserve">IVECO EuroCargo ML 80E18</t>
  </si>
  <si>
    <r>
      <rPr>
        <sz val="12"/>
        <rFont val="Times New Roman"/>
        <family val="1"/>
        <charset val="204"/>
      </rPr>
      <t xml:space="preserve">MERCEDES-BENZ Vario 500-600</t>
    </r>
    <r>
      <rPr>
        <vertAlign val="superscript"/>
        <sz val="12"/>
        <rFont val="Times New Roman"/>
        <family val="1"/>
        <charset val="204"/>
      </rPr>
      <t xml:space="preserve">1)</t>
    </r>
  </si>
  <si>
    <r>
      <rPr>
        <sz val="12"/>
        <rFont val="Times New Roman"/>
        <family val="1"/>
        <charset val="204"/>
      </rPr>
      <t xml:space="preserve">MERCEDES-BENZ Vario 700-800</t>
    </r>
    <r>
      <rPr>
        <vertAlign val="superscript"/>
        <sz val="12"/>
        <rFont val="Times New Roman"/>
        <family val="1"/>
        <charset val="204"/>
      </rPr>
      <t xml:space="preserve">1)</t>
    </r>
  </si>
  <si>
    <t xml:space="preserve">RENAULT Midliner S 135-08A</t>
  </si>
  <si>
    <t xml:space="preserve">ЗИЛ 5301 АО "Бычок"</t>
  </si>
  <si>
    <t xml:space="preserve">КАМАЗ 4326</t>
  </si>
  <si>
    <t xml:space="preserve">МАЗ 437040-022 (-062)</t>
  </si>
  <si>
    <t xml:space="preserve">Важкі</t>
  </si>
  <si>
    <t xml:space="preserve">DAF CF FA 65.210</t>
  </si>
  <si>
    <t xml:space="preserve">IVECO EuroCargo ML 135E18W</t>
  </si>
  <si>
    <t xml:space="preserve">IVECO EuroCargo ML 180E21T</t>
  </si>
  <si>
    <t xml:space="preserve">MAN L2000 8.163</t>
  </si>
  <si>
    <t xml:space="preserve">MAN M2000 12.163</t>
  </si>
  <si>
    <t xml:space="preserve">MAN M2000 18.224</t>
  </si>
  <si>
    <t xml:space="preserve">MAN M2000 26.310</t>
  </si>
  <si>
    <r>
      <rPr>
        <sz val="12"/>
        <rFont val="Times New Roman"/>
        <family val="1"/>
        <charset val="204"/>
      </rPr>
      <t xml:space="preserve">MERCEDES-BENZ Atego 1000</t>
    </r>
    <r>
      <rPr>
        <vertAlign val="superscript"/>
        <sz val="12"/>
        <rFont val="Times New Roman"/>
        <family val="1"/>
        <charset val="204"/>
      </rPr>
      <t xml:space="preserve">1)</t>
    </r>
  </si>
  <si>
    <r>
      <rPr>
        <sz val="12"/>
        <rFont val="Times New Roman"/>
        <family val="1"/>
        <charset val="204"/>
      </rPr>
      <t xml:space="preserve">MERCEDES-BENZ Atego 1300</t>
    </r>
    <r>
      <rPr>
        <vertAlign val="superscript"/>
        <sz val="12"/>
        <rFont val="Times New Roman"/>
        <family val="1"/>
        <charset val="204"/>
      </rPr>
      <t xml:space="preserve">1)</t>
    </r>
  </si>
  <si>
    <r>
      <rPr>
        <sz val="12"/>
        <rFont val="Times New Roman"/>
        <family val="1"/>
        <charset val="204"/>
      </rPr>
      <t xml:space="preserve">MERCEDES-BENZ Atego 1800</t>
    </r>
    <r>
      <rPr>
        <vertAlign val="superscript"/>
        <sz val="12"/>
        <rFont val="Times New Roman"/>
        <family val="1"/>
        <charset val="204"/>
      </rPr>
      <t xml:space="preserve">1)</t>
    </r>
  </si>
  <si>
    <t xml:space="preserve">RENAULT Midliner S 150-09B </t>
  </si>
  <si>
    <t xml:space="preserve">SCANIA P94 4x2 220</t>
  </si>
  <si>
    <t xml:space="preserve">SCODA LIAZ 12.18PB</t>
  </si>
  <si>
    <t xml:space="preserve">VOLVO FL 616</t>
  </si>
  <si>
    <t xml:space="preserve">VOLVO FL 7</t>
  </si>
  <si>
    <t xml:space="preserve">ЗИЛ 133ГЯ</t>
  </si>
  <si>
    <t xml:space="preserve">КАМАЗ 5320</t>
  </si>
  <si>
    <t xml:space="preserve">КАМАЗ 53212</t>
  </si>
  <si>
    <t xml:space="preserve">КАМАЗ 55111</t>
  </si>
  <si>
    <t xml:space="preserve">КрАЗ 6510</t>
  </si>
  <si>
    <t xml:space="preserve">МАЗ 555102-2120</t>
  </si>
  <si>
    <t xml:space="preserve">МАЗ 630300-2121</t>
  </si>
  <si>
    <t xml:space="preserve">УРАЛ 377Н</t>
  </si>
  <si>
    <t xml:space="preserve">Автомобілі з причепами</t>
  </si>
  <si>
    <t xml:space="preserve">DAF FAG 75CF</t>
  </si>
  <si>
    <t xml:space="preserve">IVECO Daily 50 C 13 V + Niewiadow A2001A </t>
  </si>
  <si>
    <t xml:space="preserve">MAN F2000 23/314 +KOGEL AN18P</t>
  </si>
  <si>
    <t xml:space="preserve">MERCEDES-BENZ Atego 2528 +Kassbohrer</t>
  </si>
  <si>
    <t xml:space="preserve">SCANIA R114 4x2 340 +KRONE ADP24</t>
  </si>
  <si>
    <t xml:space="preserve">VOLVO FH12 380R +KOGEL AN24P (20)</t>
  </si>
  <si>
    <t xml:space="preserve">ЗИЛ 130 +ГКБ 8328-01</t>
  </si>
  <si>
    <t xml:space="preserve">ЗИЛ 433360 +ГКБ 8328</t>
  </si>
  <si>
    <t xml:space="preserve">КАМАЗ 5320 +ГКБ 8350</t>
  </si>
  <si>
    <t xml:space="preserve">КАМАЗ 53212 +СЗАП 83571</t>
  </si>
  <si>
    <t xml:space="preserve">МАЗ 533702-2120 +МАЗ 8926-02</t>
  </si>
  <si>
    <t xml:space="preserve">МАЗ 630300-2121 +МАЗ 83781</t>
  </si>
  <si>
    <t xml:space="preserve">МАЗ 630305-020 +МАЗ 8701</t>
  </si>
  <si>
    <t xml:space="preserve">Автомобілі з напівпричепами</t>
  </si>
  <si>
    <t xml:space="preserve">DAF XF FT 95.530 + Sommer SW 240</t>
  </si>
  <si>
    <t xml:space="preserve">IVECO EuroStart LD 440E52T +Schmitz Cargobull SCO 24 </t>
  </si>
  <si>
    <t xml:space="preserve">MAN F2000 19.372 +Sommer SP 240</t>
  </si>
  <si>
    <t xml:space="preserve">MERCEDES-BENZ Actros 1840 +Kogel SLK 20-32</t>
  </si>
  <si>
    <t xml:space="preserve">RENAULT Premium HR 385.18 +Kassbohrer SB 12-20</t>
  </si>
  <si>
    <t xml:space="preserve">RENAULT Magnum AE +Schmitz Cargobull SCF 24 G</t>
  </si>
  <si>
    <t xml:space="preserve">SCANIA 113HA +Kogel SVKT 24 P 10</t>
  </si>
  <si>
    <t xml:space="preserve">VOLVO FH12/420 +Kogel SN24 P 100</t>
  </si>
  <si>
    <t xml:space="preserve">КАМАЗ 5410 +СЗАП 9370-01</t>
  </si>
  <si>
    <t xml:space="preserve">КАМАЗ 54112 +СЗАП 9905</t>
  </si>
  <si>
    <t xml:space="preserve">МАЗ 504В +МАЗ 5205А</t>
  </si>
  <si>
    <t xml:space="preserve">МАЗ 54323-028 +МАЗ 9397</t>
  </si>
  <si>
    <t xml:space="preserve">МАЗ 54323-028 +ППЦ 17</t>
  </si>
  <si>
    <t xml:space="preserve">МАЗ 543302-2120 +МАЗ 93802</t>
  </si>
  <si>
    <t xml:space="preserve">МАЗ 543202 –2120 +МАЗ 93802</t>
  </si>
  <si>
    <t xml:space="preserve">МАЗ 642208-020 +МАЗ 93892</t>
  </si>
  <si>
    <t xml:space="preserve">МАЗ 642208-020 +МАЗ 93866</t>
  </si>
  <si>
    <t xml:space="preserve">МАЗ 642208-020 +ППЦ 35</t>
  </si>
  <si>
    <t xml:space="preserve">МАЗ 64226 +МАЗ 93802</t>
  </si>
  <si>
    <t xml:space="preserve">БОГДАН А091</t>
  </si>
  <si>
    <t xml:space="preserve">ГАЗ 32213 "ГАЗель"</t>
  </si>
  <si>
    <t xml:space="preserve">ЛАЗ 695</t>
  </si>
  <si>
    <t xml:space="preserve">ЛАЗ 4207</t>
  </si>
  <si>
    <t xml:space="preserve">ICARUS 256</t>
  </si>
  <si>
    <t xml:space="preserve">IVECO Daily 50 S 13 B</t>
  </si>
  <si>
    <t xml:space="preserve">IVECO TurboDaily 3512</t>
  </si>
  <si>
    <r>
      <rPr>
        <sz val="12"/>
        <rFont val="Times New Roman"/>
        <family val="1"/>
        <charset val="204"/>
      </rPr>
      <t xml:space="preserve">MERCEDES-BENZ Sprinter 200-400</t>
    </r>
    <r>
      <rPr>
        <vertAlign val="superscript"/>
        <sz val="12"/>
        <rFont val="Times New Roman"/>
        <family val="1"/>
        <charset val="204"/>
      </rPr>
      <t xml:space="preserve">1)</t>
    </r>
  </si>
  <si>
    <r>
      <rPr>
        <sz val="12"/>
        <rFont val="Times New Roman"/>
        <family val="1"/>
        <charset val="204"/>
      </rPr>
      <t xml:space="preserve">MERCEDES-BENZ Vario 500-700</t>
    </r>
    <r>
      <rPr>
        <vertAlign val="superscript"/>
        <sz val="12"/>
        <rFont val="Times New Roman"/>
        <family val="1"/>
        <charset val="204"/>
      </rPr>
      <t xml:space="preserve">1)</t>
    </r>
  </si>
  <si>
    <r>
      <rPr>
        <sz val="12"/>
        <rFont val="Times New Roman"/>
        <family val="1"/>
        <charset val="204"/>
      </rPr>
      <t xml:space="preserve">MERCEDES-BENZ Vario 800</t>
    </r>
    <r>
      <rPr>
        <vertAlign val="superscript"/>
        <sz val="12"/>
        <rFont val="Times New Roman"/>
        <family val="1"/>
        <charset val="204"/>
      </rPr>
      <t xml:space="preserve">1)</t>
    </r>
  </si>
  <si>
    <t xml:space="preserve">NEOPLAN N 117 Spaceliner</t>
  </si>
  <si>
    <t xml:space="preserve">NEOPLAN N 123 Skyliner</t>
  </si>
  <si>
    <t xml:space="preserve">VOLKSWAGEN Transporter</t>
  </si>
  <si>
    <r>
      <rPr>
        <b val="true"/>
        <sz val="12"/>
        <rFont val="Times New Roman"/>
        <family val="1"/>
        <charset val="204"/>
      </rPr>
      <t xml:space="preserve">Примітка. </t>
    </r>
    <r>
      <rPr>
        <b val="true"/>
        <vertAlign val="superscript"/>
        <sz val="12"/>
        <rFont val="Times New Roman"/>
        <family val="1"/>
        <charset val="204"/>
      </rPr>
      <t xml:space="preserve">1)</t>
    </r>
    <r>
      <rPr>
        <b val="true"/>
        <sz val="12"/>
        <rFont val="Times New Roman"/>
        <family val="1"/>
        <charset val="204"/>
      </rPr>
      <t xml:space="preserve"> </t>
    </r>
    <r>
      <rPr>
        <sz val="12"/>
        <rFont val="Times New Roman"/>
        <family val="1"/>
        <charset val="204"/>
      </rPr>
      <t xml:space="preserve">Коефіцієнти приведення до розрахункового навантаження визначені для усіх модифікацій наведеної моделі транспортного засобу корпорації DAIMLER – CRAICLER.</t>
    </r>
  </si>
  <si>
    <t xml:space="preserve">Максимальні розтягуючі напруження при згині б в   </t>
  </si>
  <si>
    <t xml:space="preserve">монолітному покритті (шар 2)</t>
  </si>
  <si>
    <t xml:space="preserve">Таблиця 2</t>
  </si>
  <si>
    <t xml:space="preserve">E1/E2</t>
  </si>
  <si>
    <t xml:space="preserve">Значение Sr при h/D</t>
  </si>
  <si>
    <t xml:space="preserve">Куб</t>
  </si>
  <si>
    <t xml:space="preserve">Квадрат</t>
  </si>
  <si>
    <t xml:space="preserve">Лінійний</t>
  </si>
  <si>
    <t xml:space="preserve">Вільний член</t>
  </si>
  <si>
    <t xml:space="preserve">Приклад</t>
  </si>
  <si>
    <t xml:space="preserve">E(i+1)</t>
  </si>
  <si>
    <t xml:space="preserve">Е(і+1)/Е</t>
  </si>
  <si>
    <t xml:space="preserve">Ei</t>
  </si>
  <si>
    <t xml:space="preserve">h</t>
  </si>
  <si>
    <t xml:space="preserve">Eзаг/Еі</t>
  </si>
  <si>
    <t xml:space="preserve">Значення  Е(і+1)/Еі</t>
  </si>
  <si>
    <t xml:space="preserve"> при  h/D</t>
  </si>
  <si>
    <t xml:space="preserve">Розрахунок неоднорідності за критерієм зсуву</t>
  </si>
  <si>
    <t xml:space="preserve">Ecр - середній модуль пружності пакету матеріалів;</t>
  </si>
  <si>
    <t xml:space="preserve">Егр - модуль пружності ґрунтового півпростору;</t>
  </si>
  <si>
    <t xml:space="preserve">сЕ1 - коефіцієнт варіації середнього модуля пружності пакету шарів дорожнього одягу, </t>
  </si>
  <si>
    <t xml:space="preserve">сЕ2 - коефіцієнт варіації модуля пружності ґрунтового півпростору, </t>
  </si>
  <si>
    <t xml:space="preserve">φ - кут внутрішнього тертя грунту;</t>
  </si>
  <si>
    <t xml:space="preserve">сφ- коефіцієнт варіації кута внутрішнього тертя;</t>
  </si>
  <si>
    <t xml:space="preserve">h -  загальна товщина пакету шарів дорожнього одягу;</t>
  </si>
  <si>
    <t xml:space="preserve">сН -  коефіцієнт варіації товщини дорожнього одягу;</t>
  </si>
  <si>
    <t xml:space="preserve">D – діаметр відбитку колеса.</t>
  </si>
  <si>
    <t xml:space="preserve">Коефіцієнт варіації активного напруження зсуву сτ</t>
  </si>
  <si>
    <t xml:space="preserve">Інтенсивність руху, сумарна</t>
  </si>
  <si>
    <t xml:space="preserve">Потрібний модуль пружності ОНД</t>
  </si>
  <si>
    <t xml:space="preserve">Запас міцності по ВСН 46-83</t>
  </si>
  <si>
    <t xml:space="preserve">Т а б л и ц я  3.14.</t>
  </si>
  <si>
    <t xml:space="preserve">Iб, II</t>
  </si>
  <si>
    <t xml:space="preserve">Надійність, Н</t>
  </si>
  <si>
    <t xml:space="preserve">Характеристика надійності,</t>
  </si>
  <si>
    <t xml:space="preserve">Коефіцієнт запасу міцності</t>
  </si>
</sst>
</file>

<file path=xl/styles.xml><?xml version="1.0" encoding="utf-8"?>
<styleSheet xmlns="http://schemas.openxmlformats.org/spreadsheetml/2006/main">
  <numFmts count="10">
    <numFmt numFmtId="164" formatCode="General"/>
    <numFmt numFmtId="165" formatCode="#,##0"/>
    <numFmt numFmtId="166" formatCode="0"/>
    <numFmt numFmtId="167" formatCode="0.00"/>
    <numFmt numFmtId="168" formatCode="0.0"/>
    <numFmt numFmtId="169" formatCode="0.000"/>
    <numFmt numFmtId="170" formatCode="0.0000000"/>
    <numFmt numFmtId="171" formatCode="0.00000"/>
    <numFmt numFmtId="172" formatCode="0.0000"/>
    <numFmt numFmtId="173" formatCode="0.000000"/>
  </numFmts>
  <fonts count="102">
    <font>
      <sz val="11"/>
      <color rgb="FF000000"/>
      <name val="Times New Roman"/>
      <family val="2"/>
      <charset val="204"/>
    </font>
    <font>
      <sz val="10"/>
      <name val="Arial"/>
      <family val="0"/>
    </font>
    <font>
      <sz val="10"/>
      <name val="Arial"/>
      <family val="0"/>
    </font>
    <font>
      <sz val="10"/>
      <name val="Arial"/>
      <family val="0"/>
    </font>
    <font>
      <sz val="12"/>
      <color rgb="FF000000"/>
      <name val="Times New Roman"/>
      <family val="1"/>
      <charset val="204"/>
    </font>
    <font>
      <b val="true"/>
      <sz val="14"/>
      <color rgb="FF000000"/>
      <name val="Times New Roman"/>
      <family val="1"/>
      <charset val="204"/>
    </font>
    <font>
      <sz val="12"/>
      <name val="Times New Roman"/>
      <family val="1"/>
      <charset val="204"/>
    </font>
    <font>
      <sz val="11"/>
      <color rgb="FF000000"/>
      <name val="Calibri"/>
      <family val="2"/>
      <charset val="204"/>
    </font>
    <font>
      <sz val="10"/>
      <color rgb="FF000000"/>
      <name val="Times New Roman"/>
      <family val="1"/>
      <charset val="204"/>
    </font>
    <font>
      <sz val="9"/>
      <color rgb="FF000000"/>
      <name val="Times New Roman"/>
      <family val="1"/>
      <charset val="204"/>
    </font>
    <font>
      <b val="true"/>
      <sz val="12"/>
      <color rgb="FF000000"/>
      <name val="Times New Roman"/>
      <family val="1"/>
      <charset val="204"/>
    </font>
    <font>
      <sz val="11"/>
      <color rgb="FF000000"/>
      <name val="Times New Roman"/>
      <family val="1"/>
      <charset val="204"/>
    </font>
    <font>
      <b val="true"/>
      <sz val="11"/>
      <color rgb="FF000000"/>
      <name val="Times New Roman"/>
      <family val="1"/>
      <charset val="204"/>
    </font>
    <font>
      <i val="true"/>
      <sz val="12"/>
      <color rgb="FF000000"/>
      <name val="Times New Roman"/>
      <family val="1"/>
      <charset val="204"/>
    </font>
    <font>
      <i val="true"/>
      <vertAlign val="subscript"/>
      <sz val="12"/>
      <color rgb="FF000000"/>
      <name val="Times New Roman"/>
      <family val="1"/>
      <charset val="204"/>
    </font>
    <font>
      <i val="true"/>
      <sz val="11"/>
      <color rgb="FF000000"/>
      <name val="Times New Roman"/>
      <family val="1"/>
      <charset val="204"/>
    </font>
    <font>
      <sz val="12"/>
      <color rgb="FF000000"/>
      <name val="Times New Roman"/>
      <family val="2"/>
      <charset val="204"/>
    </font>
    <font>
      <sz val="14"/>
      <color rgb="FF000000"/>
      <name val="Times New Roman"/>
      <family val="2"/>
      <charset val="204"/>
    </font>
    <font>
      <sz val="16"/>
      <color rgb="FF000000"/>
      <name val="Times New Roman"/>
      <family val="2"/>
      <charset val="204"/>
    </font>
    <font>
      <sz val="10"/>
      <color rgb="FF000000"/>
      <name val="Times New Roman"/>
      <family val="2"/>
      <charset val="204"/>
    </font>
    <font>
      <sz val="8"/>
      <color rgb="FF000000"/>
      <name val="Times New Roman"/>
      <family val="2"/>
      <charset val="204"/>
    </font>
    <font>
      <i val="true"/>
      <sz val="11"/>
      <color rgb="FF000000"/>
      <name val="Times New Roman"/>
      <family val="2"/>
      <charset val="204"/>
    </font>
    <font>
      <i val="true"/>
      <vertAlign val="subscript"/>
      <sz val="11"/>
      <color rgb="FF000000"/>
      <name val="Times New Roman"/>
      <family val="2"/>
      <charset val="204"/>
    </font>
    <font>
      <vertAlign val="subscript"/>
      <sz val="12"/>
      <color rgb="FF000000"/>
      <name val="Times New Roman"/>
      <family val="1"/>
      <charset val="204"/>
    </font>
    <font>
      <vertAlign val="subscript"/>
      <sz val="11"/>
      <color rgb="FF000000"/>
      <name val="Times New Roman"/>
      <family val="1"/>
      <charset val="204"/>
    </font>
    <font>
      <sz val="14"/>
      <color rgb="FF000000"/>
      <name val="Times New Roman"/>
      <family val="1"/>
      <charset val="204"/>
    </font>
    <font>
      <i val="true"/>
      <sz val="12"/>
      <name val="Times New Roman"/>
      <family val="1"/>
      <charset val="204"/>
    </font>
    <font>
      <sz val="14"/>
      <name val="Times New Roman"/>
      <family val="1"/>
      <charset val="204"/>
    </font>
    <font>
      <sz val="12"/>
      <name val="Arial Cyr"/>
      <family val="2"/>
      <charset val="204"/>
    </font>
    <font>
      <i val="true"/>
      <vertAlign val="subscript"/>
      <sz val="12"/>
      <name val="Times New Roman"/>
      <family val="1"/>
      <charset val="204"/>
    </font>
    <font>
      <i val="true"/>
      <sz val="14"/>
      <color rgb="FF000000"/>
      <name val="Arial"/>
      <family val="2"/>
      <charset val="204"/>
    </font>
    <font>
      <i val="true"/>
      <sz val="14"/>
      <color rgb="FF000000"/>
      <name val="Times New Roman"/>
      <family val="1"/>
      <charset val="204"/>
    </font>
    <font>
      <i val="true"/>
      <vertAlign val="subscript"/>
      <sz val="14"/>
      <color rgb="FF000000"/>
      <name val="Times New Roman"/>
      <family val="1"/>
      <charset val="204"/>
    </font>
    <font>
      <sz val="4"/>
      <color rgb="FF000000"/>
      <name val="Times New Roman"/>
      <family val="1"/>
      <charset val="204"/>
    </font>
    <font>
      <vertAlign val="subscript"/>
      <sz val="14"/>
      <color rgb="FF000000"/>
      <name val="Times New Roman"/>
      <family val="1"/>
      <charset val="204"/>
    </font>
    <font>
      <sz val="14"/>
      <color rgb="FFFF0000"/>
      <name val="Times New Roman"/>
      <family val="2"/>
      <charset val="204"/>
    </font>
    <font>
      <i val="true"/>
      <sz val="14"/>
      <color rgb="FF000000"/>
      <name val="Calibri"/>
      <family val="2"/>
      <charset val="204"/>
    </font>
    <font>
      <i val="true"/>
      <vertAlign val="subscript"/>
      <sz val="14"/>
      <color rgb="FF000000"/>
      <name val="Calibri"/>
      <family val="2"/>
      <charset val="204"/>
    </font>
    <font>
      <i val="true"/>
      <sz val="14"/>
      <color rgb="FF000000"/>
      <name val="Times New Roman"/>
      <family val="2"/>
      <charset val="204"/>
    </font>
    <font>
      <sz val="14"/>
      <color rgb="FF000000"/>
      <name val="Arial"/>
      <family val="2"/>
      <charset val="204"/>
    </font>
    <font>
      <b val="true"/>
      <sz val="12"/>
      <color rgb="FF000000"/>
      <name val="Arial"/>
      <family val="2"/>
      <charset val="204"/>
    </font>
    <font>
      <sz val="12"/>
      <color rgb="FF000000"/>
      <name val="Arial"/>
      <family val="2"/>
      <charset val="204"/>
    </font>
    <font>
      <sz val="7"/>
      <color rgb="FF000000"/>
      <name val="Times New Roman"/>
      <family val="1"/>
      <charset val="204"/>
    </font>
    <font>
      <b val="true"/>
      <sz val="10"/>
      <color rgb="FF000000"/>
      <name val="Times New Roman"/>
      <family val="1"/>
      <charset val="204"/>
    </font>
    <font>
      <sz val="10"/>
      <name val="Arial"/>
      <family val="2"/>
      <charset val="204"/>
    </font>
    <font>
      <sz val="10"/>
      <name val="Times New Roman"/>
      <family val="1"/>
      <charset val="204"/>
    </font>
    <font>
      <i val="true"/>
      <sz val="14"/>
      <name val="Times New Roman"/>
      <family val="1"/>
      <charset val="204"/>
    </font>
    <font>
      <i val="true"/>
      <vertAlign val="subscript"/>
      <sz val="14"/>
      <name val="Times New Roman"/>
      <family val="1"/>
      <charset val="204"/>
    </font>
    <font>
      <b val="true"/>
      <sz val="10"/>
      <name val="Times New Roman"/>
      <family val="1"/>
      <charset val="204"/>
    </font>
    <font>
      <vertAlign val="subscript"/>
      <sz val="14"/>
      <name val="Times New Roman"/>
      <family val="1"/>
      <charset val="204"/>
    </font>
    <font>
      <sz val="10"/>
      <name val="Arial Cyr"/>
      <family val="2"/>
      <charset val="204"/>
    </font>
    <font>
      <b val="true"/>
      <sz val="14"/>
      <name val="Arial Cyr"/>
      <family val="2"/>
      <charset val="204"/>
    </font>
    <font>
      <i val="true"/>
      <sz val="14"/>
      <name val="Symbol"/>
      <family val="1"/>
      <charset val="2"/>
    </font>
    <font>
      <b val="true"/>
      <sz val="12"/>
      <name val="Arial Cyr"/>
      <family val="2"/>
      <charset val="204"/>
    </font>
    <font>
      <vertAlign val="subscript"/>
      <sz val="12"/>
      <name val="Arial Cyr"/>
      <family val="2"/>
      <charset val="204"/>
    </font>
    <font>
      <vertAlign val="superscript"/>
      <sz val="12"/>
      <name val="Arial Cyr"/>
      <family val="2"/>
      <charset val="204"/>
    </font>
    <font>
      <sz val="12"/>
      <color rgb="FFFF0000"/>
      <name val="Arial Cyr"/>
      <family val="2"/>
      <charset val="204"/>
    </font>
    <font>
      <sz val="12"/>
      <color rgb="FF0000FF"/>
      <name val="Arial Cyr"/>
      <family val="2"/>
      <charset val="204"/>
    </font>
    <font>
      <sz val="14"/>
      <name val="Times New Roman Cyr"/>
      <family val="1"/>
      <charset val="204"/>
    </font>
    <font>
      <b val="true"/>
      <sz val="12"/>
      <name val="Times New Roman"/>
      <family val="1"/>
      <charset val="204"/>
    </font>
    <font>
      <sz val="12"/>
      <name val="Times New Roman Cyr"/>
      <family val="1"/>
      <charset val="204"/>
    </font>
    <font>
      <i val="true"/>
      <sz val="14"/>
      <name val="Times New Roman Cyr"/>
      <family val="1"/>
      <charset val="204"/>
    </font>
    <font>
      <b val="true"/>
      <sz val="14"/>
      <name val="Times New Roman Cyr"/>
      <family val="1"/>
      <charset val="204"/>
    </font>
    <font>
      <b val="true"/>
      <sz val="18"/>
      <color rgb="FF000000"/>
      <name val="Times New Roman"/>
      <family val="2"/>
    </font>
    <font>
      <sz val="10"/>
      <color rgb="FF000000"/>
      <name val="Arial Cyr"/>
      <family val="2"/>
    </font>
    <font>
      <sz val="12"/>
      <color rgb="FF000000"/>
      <name val="Times New Roman"/>
      <family val="2"/>
    </font>
    <font>
      <sz val="10"/>
      <name val="Arial"/>
      <family val="2"/>
    </font>
    <font>
      <sz val="18"/>
      <color rgb="FF000000"/>
      <name val="Times New Roman"/>
      <family val="2"/>
      <charset val="204"/>
    </font>
    <font>
      <sz val="18"/>
      <color rgb="FF000000"/>
      <name val="Times New Roman"/>
      <family val="1"/>
      <charset val="204"/>
    </font>
    <font>
      <vertAlign val="subscript"/>
      <sz val="18"/>
      <color rgb="FF000000"/>
      <name val="Times New Roman"/>
      <family val="1"/>
      <charset val="204"/>
    </font>
    <font>
      <b val="true"/>
      <sz val="18"/>
      <color rgb="FF000000"/>
      <name val="Times New Roman"/>
      <family val="1"/>
      <charset val="204"/>
    </font>
    <font>
      <b val="true"/>
      <vertAlign val="subscript"/>
      <sz val="18"/>
      <color rgb="FF000000"/>
      <name val="Times New Roman"/>
      <family val="1"/>
      <charset val="204"/>
    </font>
    <font>
      <sz val="18"/>
      <color rgb="FF000000"/>
      <name val="Symbol"/>
      <family val="1"/>
      <charset val="2"/>
    </font>
    <font>
      <sz val="18"/>
      <color rgb="FF000000"/>
      <name val="Arial"/>
      <family val="2"/>
      <charset val="204"/>
    </font>
    <font>
      <b val="true"/>
      <sz val="14"/>
      <color rgb="FF000000"/>
      <name val="Arial"/>
      <family val="2"/>
      <charset val="204"/>
    </font>
    <font>
      <vertAlign val="superscript"/>
      <sz val="12"/>
      <color rgb="FF000000"/>
      <name val="Arial"/>
      <family val="2"/>
      <charset val="204"/>
    </font>
    <font>
      <vertAlign val="subscript"/>
      <sz val="12"/>
      <color rgb="FF000000"/>
      <name val="Arial"/>
      <family val="2"/>
      <charset val="204"/>
    </font>
    <font>
      <sz val="12"/>
      <color rgb="FF0000FF"/>
      <name val="Arial"/>
      <family val="2"/>
      <charset val="204"/>
    </font>
    <font>
      <b val="true"/>
      <sz val="11"/>
      <color rgb="FF000000"/>
      <name val="Arial"/>
      <family val="2"/>
      <charset val="204"/>
    </font>
    <font>
      <sz val="11"/>
      <color rgb="FF000000"/>
      <name val="Arial"/>
      <family val="2"/>
      <charset val="204"/>
    </font>
    <font>
      <vertAlign val="superscript"/>
      <sz val="11"/>
      <color rgb="FF000000"/>
      <name val="Arial"/>
      <family val="2"/>
      <charset val="204"/>
    </font>
    <font>
      <sz val="12"/>
      <color rgb="FFFF0000"/>
      <name val="Arial"/>
      <family val="2"/>
      <charset val="204"/>
    </font>
    <font>
      <i val="true"/>
      <vertAlign val="subscript"/>
      <sz val="12"/>
      <color rgb="FF000000"/>
      <name val="Symbol"/>
      <family val="1"/>
      <charset val="2"/>
    </font>
    <font>
      <i val="true"/>
      <vertAlign val="subscript"/>
      <sz val="14"/>
      <color rgb="FF000000"/>
      <name val="Arial"/>
      <family val="2"/>
      <charset val="204"/>
    </font>
    <font>
      <sz val="4"/>
      <color rgb="FF000000"/>
      <name val="Arial"/>
      <family val="2"/>
      <charset val="204"/>
    </font>
    <font>
      <vertAlign val="subscript"/>
      <sz val="14"/>
      <color rgb="FF000000"/>
      <name val="Arial"/>
      <family val="2"/>
      <charset val="204"/>
    </font>
    <font>
      <i val="true"/>
      <sz val="12"/>
      <color rgb="FF000000"/>
      <name val="Arial"/>
      <family val="2"/>
      <charset val="204"/>
    </font>
    <font>
      <i val="true"/>
      <vertAlign val="subscript"/>
      <sz val="12"/>
      <color rgb="FF000000"/>
      <name val="Arial"/>
      <family val="2"/>
      <charset val="204"/>
    </font>
    <font>
      <sz val="14"/>
      <name val="Arial"/>
      <family val="2"/>
      <charset val="204"/>
    </font>
    <font>
      <sz val="14"/>
      <color rgb="FF000000"/>
      <name val="Symbol"/>
      <family val="1"/>
      <charset val="2"/>
    </font>
    <font>
      <b val="true"/>
      <sz val="14"/>
      <color rgb="FF000000"/>
      <name val="Times New Roman"/>
      <family val="2"/>
      <charset val="204"/>
    </font>
    <font>
      <b val="true"/>
      <sz val="14"/>
      <name val="Times New Roman"/>
      <family val="1"/>
      <charset val="204"/>
    </font>
    <font>
      <sz val="4"/>
      <name val="Times New Roman"/>
      <family val="1"/>
      <charset val="204"/>
    </font>
    <font>
      <vertAlign val="superscript"/>
      <sz val="12"/>
      <name val="Times New Roman"/>
      <family val="1"/>
      <charset val="204"/>
    </font>
    <font>
      <b val="true"/>
      <vertAlign val="superscript"/>
      <sz val="12"/>
      <name val="Times New Roman"/>
      <family val="1"/>
      <charset val="204"/>
    </font>
    <font>
      <sz val="9"/>
      <name val="Times New Roman"/>
      <family val="1"/>
      <charset val="204"/>
    </font>
    <font>
      <sz val="9"/>
      <color rgb="FF000000"/>
      <name val="Arial Cyr"/>
      <family val="2"/>
    </font>
    <font>
      <sz val="10.75"/>
      <color rgb="FF000000"/>
      <name val="Arial Cyr"/>
      <family val="2"/>
    </font>
    <font>
      <sz val="17.25"/>
      <color rgb="FF000000"/>
      <name val="Arial Cyr"/>
      <family val="2"/>
    </font>
    <font>
      <sz val="12"/>
      <color rgb="FF000000"/>
      <name val="Arial Cyr"/>
      <family val="2"/>
    </font>
    <font>
      <sz val="14"/>
      <color rgb="FF000000"/>
      <name val="Times New Roman"/>
      <family val="2"/>
    </font>
    <font>
      <b val="true"/>
      <sz val="14"/>
      <color rgb="FF000000"/>
      <name val="Times New Roman"/>
      <family val="2"/>
    </font>
  </fonts>
  <fills count="21">
    <fill>
      <patternFill patternType="none"/>
    </fill>
    <fill>
      <patternFill patternType="gray125"/>
    </fill>
    <fill>
      <patternFill patternType="solid">
        <fgColor rgb="FF9DC3E6"/>
        <bgColor rgb="FF99CCFF"/>
      </patternFill>
    </fill>
    <fill>
      <patternFill patternType="solid">
        <fgColor rgb="FFFFFF00"/>
        <bgColor rgb="FFFFFF00"/>
      </patternFill>
    </fill>
    <fill>
      <patternFill patternType="solid">
        <fgColor rgb="FF3F3F40"/>
        <bgColor rgb="FF333300"/>
      </patternFill>
    </fill>
    <fill>
      <patternFill patternType="solid">
        <fgColor rgb="FF00B0F0"/>
        <bgColor rgb="FF33CCCC"/>
      </patternFill>
    </fill>
    <fill>
      <patternFill patternType="solid">
        <fgColor rgb="FF7F7F80"/>
        <bgColor rgb="FF8B8B8B"/>
      </patternFill>
    </fill>
    <fill>
      <patternFill patternType="solid">
        <fgColor rgb="FFBFBFC0"/>
        <bgColor rgb="FF9DC3E6"/>
      </patternFill>
    </fill>
    <fill>
      <patternFill patternType="solid">
        <fgColor rgb="FFDFDFE0"/>
        <bgColor rgb="FFD9D9D9"/>
      </patternFill>
    </fill>
    <fill>
      <patternFill patternType="solid">
        <fgColor rgb="FFEFEFF0"/>
        <bgColor rgb="FFFFFFFF"/>
      </patternFill>
    </fill>
    <fill>
      <patternFill patternType="solid">
        <fgColor rgb="FFEFE2C0"/>
        <bgColor rgb="FFDFDFE0"/>
      </patternFill>
    </fill>
    <fill>
      <patternFill patternType="solid">
        <fgColor rgb="FFBDD7EE"/>
        <bgColor rgb="FFD9D9D9"/>
      </patternFill>
    </fill>
    <fill>
      <patternFill patternType="solid">
        <fgColor rgb="FF92D050"/>
        <bgColor rgb="FFBFBFC0"/>
      </patternFill>
    </fill>
    <fill>
      <patternFill patternType="solid">
        <fgColor rgb="FFFF0000"/>
        <bgColor rgb="FF993300"/>
      </patternFill>
    </fill>
    <fill>
      <patternFill patternType="solid">
        <fgColor rgb="FFFFD966"/>
        <bgColor rgb="FFEFE2C0"/>
      </patternFill>
    </fill>
    <fill>
      <patternFill patternType="solid">
        <fgColor rgb="FF009900"/>
        <bgColor rgb="FF00B050"/>
      </patternFill>
    </fill>
    <fill>
      <patternFill patternType="solid">
        <fgColor rgb="FF7030A0"/>
        <bgColor rgb="FF993366"/>
      </patternFill>
    </fill>
    <fill>
      <patternFill patternType="solid">
        <fgColor rgb="FFD9D9D9"/>
        <bgColor rgb="FFDFDFE0"/>
      </patternFill>
    </fill>
    <fill>
      <patternFill patternType="solid">
        <fgColor rgb="FFFFFFFF"/>
        <bgColor rgb="FFEFEFF0"/>
      </patternFill>
    </fill>
    <fill>
      <patternFill patternType="solid">
        <fgColor rgb="FF00FFFF"/>
        <bgColor rgb="FF00FFFF"/>
      </patternFill>
    </fill>
    <fill>
      <patternFill patternType="solid">
        <fgColor rgb="FF00FF00"/>
        <bgColor rgb="FF00B050"/>
      </patternFill>
    </fill>
  </fills>
  <borders count="83">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thin"/>
      <right style="thin"/>
      <top style="medium"/>
      <bottom style="medium"/>
      <diagonal/>
    </border>
    <border diagonalUp="false" diagonalDown="false">
      <left style="thin"/>
      <right style="medium"/>
      <top style="medium"/>
      <bottom style="thin"/>
      <diagonal/>
    </border>
    <border diagonalUp="false" diagonalDown="false">
      <left style="thin"/>
      <right style="thin"/>
      <top style="thin"/>
      <bottom style="medium"/>
      <diagonal/>
    </border>
    <border diagonalUp="false" diagonalDown="false">
      <left style="thin"/>
      <right style="thin"/>
      <top style="medium"/>
      <bottom/>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right style="thin"/>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style="thin"/>
      <top style="medium"/>
      <bottom style="medium"/>
      <diagonal/>
    </border>
    <border diagonalUp="false" diagonalDown="false">
      <left style="medium"/>
      <right style="thin"/>
      <top style="medium"/>
      <bottom/>
      <diagonal/>
    </border>
    <border diagonalUp="false" diagonalDown="false">
      <left style="thin"/>
      <right style="medium"/>
      <top style="thin"/>
      <bottom/>
      <diagonal/>
    </border>
    <border diagonalUp="false" diagonalDown="false">
      <left style="medium"/>
      <right/>
      <top style="thin"/>
      <bottom/>
      <diagonal/>
    </border>
    <border diagonalUp="false" diagonalDown="false">
      <left style="medium"/>
      <right style="medium"/>
      <top/>
      <bottom/>
      <diagonal/>
    </border>
    <border diagonalUp="false" diagonalDown="false">
      <left style="medium"/>
      <right style="thin"/>
      <top/>
      <bottom/>
      <diagonal/>
    </border>
    <border diagonalUp="false" diagonalDown="false">
      <left/>
      <right style="medium"/>
      <top/>
      <bottom/>
      <diagonal/>
    </border>
    <border diagonalUp="false" diagonalDown="false">
      <left style="medium"/>
      <right style="thin"/>
      <top style="thin"/>
      <bottom/>
      <diagonal/>
    </border>
    <border diagonalUp="false" diagonalDown="false">
      <left/>
      <right/>
      <top style="medium"/>
      <bottom/>
      <diagonal/>
    </border>
    <border diagonalUp="false" diagonalDown="false">
      <left style="medium"/>
      <right/>
      <top/>
      <bottom/>
      <diagonal/>
    </border>
    <border diagonalUp="false" diagonalDown="false">
      <left style="thin"/>
      <right/>
      <top/>
      <bottom/>
      <diagonal/>
    </border>
    <border diagonalUp="false" diagonalDown="false">
      <left/>
      <right style="thin"/>
      <top style="thin"/>
      <bottom style="thin"/>
      <diagonal/>
    </border>
    <border diagonalUp="false" diagonalDown="false">
      <left/>
      <right/>
      <top/>
      <bottom style="mediu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top style="thin"/>
      <bottom style="mediu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style="thin"/>
      <bottom/>
      <diagonal/>
    </border>
    <border diagonalUp="false" diagonalDown="false">
      <left style="medium"/>
      <right style="medium"/>
      <top style="thin"/>
      <bottom/>
      <diagonal/>
    </border>
    <border diagonalUp="false" diagonalDown="false">
      <left/>
      <right/>
      <top style="medium"/>
      <bottom style="thin"/>
      <diagonal/>
    </border>
    <border diagonalUp="false" diagonalDown="false">
      <left/>
      <right/>
      <top style="thin"/>
      <bottom style="thin"/>
      <diagonal/>
    </border>
    <border diagonalUp="false" diagonalDown="false">
      <left/>
      <right/>
      <top style="thin"/>
      <bottom style="medium"/>
      <diagonal/>
    </border>
    <border diagonalUp="false" diagonalDown="false">
      <left style="medium"/>
      <right/>
      <top/>
      <bottom style="thin"/>
      <diagonal/>
    </border>
    <border diagonalUp="false" diagonalDown="false">
      <left style="medium"/>
      <right style="medium"/>
      <top/>
      <bottom style="thin"/>
      <diagonal/>
    </border>
    <border diagonalUp="false" diagonalDown="false">
      <left/>
      <right/>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right style="thin"/>
      <top style="medium"/>
      <bottom style="medium"/>
      <diagonal/>
    </border>
    <border diagonalUp="false" diagonalDown="false">
      <left/>
      <right style="thin"/>
      <top style="medium"/>
      <botto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top style="hair"/>
      <bottom style="hair"/>
      <diagonal/>
    </border>
    <border diagonalUp="false" diagonalDown="false">
      <left/>
      <right style="medium"/>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style="thick"/>
      <right style="medium"/>
      <top style="thick"/>
      <bottom style="thick"/>
      <diagonal/>
    </border>
    <border diagonalUp="false" diagonalDown="false">
      <left/>
      <right style="medium"/>
      <top style="thick"/>
      <bottom style="thick"/>
      <diagonal/>
    </border>
    <border diagonalUp="false" diagonalDown="false">
      <left/>
      <right style="thick"/>
      <top style="thick"/>
      <bottom style="thick"/>
      <diagonal/>
    </border>
    <border diagonalUp="false" diagonalDown="false">
      <left style="thick"/>
      <right style="medium"/>
      <top/>
      <bottom style="medium"/>
      <diagonal/>
    </border>
    <border diagonalUp="false" diagonalDown="false">
      <left/>
      <right style="thick"/>
      <top/>
      <bottom style="medium"/>
      <diagonal/>
    </border>
    <border diagonalUp="false" diagonalDown="false">
      <left style="thick"/>
      <right style="medium"/>
      <top/>
      <bottom/>
      <diagonal/>
    </border>
    <border diagonalUp="false" diagonalDown="false">
      <left/>
      <right style="medium"/>
      <top/>
      <bottom style="thick"/>
      <diagonal/>
    </border>
    <border diagonalUp="false" diagonalDown="false">
      <left/>
      <right style="thick"/>
      <top/>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cellStyleXfs>
  <cellXfs count="12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8" fillId="2" borderId="5"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9" fillId="3" borderId="9"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9" fillId="3" borderId="9" xfId="0" applyFont="true" applyBorder="true" applyAlignment="true" applyProtection="false">
      <alignment horizontal="center" vertical="center" textRotation="0" wrapText="tru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8" fillId="3" borderId="9"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left" vertical="bottom" textRotation="0" wrapText="false" indent="0" shrinkToFit="false"/>
      <protection locked="true" hidden="false"/>
    </xf>
    <xf numFmtId="164" fontId="8" fillId="3" borderId="9"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true" indent="0" shrinkToFit="false"/>
      <protection locked="true" hidden="false"/>
    </xf>
    <xf numFmtId="164" fontId="4" fillId="2" borderId="1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12" xfId="0" applyFont="true" applyBorder="true" applyAlignment="true" applyProtection="false">
      <alignment horizontal="general" vertical="center" textRotation="0" wrapText="false" indent="0" shrinkToFit="false"/>
      <protection locked="true" hidden="false"/>
    </xf>
    <xf numFmtId="164" fontId="4" fillId="0" borderId="13"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4" fillId="4" borderId="15" xfId="0" applyFont="true" applyBorder="true" applyAlignment="false" applyProtection="false">
      <alignment horizontal="general" vertical="bottom" textRotation="0" wrapText="false" indent="0" shrinkToFit="false"/>
      <protection locked="true" hidden="false"/>
    </xf>
    <xf numFmtId="164" fontId="4" fillId="5" borderId="16"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5" borderId="17"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bottom" textRotation="0" wrapText="false" indent="0" shrinkToFit="false"/>
      <protection locked="true" hidden="false"/>
    </xf>
    <xf numFmtId="164" fontId="4" fillId="6" borderId="9" xfId="0" applyFont="true" applyBorder="true" applyAlignment="false" applyProtection="false">
      <alignment horizontal="general" vertical="bottom" textRotation="0" wrapText="false" indent="0" shrinkToFit="false"/>
      <protection locked="true" hidden="false"/>
    </xf>
    <xf numFmtId="164" fontId="4" fillId="5" borderId="18" xfId="0" applyFont="true" applyBorder="true" applyAlignment="true" applyProtection="false">
      <alignment horizontal="general" vertical="bottom" textRotation="0" wrapText="false" indent="0" shrinkToFit="false"/>
      <protection locked="true" hidden="false"/>
    </xf>
    <xf numFmtId="164" fontId="8" fillId="5" borderId="19"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7" borderId="9" xfId="0" applyFont="true" applyBorder="true" applyAlignment="false" applyProtection="false">
      <alignment horizontal="general" vertical="bottom" textRotation="0" wrapText="false" indent="0" shrinkToFit="false"/>
      <protection locked="true" hidden="false"/>
    </xf>
    <xf numFmtId="164" fontId="4" fillId="5" borderId="20" xfId="0" applyFont="true" applyBorder="true" applyAlignment="tru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general" vertical="top" textRotation="0" wrapText="tru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center" vertical="center" textRotation="0" wrapText="true" indent="0" shrinkToFit="false"/>
      <protection locked="true" hidden="false"/>
    </xf>
    <xf numFmtId="164" fontId="8" fillId="5" borderId="23" xfId="0" applyFont="true" applyBorder="true" applyAlignment="true" applyProtection="false">
      <alignment horizontal="general" vertical="top" textRotation="0" wrapText="true" indent="0" shrinkToFit="false"/>
      <protection locked="true" hidden="false"/>
    </xf>
    <xf numFmtId="164" fontId="4" fillId="5" borderId="9" xfId="0" applyFont="true" applyBorder="true" applyAlignment="true" applyProtection="false">
      <alignment horizontal="general" vertical="bottom" textRotation="0" wrapText="false" indent="0" shrinkToFit="false"/>
      <protection locked="true" hidden="false"/>
    </xf>
    <xf numFmtId="164" fontId="4" fillId="5" borderId="24" xfId="0" applyFont="true" applyBorder="true" applyAlignment="true" applyProtection="false">
      <alignment horizontal="general" vertical="bottom" textRotation="0" wrapText="false" indent="0" shrinkToFit="false"/>
      <protection locked="true" hidden="false"/>
    </xf>
    <xf numFmtId="164" fontId="4" fillId="4" borderId="9" xfId="0" applyFont="tru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true" applyProtection="false">
      <alignment horizontal="center" vertical="center" textRotation="0" wrapText="true" indent="0" shrinkToFit="false"/>
      <protection locked="true" hidden="false"/>
    </xf>
    <xf numFmtId="164" fontId="4" fillId="8" borderId="9" xfId="0" applyFont="true" applyBorder="true" applyAlignment="false" applyProtection="false">
      <alignment horizontal="general" vertical="bottom" textRotation="0" wrapText="false" indent="0" shrinkToFit="false"/>
      <protection locked="true" hidden="false"/>
    </xf>
    <xf numFmtId="164" fontId="4" fillId="5" borderId="26"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9" borderId="24" xfId="0" applyFont="true" applyBorder="true" applyAlignment="false" applyProtection="false">
      <alignment horizontal="general" vertical="bottom" textRotation="0" wrapText="false" indent="0" shrinkToFit="false"/>
      <protection locked="true" hidden="false"/>
    </xf>
    <xf numFmtId="164" fontId="4" fillId="5" borderId="22" xfId="0" applyFont="true" applyBorder="true" applyAlignment="true" applyProtection="false">
      <alignment horizontal="general" vertical="bottom" textRotation="0" wrapText="false" indent="0" shrinkToFit="false"/>
      <protection locked="true" hidden="false"/>
    </xf>
    <xf numFmtId="164" fontId="8" fillId="5" borderId="27" xfId="0" applyFont="true" applyBorder="true" applyAlignment="true" applyProtection="false">
      <alignment horizontal="general" vertical="top" textRotation="0" wrapText="true" indent="0" shrinkToFit="false"/>
      <protection locked="true" hidden="false"/>
    </xf>
    <xf numFmtId="164" fontId="4" fillId="0" borderId="28" xfId="0" applyFont="true" applyBorder="true" applyAlignment="false" applyProtection="false">
      <alignment horizontal="general" vertical="bottom" textRotation="0" wrapText="false" indent="0" shrinkToFit="false"/>
      <protection locked="true" hidden="false"/>
    </xf>
    <xf numFmtId="164" fontId="4" fillId="10" borderId="29" xfId="0" applyFont="true" applyBorder="true" applyAlignment="false" applyProtection="false">
      <alignment horizontal="general" vertical="bottom" textRotation="0" wrapText="false" indent="0" shrinkToFit="false"/>
      <protection locked="true" hidden="false"/>
    </xf>
    <xf numFmtId="164" fontId="4" fillId="5" borderId="29" xfId="0" applyFont="true" applyBorder="true" applyAlignment="true" applyProtection="false">
      <alignment horizontal="general" vertical="bottom" textRotation="0" wrapText="false" indent="0" shrinkToFit="false"/>
      <protection locked="true" hidden="false"/>
    </xf>
    <xf numFmtId="164" fontId="4" fillId="0" borderId="29" xfId="0" applyFont="true" applyBorder="true" applyAlignment="true" applyProtection="false">
      <alignment horizontal="center" vertical="center" textRotation="0" wrapText="true" indent="0" shrinkToFit="false"/>
      <protection locked="true" hidden="false"/>
    </xf>
    <xf numFmtId="164" fontId="8" fillId="5" borderId="0" xfId="0" applyFont="true" applyBorder="true" applyAlignment="true" applyProtection="false">
      <alignment horizontal="general" vertical="top" textRotation="0" wrapText="tru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30" xfId="0" applyFont="true" applyBorder="true" applyAlignment="true" applyProtection="false">
      <alignment horizontal="left" vertical="center" textRotation="0" wrapText="true" indent="0" shrinkToFit="false"/>
      <protection locked="true" hidden="false"/>
    </xf>
    <xf numFmtId="165" fontId="4" fillId="11" borderId="9"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11" borderId="9" xfId="0" applyFont="fals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31" xfId="0" applyFont="true" applyBorder="true" applyAlignment="false" applyProtection="false">
      <alignment horizontal="general" vertical="bottom" textRotation="0" wrapText="false" indent="0" shrinkToFit="false"/>
      <protection locked="true" hidden="false"/>
    </xf>
    <xf numFmtId="164" fontId="4" fillId="0" borderId="32"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6" fontId="4" fillId="0" borderId="9" xfId="0" applyFont="true" applyBorder="true" applyAlignment="false" applyProtection="false">
      <alignment horizontal="general" vertical="bottom" textRotation="0" wrapText="false" indent="0" shrinkToFit="false"/>
      <protection locked="true" hidden="false"/>
    </xf>
    <xf numFmtId="164" fontId="12" fillId="0" borderId="28" xfId="0" applyFont="true" applyBorder="true" applyAlignment="true" applyProtection="false">
      <alignment horizontal="center" vertical="bottom" textRotation="0" wrapText="false" indent="0" shrinkToFit="false"/>
      <protection locked="true" hidden="false"/>
    </xf>
    <xf numFmtId="164" fontId="12" fillId="0" borderId="26"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4" fontId="4" fillId="0" borderId="34" xfId="0" applyFont="true" applyBorder="true" applyAlignment="true" applyProtection="false">
      <alignment horizontal="general" vertical="bottom" textRotation="0" wrapText="true" indent="0" shrinkToFit="false"/>
      <protection locked="true" hidden="false"/>
    </xf>
    <xf numFmtId="164" fontId="4" fillId="3" borderId="23"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4" fillId="0" borderId="35" xfId="0" applyFont="true" applyBorder="true" applyAlignment="true" applyProtection="false">
      <alignment horizontal="general" vertical="bottom" textRotation="0" wrapText="true" indent="0" shrinkToFit="false"/>
      <protection locked="true" hidden="false"/>
    </xf>
    <xf numFmtId="164" fontId="4" fillId="12" borderId="7" xfId="0" applyFont="true" applyBorder="true" applyAlignment="true" applyProtection="false">
      <alignment horizontal="center" vertical="bottom" textRotation="0" wrapText="false" indent="0" shrinkToFit="false"/>
      <protection locked="true" hidden="false"/>
    </xf>
    <xf numFmtId="164" fontId="11" fillId="0" borderId="36" xfId="0" applyFont="true" applyBorder="true" applyAlignment="true" applyProtection="false">
      <alignment horizontal="center" vertical="center" textRotation="0" wrapText="false" indent="0" shrinkToFit="false"/>
      <protection locked="true" hidden="false"/>
    </xf>
    <xf numFmtId="167" fontId="11" fillId="3" borderId="23" xfId="0" applyFont="true" applyBorder="true" applyAlignment="true" applyProtection="false">
      <alignment horizontal="center" vertical="bottom" textRotation="0" wrapText="false" indent="0" shrinkToFit="false"/>
      <protection locked="true" hidden="false"/>
    </xf>
    <xf numFmtId="167" fontId="11" fillId="3" borderId="11" xfId="0" applyFont="true" applyBorder="true" applyAlignment="true" applyProtection="false">
      <alignment horizontal="center" vertical="bottom" textRotation="0" wrapText="false" indent="0" shrinkToFit="false"/>
      <protection locked="true" hidden="false"/>
    </xf>
    <xf numFmtId="164" fontId="4" fillId="3" borderId="7" xfId="0" applyFont="true" applyBorder="true" applyAlignment="true" applyProtection="false">
      <alignment horizontal="center" vertical="bottom" textRotation="0" wrapText="false" indent="0" shrinkToFit="false"/>
      <protection locked="true" hidden="false"/>
    </xf>
    <xf numFmtId="164" fontId="11" fillId="0" borderId="36" xfId="0" applyFont="true" applyBorder="true" applyAlignment="true" applyProtection="false">
      <alignment horizontal="center" vertical="bottom" textRotation="0" wrapText="true" indent="0" shrinkToFit="false"/>
      <protection locked="true" hidden="false"/>
    </xf>
    <xf numFmtId="164" fontId="11" fillId="3" borderId="23" xfId="0" applyFont="true" applyBorder="true" applyAlignment="true" applyProtection="false">
      <alignment horizontal="center" vertical="bottom" textRotation="0" wrapText="false" indent="0" shrinkToFit="false"/>
      <protection locked="true" hidden="false"/>
    </xf>
    <xf numFmtId="164" fontId="11" fillId="3" borderId="11" xfId="0" applyFont="true" applyBorder="true" applyAlignment="true" applyProtection="false">
      <alignment horizontal="center" vertical="bottom" textRotation="0" wrapText="false" indent="0" shrinkToFit="false"/>
      <protection locked="true" hidden="false"/>
    </xf>
    <xf numFmtId="164" fontId="11" fillId="0" borderId="37" xfId="0" applyFont="true" applyBorder="true" applyAlignment="true" applyProtection="false">
      <alignment horizontal="center" vertical="center" textRotation="0" wrapText="true" indent="0" shrinkToFit="false"/>
      <protection locked="true" hidden="false"/>
    </xf>
    <xf numFmtId="164" fontId="11" fillId="3" borderId="38" xfId="0" applyFont="true" applyBorder="true" applyAlignment="true" applyProtection="false">
      <alignment horizontal="center" vertical="bottom" textRotation="0" wrapText="false" indent="0" shrinkToFit="false"/>
      <protection locked="true" hidden="false"/>
    </xf>
    <xf numFmtId="164" fontId="4" fillId="0" borderId="39" xfId="0" applyFont="true" applyBorder="true" applyAlignment="true" applyProtection="false">
      <alignment horizontal="general" vertical="bottom" textRotation="0" wrapText="true" indent="0" shrinkToFit="false"/>
      <protection locked="true" hidden="false"/>
    </xf>
    <xf numFmtId="164" fontId="11" fillId="0" borderId="12"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xf numFmtId="164" fontId="11" fillId="3" borderId="7" xfId="0" applyFont="true" applyBorder="true" applyAlignment="true" applyProtection="false">
      <alignment horizontal="center" vertical="bottom" textRotation="0" wrapText="false" indent="0" shrinkToFit="false"/>
      <protection locked="true" hidden="false"/>
    </xf>
    <xf numFmtId="164" fontId="11" fillId="0" borderId="3" xfId="0" applyFont="true" applyBorder="true" applyAlignment="true" applyProtection="false">
      <alignment horizontal="center" vertical="bottom" textRotation="0" wrapText="true" indent="0" shrinkToFit="false"/>
      <protection locked="true" hidden="false"/>
    </xf>
    <xf numFmtId="164" fontId="11" fillId="3" borderId="40" xfId="0" applyFont="true" applyBorder="true" applyAlignment="tru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1" fillId="0" borderId="6" xfId="0" applyFont="true" applyBorder="true" applyAlignment="true" applyProtection="false">
      <alignment horizontal="center" vertical="bottom" textRotation="0" wrapText="true" indent="0" shrinkToFit="false"/>
      <protection locked="true" hidden="false"/>
    </xf>
    <xf numFmtId="164" fontId="11" fillId="3" borderId="3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bottom" textRotation="0" wrapText="true" indent="0" shrinkToFit="false"/>
      <protection locked="true" hidden="false"/>
    </xf>
    <xf numFmtId="164" fontId="11" fillId="3" borderId="7" xfId="0" applyFont="true" applyBorder="true" applyAlignment="true" applyProtection="false">
      <alignment horizontal="center" vertical="center" textRotation="0" wrapText="false" indent="0" shrinkToFit="false"/>
      <protection locked="true" hidden="false"/>
    </xf>
    <xf numFmtId="164" fontId="11" fillId="0" borderId="41" xfId="0" applyFont="true" applyBorder="true" applyAlignment="true" applyProtection="false">
      <alignment horizontal="left" vertical="bottom" textRotation="0" wrapText="false" indent="0" shrinkToFit="false"/>
      <protection locked="true" hidden="false"/>
    </xf>
    <xf numFmtId="167" fontId="11" fillId="12" borderId="42"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left" vertical="bottom" textRotation="0" wrapText="false" indent="0" shrinkToFit="false"/>
      <protection locked="true" hidden="false"/>
    </xf>
    <xf numFmtId="164" fontId="11" fillId="3" borderId="4" xfId="0" applyFont="true" applyBorder="true" applyAlignment="true" applyProtection="false">
      <alignment horizontal="center" vertical="center" textRotation="0" wrapText="false" indent="0" shrinkToFit="false"/>
      <protection locked="true" hidden="false"/>
    </xf>
    <xf numFmtId="164" fontId="11" fillId="3" borderId="2" xfId="0" applyFont="true" applyBorder="true" applyAlignment="true" applyProtection="false">
      <alignment horizontal="center" vertical="center" textRotation="0" wrapText="false" indent="0" shrinkToFit="false"/>
      <protection locked="true" hidden="false"/>
    </xf>
    <xf numFmtId="164" fontId="11" fillId="0" borderId="13" xfId="0" applyFont="true" applyBorder="true" applyAlignment="true" applyProtection="false">
      <alignment horizontal="center" vertical="center" textRotation="0" wrapText="false" indent="0" shrinkToFit="false"/>
      <protection locked="true" hidden="false"/>
    </xf>
    <xf numFmtId="164" fontId="11" fillId="3" borderId="13" xfId="0" applyFont="true" applyBorder="true" applyAlignment="true" applyProtection="false">
      <alignment horizontal="center" vertical="center" textRotation="0" wrapText="false" indent="0" shrinkToFit="false"/>
      <protection locked="true" hidden="false"/>
    </xf>
    <xf numFmtId="164" fontId="11" fillId="3" borderId="31" xfId="0" applyFont="true" applyBorder="true" applyAlignment="true" applyProtection="false">
      <alignment horizontal="center" vertical="center" textRotation="0" wrapText="false" indent="0" shrinkToFit="false"/>
      <protection locked="true" hidden="false"/>
    </xf>
    <xf numFmtId="167" fontId="11" fillId="3" borderId="13" xfId="0" applyFont="true" applyBorder="true" applyAlignment="true" applyProtection="false">
      <alignment horizontal="center" vertical="center" textRotation="0" wrapText="false" indent="0" shrinkToFit="false"/>
      <protection locked="true" hidden="false"/>
    </xf>
    <xf numFmtId="164" fontId="11" fillId="3" borderId="32" xfId="0" applyFont="true" applyBorder="true" applyAlignment="true" applyProtection="false">
      <alignment horizontal="center" vertical="bottom" textRotation="0" wrapText="false" indent="0" shrinkToFit="false"/>
      <protection locked="true" hidden="false"/>
    </xf>
    <xf numFmtId="164" fontId="11" fillId="0" borderId="43" xfId="0" applyFont="true" applyBorder="true" applyAlignment="true" applyProtection="false">
      <alignment horizontal="center" vertical="bottom" textRotation="0" wrapText="true" indent="0" shrinkToFit="false"/>
      <protection locked="true" hidden="false"/>
    </xf>
    <xf numFmtId="164" fontId="11" fillId="3" borderId="44" xfId="0" applyFont="true" applyBorder="true" applyAlignment="true" applyProtection="false">
      <alignment horizontal="center" vertical="center" textRotation="0" wrapText="false" indent="0" shrinkToFit="false"/>
      <protection locked="true" hidden="false"/>
    </xf>
    <xf numFmtId="164" fontId="11" fillId="3" borderId="33" xfId="0" applyFont="true" applyBorder="true" applyAlignment="true" applyProtection="false">
      <alignment horizontal="center" vertical="bottom" textRotation="0" wrapText="false" indent="0" shrinkToFit="false"/>
      <protection locked="true" hidden="false"/>
    </xf>
    <xf numFmtId="168" fontId="11" fillId="3" borderId="7" xfId="0" applyFont="true" applyBorder="true" applyAlignment="true" applyProtection="false">
      <alignment horizontal="center" vertical="center" textRotation="0" wrapText="false" indent="0" shrinkToFit="false"/>
      <protection locked="true" hidden="false"/>
    </xf>
    <xf numFmtId="164" fontId="11" fillId="0" borderId="45" xfId="0" applyFont="true" applyBorder="true" applyAlignment="true" applyProtection="false">
      <alignment horizontal="center" vertical="bottom" textRotation="0" wrapText="false" indent="0" shrinkToFit="false"/>
      <protection locked="true" hidden="false"/>
    </xf>
    <xf numFmtId="164" fontId="11" fillId="0" borderId="42" xfId="0" applyFont="true" applyBorder="true" applyAlignment="true" applyProtection="false">
      <alignment horizontal="center" vertical="bottom" textRotation="0" wrapText="false" indent="0" shrinkToFit="false"/>
      <protection locked="true" hidden="false"/>
    </xf>
    <xf numFmtId="164" fontId="11" fillId="0" borderId="14" xfId="0" applyFont="true" applyBorder="true" applyAlignment="true" applyProtection="false">
      <alignment horizontal="center" vertical="center" textRotation="0" wrapText="false" indent="0" shrinkToFit="false"/>
      <protection locked="true" hidden="false"/>
    </xf>
    <xf numFmtId="164" fontId="11" fillId="3" borderId="23"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43" xfId="0" applyFont="true" applyBorder="true" applyAlignment="true" applyProtection="false">
      <alignment horizontal="center"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11" fillId="0" borderId="23" xfId="0" applyFont="true" applyBorder="true" applyAlignment="true" applyProtection="false">
      <alignment horizontal="center" vertical="center" textRotation="0" wrapText="false" indent="0" shrinkToFit="false"/>
      <protection locked="true" hidden="false"/>
    </xf>
    <xf numFmtId="164" fontId="11" fillId="0" borderId="43" xfId="0" applyFont="true" applyBorder="true" applyAlignment="true" applyProtection="false">
      <alignment horizontal="center" vertical="center" textRotation="0" wrapText="true" indent="0" shrinkToFit="false"/>
      <protection locked="true" hidden="false"/>
    </xf>
    <xf numFmtId="164" fontId="11" fillId="0" borderId="38"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bottom" textRotation="0" wrapText="true" indent="0" shrinkToFit="false"/>
      <protection locked="true" hidden="false"/>
    </xf>
    <xf numFmtId="164" fontId="11" fillId="0" borderId="11"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6" fillId="14" borderId="9" xfId="0" applyFont="true" applyBorder="true" applyAlignment="true" applyProtection="false">
      <alignment horizontal="center" vertical="center" textRotation="0" wrapText="true" indent="0" shrinkToFit="false"/>
      <protection locked="true" hidden="false"/>
    </xf>
    <xf numFmtId="164" fontId="11" fillId="14" borderId="9" xfId="0" applyFont="true" applyBorder="true" applyAlignment="true" applyProtection="false">
      <alignment horizontal="center" vertical="center" textRotation="0" wrapText="false" indent="0" shrinkToFit="false"/>
      <protection locked="true" hidden="false"/>
    </xf>
    <xf numFmtId="164" fontId="11" fillId="3" borderId="9"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left" vertical="bottom" textRotation="0" wrapText="false" indent="0" shrinkToFit="false"/>
      <protection locked="true" hidden="false"/>
    </xf>
    <xf numFmtId="167" fontId="11" fillId="3" borderId="9"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9" fontId="11" fillId="0" borderId="9"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2" fillId="0" borderId="14" xfId="0" applyFont="true" applyBorder="true" applyAlignment="false" applyProtection="false">
      <alignment horizontal="general" vertical="bottom"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4" fontId="11" fillId="0" borderId="23"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7" fontId="11" fillId="0" borderId="7" xfId="0" applyFont="true" applyBorder="true" applyAlignment="true" applyProtection="false">
      <alignment horizontal="center"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false" indent="0" shrinkToFit="false"/>
      <protection locked="true" hidden="false"/>
    </xf>
    <xf numFmtId="167" fontId="16" fillId="0" borderId="6" xfId="0" applyFont="true" applyBorder="true" applyAlignment="true" applyProtection="false">
      <alignment horizontal="center" vertical="center" textRotation="0" wrapText="false" indent="0" shrinkToFit="false"/>
      <protection locked="true" hidden="false"/>
    </xf>
    <xf numFmtId="164" fontId="11" fillId="0" borderId="41" xfId="0" applyFont="true" applyBorder="true" applyAlignment="true" applyProtection="false">
      <alignment horizontal="general" vertical="bottom" textRotation="0" wrapText="false" indent="0" shrinkToFit="false"/>
      <protection locked="true" hidden="false"/>
    </xf>
    <xf numFmtId="164" fontId="11" fillId="0" borderId="29" xfId="0" applyFont="true" applyBorder="true" applyAlignment="true" applyProtection="false">
      <alignment horizontal="general" vertical="bottom" textRotation="0" wrapText="false" indent="0" shrinkToFit="false"/>
      <protection locked="true" hidden="false"/>
    </xf>
    <xf numFmtId="164" fontId="11" fillId="0" borderId="46"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11" fillId="0" borderId="0" xfId="0" applyFont="true" applyBorder="true" applyAlignment="true" applyProtection="false">
      <alignment horizontal="left" vertical="bottom" textRotation="0" wrapText="false" indent="0" shrinkToFit="false"/>
      <protection locked="true" hidden="false"/>
    </xf>
    <xf numFmtId="167" fontId="11" fillId="0" borderId="38"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1" fillId="0" borderId="33"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2" fillId="0" borderId="31" xfId="0" applyFont="true" applyBorder="true" applyAlignment="true" applyProtection="false">
      <alignment horizontal="center" vertical="bottom" textRotation="0" wrapText="false" indent="0" shrinkToFit="false"/>
      <protection locked="true" hidden="false"/>
    </xf>
    <xf numFmtId="164" fontId="16" fillId="0" borderId="31" xfId="0" applyFont="true" applyBorder="true" applyAlignment="true" applyProtection="false">
      <alignment horizontal="center" vertical="center"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16" fillId="0" borderId="7"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bottom" textRotation="0" wrapText="false" indent="0" shrinkToFit="false"/>
      <protection locked="true" hidden="false"/>
    </xf>
    <xf numFmtId="164" fontId="11" fillId="0" borderId="9" xfId="0" applyFont="true" applyBorder="true" applyAlignment="true" applyProtection="false">
      <alignment horizontal="general" vertical="bottom" textRotation="0" wrapText="false" indent="0" shrinkToFit="false"/>
      <protection locked="true" hidden="false"/>
    </xf>
    <xf numFmtId="167" fontId="11" fillId="0" borderId="9" xfId="0" applyFont="true" applyBorder="true" applyAlignment="true" applyProtection="false">
      <alignment horizontal="left" vertical="center" textRotation="0" wrapText="false" indent="0" shrinkToFit="false"/>
      <protection locked="true" hidden="false"/>
    </xf>
    <xf numFmtId="164" fontId="11" fillId="0" borderId="9" xfId="0" applyFont="true" applyBorder="true" applyAlignment="true" applyProtection="false">
      <alignment horizontal="center" vertical="bottom" textRotation="0" wrapText="true" indent="0" shrinkToFit="false"/>
      <protection locked="true" hidden="false"/>
    </xf>
    <xf numFmtId="167" fontId="0" fillId="0" borderId="0" xfId="0" applyFont="false" applyBorder="true" applyAlignment="true" applyProtection="false">
      <alignment horizontal="left" vertical="bottom" textRotation="0" wrapText="false" indent="0" shrinkToFit="false"/>
      <protection locked="true" hidden="false"/>
    </xf>
    <xf numFmtId="164" fontId="0" fillId="0" borderId="47" xfId="0" applyFont="false" applyBorder="true" applyAlignment="true" applyProtection="false">
      <alignment horizontal="center" vertical="bottom" textRotation="0" wrapText="false" indent="0" shrinkToFit="false"/>
      <protection locked="true" hidden="false"/>
    </xf>
    <xf numFmtId="167" fontId="11" fillId="0" borderId="7" xfId="0" applyFont="true" applyBorder="true" applyAlignment="true" applyProtection="false">
      <alignment horizontal="center" vertical="bottom" textRotation="0" wrapText="false" indent="0" shrinkToFit="false"/>
      <protection locked="true" hidden="false"/>
    </xf>
    <xf numFmtId="164" fontId="16" fillId="0" borderId="33"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31"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7" fontId="11" fillId="0" borderId="9"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12" borderId="9" xfId="0" applyFont="false" applyBorder="true" applyAlignment="false" applyProtection="false">
      <alignment horizontal="general" vertical="bottom" textRotation="0" wrapText="false" indent="0" shrinkToFit="false"/>
      <protection locked="true" hidden="false"/>
    </xf>
    <xf numFmtId="164" fontId="0" fillId="12" borderId="9"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9" xfId="0" applyFont="true" applyBorder="true" applyAlignment="true" applyProtection="false">
      <alignment horizontal="center" vertical="bottom" textRotation="0" wrapText="false" indent="0" shrinkToFit="false"/>
      <protection locked="true" hidden="false"/>
    </xf>
    <xf numFmtId="164" fontId="17" fillId="12" borderId="9"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7" fillId="0" borderId="9" xfId="0" applyFont="true" applyBorder="true" applyAlignment="true" applyProtection="false">
      <alignment horizontal="center" vertical="bottom" textRotation="0" wrapText="true" indent="0" shrinkToFit="false"/>
      <protection locked="true" hidden="false"/>
    </xf>
    <xf numFmtId="164" fontId="17" fillId="12" borderId="9"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5" fillId="0" borderId="9" xfId="0" applyFont="true" applyBorder="true" applyAlignment="true" applyProtection="false">
      <alignment horizontal="left" vertical="bottom" textRotation="0" wrapText="false" indent="0" shrinkToFit="false"/>
      <protection locked="true" hidden="false"/>
    </xf>
    <xf numFmtId="164" fontId="17" fillId="0" borderId="9" xfId="0" applyFont="true" applyBorder="true" applyAlignment="true" applyProtection="false">
      <alignment horizontal="left" vertical="bottom" textRotation="0" wrapText="false" indent="0" shrinkToFit="false"/>
      <protection locked="true" hidden="false"/>
    </xf>
    <xf numFmtId="164" fontId="17" fillId="12" borderId="9" xfId="0" applyFont="true" applyBorder="true" applyAlignment="true" applyProtection="false">
      <alignment horizontal="left" vertical="bottom" textRotation="0" wrapText="false" indent="0" shrinkToFit="false"/>
      <protection locked="true" hidden="false"/>
    </xf>
    <xf numFmtId="167" fontId="17" fillId="0" borderId="9" xfId="0" applyFont="true" applyBorder="true" applyAlignment="true" applyProtection="false">
      <alignment horizontal="left" vertical="bottom" textRotation="0" wrapText="false" indent="0" shrinkToFit="false"/>
      <protection locked="true" hidden="false"/>
    </xf>
    <xf numFmtId="164" fontId="17" fillId="0" borderId="9"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0" fillId="0" borderId="31"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7" fontId="0" fillId="0" borderId="9" xfId="0" applyFont="fals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4" fontId="0" fillId="0" borderId="9" xfId="0" applyFont="false" applyBorder="true" applyAlignment="true" applyProtection="false">
      <alignment horizontal="center" vertical="bottom" textRotation="0" wrapText="true" indent="0" shrinkToFit="false"/>
      <protection locked="true" hidden="false"/>
    </xf>
    <xf numFmtId="164" fontId="0" fillId="0" borderId="33" xfId="0" applyFont="false" applyBorder="true" applyAlignment="true" applyProtection="false">
      <alignment horizontal="center" vertical="bottom" textRotation="0" wrapText="true" indent="0" shrinkToFit="false"/>
      <protection locked="true" hidden="false"/>
    </xf>
    <xf numFmtId="170" fontId="0" fillId="0" borderId="7" xfId="0" applyFont="fals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0" fillId="0" borderId="48" xfId="0" applyFont="true" applyBorder="true" applyAlignment="true" applyProtection="false">
      <alignment horizontal="center" vertical="bottom" textRotation="0" wrapText="true" indent="0" shrinkToFit="true"/>
      <protection locked="true" hidden="false"/>
    </xf>
    <xf numFmtId="164" fontId="4" fillId="15" borderId="14" xfId="0" applyFont="true" applyBorder="true" applyAlignment="true" applyProtection="false">
      <alignment horizontal="left"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4" fontId="17" fillId="3" borderId="31"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9" fontId="4" fillId="3" borderId="49"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7" fontId="17" fillId="3" borderId="32"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true" indent="0" shrinkToFit="false"/>
      <protection locked="true" hidden="false"/>
    </xf>
    <xf numFmtId="167" fontId="4" fillId="0" borderId="7" xfId="0" applyFont="true" applyBorder="true" applyAlignment="true" applyProtection="false">
      <alignment horizontal="center" vertical="center" textRotation="0" wrapText="false" indent="0" shrinkToFit="false"/>
      <protection locked="true" hidden="false"/>
    </xf>
    <xf numFmtId="171" fontId="16" fillId="0" borderId="7" xfId="0" applyFont="true" applyBorder="true" applyAlignment="true" applyProtection="false">
      <alignment horizontal="center" vertical="bottom" textRotation="0" wrapText="false" indent="0" shrinkToFit="false"/>
      <protection locked="true" hidden="false"/>
    </xf>
    <xf numFmtId="169" fontId="16" fillId="0" borderId="7" xfId="0" applyFont="true" applyBorder="true" applyAlignment="true" applyProtection="false">
      <alignment horizontal="center" vertical="bottom" textRotation="0" wrapText="false" indent="0" shrinkToFit="false"/>
      <protection locked="true" hidden="false"/>
    </xf>
    <xf numFmtId="164" fontId="0" fillId="16" borderId="7" xfId="0" applyFont="fals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7" fontId="0" fillId="16" borderId="7" xfId="0" applyFont="false" applyBorder="true" applyAlignment="true" applyProtection="false">
      <alignment horizontal="center" vertical="bottom" textRotation="0" wrapText="false" indent="0" shrinkToFit="false"/>
      <protection locked="true" hidden="false"/>
    </xf>
    <xf numFmtId="167" fontId="0" fillId="0" borderId="8" xfId="0" applyFont="true" applyBorder="true" applyAlignment="true" applyProtection="false">
      <alignment horizontal="left" vertical="center" textRotation="0" wrapText="false" indent="0" shrinkToFit="false"/>
      <protection locked="true" hidden="false"/>
    </xf>
    <xf numFmtId="167" fontId="0" fillId="0" borderId="7" xfId="0" applyFont="fals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center" vertical="bottom" textRotation="0" wrapText="true" indent="0" shrinkToFit="false"/>
      <protection locked="true" hidden="false"/>
    </xf>
    <xf numFmtId="169" fontId="6" fillId="0" borderId="7"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7" fontId="0" fillId="0" borderId="7" xfId="0" applyFont="false" applyBorder="true" applyAlignment="true" applyProtection="false">
      <alignment horizontal="center" vertical="bottom" textRotation="0" wrapText="false" indent="0" shrinkToFit="false"/>
      <protection locked="true" hidden="false"/>
    </xf>
    <xf numFmtId="164" fontId="6" fillId="0" borderId="41" xfId="0" applyFont="true" applyBorder="true" applyAlignment="true" applyProtection="false">
      <alignment horizontal="center" vertical="bottom" textRotation="0" wrapText="true" indent="0" shrinkToFit="false"/>
      <protection locked="true" hidden="false"/>
    </xf>
    <xf numFmtId="172" fontId="6" fillId="0" borderId="7" xfId="0" applyFont="true" applyBorder="true" applyAlignment="true" applyProtection="false">
      <alignment horizontal="center" vertical="bottom" textRotation="0" wrapText="false" indent="0" shrinkToFit="false"/>
      <protection locked="true" hidden="false"/>
    </xf>
    <xf numFmtId="164" fontId="0" fillId="15" borderId="8" xfId="0" applyFont="true" applyBorder="true" applyAlignment="true" applyProtection="false">
      <alignment horizontal="general" vertical="bottom" textRotation="0" wrapText="true" indent="0" shrinkToFit="false"/>
      <protection locked="true" hidden="false"/>
    </xf>
    <xf numFmtId="164" fontId="6" fillId="0" borderId="50" xfId="0" applyFont="true" applyBorder="true" applyAlignment="true" applyProtection="false">
      <alignment horizontal="center" vertical="bottom" textRotation="0" wrapText="true" indent="0" shrinkToFit="false"/>
      <protection locked="true" hidden="false"/>
    </xf>
    <xf numFmtId="164" fontId="25" fillId="15"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left" vertical="bottom" textRotation="0" wrapText="true" indent="0" shrinkToFit="false"/>
      <protection locked="true" hidden="false"/>
    </xf>
    <xf numFmtId="167" fontId="4" fillId="0" borderId="7" xfId="0" applyFont="true" applyBorder="true" applyAlignment="true" applyProtection="false">
      <alignment horizontal="center"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7" fontId="4" fillId="0" borderId="38"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7" fontId="27" fillId="0" borderId="11"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26" fillId="0" borderId="8" xfId="0" applyFont="true" applyBorder="true" applyAlignment="true" applyProtection="false">
      <alignment horizontal="left" vertical="bottom" textRotation="0" wrapText="tru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7" fontId="6" fillId="0" borderId="7" xfId="0" applyFont="true" applyBorder="true" applyAlignment="true" applyProtection="false">
      <alignment horizontal="center" vertical="bottom" textRotation="0" wrapText="tru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4" fillId="0" borderId="51" xfId="0" applyFont="true" applyBorder="true" applyAlignment="true" applyProtection="false">
      <alignment horizontal="left" vertical="bottom" textRotation="0" wrapText="false" indent="0" shrinkToFit="false"/>
      <protection locked="true" hidden="false"/>
    </xf>
    <xf numFmtId="167" fontId="4" fillId="0" borderId="4"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6" xfId="0" applyFont="true" applyBorder="true" applyAlignment="true" applyProtection="false">
      <alignment horizontal="left" vertical="bottom" textRotation="0" wrapText="false" indent="0" shrinkToFit="false"/>
      <protection locked="true" hidden="false"/>
    </xf>
    <xf numFmtId="164" fontId="25" fillId="0" borderId="44" xfId="0" applyFont="true" applyBorder="true" applyAlignment="true" applyProtection="false">
      <alignment horizontal="left" vertical="bottom" textRotation="0" wrapText="false" indent="0" shrinkToFit="false"/>
      <protection locked="true" hidden="false"/>
    </xf>
    <xf numFmtId="164" fontId="25" fillId="0" borderId="52" xfId="0" applyFont="true" applyBorder="true" applyAlignment="false" applyProtection="false">
      <alignment horizontal="general" vertical="bottom" textRotation="0" wrapText="false" indent="0" shrinkToFit="false"/>
      <protection locked="true" hidden="false"/>
    </xf>
    <xf numFmtId="164" fontId="25" fillId="0" borderId="53" xfId="0" applyFont="true" applyBorder="true" applyAlignment="false" applyProtection="false">
      <alignment horizontal="general" vertical="bottom" textRotation="0" wrapText="false" indent="0" shrinkToFit="false"/>
      <protection locked="true" hidden="false"/>
    </xf>
    <xf numFmtId="167" fontId="25" fillId="0" borderId="48" xfId="0" applyFont="true" applyBorder="true" applyAlignment="false" applyProtection="false">
      <alignment horizontal="general" vertical="bottom" textRotation="0" wrapText="false" indent="0" shrinkToFit="false"/>
      <protection locked="true" hidden="false"/>
    </xf>
    <xf numFmtId="164" fontId="25" fillId="0" borderId="48" xfId="0" applyFont="true" applyBorder="true" applyAlignment="true" applyProtection="false">
      <alignment horizontal="center" vertical="bottom" textRotation="0" wrapText="false" indent="0" shrinkToFit="false"/>
      <protection locked="true" hidden="false"/>
    </xf>
    <xf numFmtId="164" fontId="25" fillId="0" borderId="48" xfId="0" applyFont="true" applyBorder="true" applyAlignment="false" applyProtection="false">
      <alignment horizontal="general" vertical="bottom" textRotation="0" wrapText="false" indent="0" shrinkToFit="false"/>
      <protection locked="true" hidden="false"/>
    </xf>
    <xf numFmtId="164" fontId="25" fillId="0" borderId="4"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7" fillId="0" borderId="6" xfId="0" applyFont="true" applyBorder="true" applyAlignment="true" applyProtection="false">
      <alignment horizontal="left" vertical="bottom" textRotation="0" wrapText="false" indent="0" shrinkToFit="false"/>
      <protection locked="true" hidden="false"/>
    </xf>
    <xf numFmtId="164" fontId="17" fillId="0" borderId="44" xfId="0" applyFont="true" applyBorder="true" applyAlignment="true" applyProtection="false">
      <alignment horizontal="left" vertical="bottom" textRotation="0" wrapText="false" indent="0" shrinkToFit="false"/>
      <protection locked="true" hidden="false"/>
    </xf>
    <xf numFmtId="164" fontId="17" fillId="0" borderId="52" xfId="0" applyFont="true" applyBorder="tru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true" indent="0" shrinkToFit="false"/>
      <protection locked="true" hidden="false"/>
    </xf>
    <xf numFmtId="164" fontId="17" fillId="0" borderId="53" xfId="0" applyFont="true" applyBorder="true" applyAlignment="false" applyProtection="false">
      <alignment horizontal="general" vertical="bottom" textRotation="0" wrapText="false" indent="0" shrinkToFit="false"/>
      <protection locked="true" hidden="false"/>
    </xf>
    <xf numFmtId="167" fontId="17" fillId="0" borderId="48" xfId="0" applyFont="true" applyBorder="true" applyAlignment="true" applyProtection="false">
      <alignment horizontal="center" vertical="bottom" textRotation="0" wrapText="false" indent="0" shrinkToFit="false"/>
      <protection locked="true" hidden="false"/>
    </xf>
    <xf numFmtId="164" fontId="17" fillId="0" borderId="48" xfId="0" applyFont="true" applyBorder="true" applyAlignment="true" applyProtection="false">
      <alignment horizontal="center" vertical="bottom" textRotation="0" wrapText="false" indent="0" shrinkToFit="false"/>
      <protection locked="true" hidden="false"/>
    </xf>
    <xf numFmtId="164" fontId="17" fillId="0" borderId="48" xfId="0" applyFont="true" applyBorder="true" applyAlignment="fals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30" fillId="0" borderId="44" xfId="0" applyFont="true" applyBorder="true" applyAlignment="true" applyProtection="false">
      <alignment horizontal="center" vertical="center" textRotation="0" wrapText="true" indent="0" shrinkToFit="false"/>
      <protection locked="true" hidden="false"/>
    </xf>
    <xf numFmtId="164" fontId="17" fillId="0" borderId="12" xfId="0" applyFont="true" applyBorder="true" applyAlignment="true" applyProtection="false">
      <alignment horizontal="center" vertical="bottom" textRotation="0" wrapText="false" indent="0" shrinkToFit="false"/>
      <protection locked="true" hidden="false"/>
    </xf>
    <xf numFmtId="164" fontId="31" fillId="0" borderId="1" xfId="0" applyFont="true" applyBorder="true" applyAlignment="true" applyProtection="false">
      <alignment horizontal="center" vertical="bottom" textRotation="0" wrapText="false" indent="0" shrinkToFit="false"/>
      <protection locked="true" hidden="false"/>
    </xf>
    <xf numFmtId="164" fontId="31" fillId="0" borderId="13" xfId="0" applyFont="true" applyBorder="true" applyAlignment="true" applyProtection="false">
      <alignment horizontal="center" vertical="bottom" textRotation="0" wrapText="false" indent="0" shrinkToFit="false"/>
      <protection locked="true" hidden="false"/>
    </xf>
    <xf numFmtId="164" fontId="17" fillId="0" borderId="36" xfId="0" applyFont="true" applyBorder="true" applyAlignment="true" applyProtection="false">
      <alignment horizontal="center" vertical="bottom" textRotation="0" wrapText="false" indent="0" shrinkToFit="false"/>
      <protection locked="true" hidden="false"/>
    </xf>
    <xf numFmtId="164" fontId="17" fillId="0" borderId="34" xfId="0" applyFont="true" applyBorder="true" applyAlignment="true" applyProtection="false">
      <alignment horizontal="center" vertical="bottom" textRotation="0" wrapText="false" indent="0" shrinkToFit="false"/>
      <protection locked="true" hidden="false"/>
    </xf>
    <xf numFmtId="164" fontId="17" fillId="0" borderId="31" xfId="0" applyFont="true" applyBorder="true" applyAlignment="true" applyProtection="false">
      <alignment horizontal="center" vertical="bottom" textRotation="0" wrapText="false" indent="0" shrinkToFit="false"/>
      <protection locked="true" hidden="false"/>
    </xf>
    <xf numFmtId="164" fontId="17" fillId="12" borderId="31" xfId="0" applyFont="true" applyBorder="true" applyAlignment="true" applyProtection="false">
      <alignment horizontal="center" vertical="bottom" textRotation="0" wrapText="false" indent="0" shrinkToFit="false"/>
      <protection locked="true" hidden="false"/>
    </xf>
    <xf numFmtId="167" fontId="17" fillId="0" borderId="54" xfId="0" applyFont="true" applyBorder="true" applyAlignment="true" applyProtection="false">
      <alignment horizontal="center" vertical="bottom" textRotation="0" wrapText="false" indent="0" shrinkToFit="false"/>
      <protection locked="true" hidden="false"/>
    </xf>
    <xf numFmtId="169" fontId="17" fillId="0" borderId="55" xfId="0" applyFont="true" applyBorder="true" applyAlignment="true" applyProtection="false">
      <alignment horizontal="center" vertical="bottom" textRotation="0" wrapText="false" indent="0" shrinkToFit="false"/>
      <protection locked="true" hidden="false"/>
    </xf>
    <xf numFmtId="164" fontId="17" fillId="0" borderId="5"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center" vertical="bottom" textRotation="0" wrapText="false" indent="0" shrinkToFit="false"/>
      <protection locked="true" hidden="false"/>
    </xf>
    <xf numFmtId="169" fontId="17" fillId="0" borderId="0" xfId="0" applyFont="true" applyBorder="false" applyAlignment="true" applyProtection="false">
      <alignment horizontal="center" vertical="bottom" textRotation="0" wrapText="false" indent="0" shrinkToFit="false"/>
      <protection locked="true" hidden="false"/>
    </xf>
    <xf numFmtId="164" fontId="17" fillId="0" borderId="35" xfId="0" applyFont="true" applyBorder="true" applyAlignment="true" applyProtection="false">
      <alignment horizontal="center" vertical="bottom" textRotation="0" wrapText="false" indent="0" shrinkToFit="false"/>
      <protection locked="true" hidden="false"/>
    </xf>
    <xf numFmtId="164" fontId="17" fillId="0" borderId="32" xfId="0" applyFont="true" applyBorder="true" applyAlignment="true" applyProtection="false">
      <alignment horizontal="center" vertical="bottom" textRotation="0" wrapText="false" indent="0" shrinkToFit="false"/>
      <protection locked="true" hidden="false"/>
    </xf>
    <xf numFmtId="164" fontId="17" fillId="12" borderId="3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justify" vertical="center" textRotation="0" wrapText="false" indent="0" shrinkToFit="false"/>
      <protection locked="true" hidden="false"/>
    </xf>
    <xf numFmtId="164" fontId="17" fillId="0" borderId="39" xfId="0" applyFont="true" applyBorder="true" applyAlignment="true" applyProtection="false">
      <alignment horizontal="center" vertical="bottom" textRotation="0" wrapText="false" indent="0" shrinkToFit="false"/>
      <protection locked="true" hidden="false"/>
    </xf>
    <xf numFmtId="164" fontId="17" fillId="0" borderId="55" xfId="0" applyFont="true" applyBorder="true" applyAlignment="true" applyProtection="false">
      <alignment horizontal="center" vertical="bottom" textRotation="0" wrapText="false" indent="0" shrinkToFit="false"/>
      <protection locked="true" hidden="false"/>
    </xf>
    <xf numFmtId="164" fontId="17" fillId="12" borderId="55" xfId="0" applyFont="true" applyBorder="true" applyAlignment="true" applyProtection="false">
      <alignment horizontal="center" vertical="bottom" textRotation="0" wrapText="false" indent="0" shrinkToFit="false"/>
      <protection locked="true" hidden="false"/>
    </xf>
    <xf numFmtId="164" fontId="33" fillId="0" borderId="0" xfId="0" applyFont="true" applyBorder="false" applyAlignment="true" applyProtection="false">
      <alignment horizontal="justify" vertical="center" textRotation="0" wrapText="false" indent="0" shrinkToFit="false"/>
      <protection locked="true" hidden="false"/>
    </xf>
    <xf numFmtId="164" fontId="17" fillId="0" borderId="36" xfId="0" applyFont="true" applyBorder="true" applyAlignment="true" applyProtection="false">
      <alignment horizontal="center" vertical="bottom" textRotation="0" wrapText="true" indent="0" shrinkToFit="false"/>
      <protection locked="true" hidden="false"/>
    </xf>
    <xf numFmtId="164" fontId="17" fillId="0" borderId="22" xfId="0" applyFont="true" applyBorder="true" applyAlignment="true" applyProtection="false">
      <alignment horizontal="center" vertical="bottom" textRotation="0" wrapText="true" indent="0" shrinkToFit="false"/>
      <protection locked="true" hidden="false"/>
    </xf>
    <xf numFmtId="164" fontId="17" fillId="0" borderId="22" xfId="0" applyFont="true" applyBorder="true" applyAlignment="true" applyProtection="false">
      <alignment horizontal="center" vertical="bottom" textRotation="0" wrapText="false" indent="0" shrinkToFit="false"/>
      <protection locked="true" hidden="false"/>
    </xf>
    <xf numFmtId="164" fontId="17" fillId="0" borderId="27"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3" xfId="0" applyFont="true" applyBorder="tru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justify" vertical="center" textRotation="0" wrapText="true" indent="0" shrinkToFit="false"/>
      <protection locked="true" hidden="false"/>
    </xf>
    <xf numFmtId="164" fontId="10" fillId="0" borderId="40" xfId="0" applyFont="true" applyBorder="true" applyAlignment="true" applyProtection="false">
      <alignment horizontal="justify" vertical="center" textRotation="0" wrapText="true" indent="0" shrinkToFit="false"/>
      <protection locked="true" hidden="false"/>
    </xf>
    <xf numFmtId="164" fontId="8" fillId="0" borderId="40" xfId="0" applyFont="true" applyBorder="true" applyAlignment="true" applyProtection="false">
      <alignment horizontal="justify" vertical="center" textRotation="0" wrapText="true" indent="0" shrinkToFit="false"/>
      <protection locked="true" hidden="false"/>
    </xf>
    <xf numFmtId="164" fontId="13" fillId="0" borderId="40" xfId="0" applyFont="true" applyBorder="true" applyAlignment="true" applyProtection="false">
      <alignment horizontal="center" vertical="center" textRotation="0" wrapText="true" indent="0" shrinkToFit="false"/>
      <protection locked="true" hidden="false"/>
    </xf>
    <xf numFmtId="164" fontId="8" fillId="0" borderId="40" xfId="0" applyFont="true" applyBorder="true" applyAlignment="true" applyProtection="false">
      <alignment horizontal="center" vertical="center" textRotation="0" wrapText="true" indent="0" shrinkToFit="false"/>
      <protection locked="true" hidden="false"/>
    </xf>
    <xf numFmtId="164" fontId="4" fillId="0" borderId="40" xfId="0" applyFont="true" applyBorder="true" applyAlignment="true" applyProtection="false">
      <alignment horizontal="justify" vertical="center" textRotation="0" wrapText="true" indent="0" shrinkToFit="false"/>
      <protection locked="true" hidden="false"/>
    </xf>
    <xf numFmtId="164" fontId="4" fillId="0" borderId="40" xfId="0" applyFont="true" applyBorder="true" applyAlignment="true" applyProtection="false">
      <alignment horizontal="center" vertical="center" textRotation="0" wrapText="true" indent="0" shrinkToFit="false"/>
      <protection locked="true" hidden="false"/>
    </xf>
    <xf numFmtId="164" fontId="8" fillId="0" borderId="40" xfId="0" applyFont="true" applyBorder="true" applyAlignment="true" applyProtection="false">
      <alignment horizontal="general"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25" fillId="0" borderId="14" xfId="0" applyFont="true" applyBorder="true" applyAlignment="true" applyProtection="false">
      <alignment horizontal="left" vertical="center" textRotation="0" wrapText="true" indent="0" shrinkToFit="false"/>
      <protection locked="true" hidden="false"/>
    </xf>
    <xf numFmtId="164" fontId="25" fillId="3" borderId="23"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5" fillId="0" borderId="8" xfId="0" applyFont="true" applyBorder="true" applyAlignment="true" applyProtection="false">
      <alignment horizontal="left" vertical="center" textRotation="0" wrapText="true" indent="0" shrinkToFit="false"/>
      <protection locked="true" hidden="false"/>
    </xf>
    <xf numFmtId="164" fontId="25" fillId="3" borderId="7"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left" vertical="bottom" textRotation="0" wrapText="false" indent="0" shrinkToFit="false"/>
      <protection locked="true" hidden="false"/>
    </xf>
    <xf numFmtId="167" fontId="17" fillId="3" borderId="7" xfId="0" applyFont="true" applyBorder="true" applyAlignment="true" applyProtection="false">
      <alignment horizontal="center" vertical="bottom" textRotation="0" wrapText="false" indent="0" shrinkToFit="false"/>
      <protection locked="true" hidden="false"/>
    </xf>
    <xf numFmtId="168" fontId="17" fillId="3" borderId="7"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9" fontId="17" fillId="3" borderId="7" xfId="0" applyFont="true" applyBorder="true" applyAlignment="true" applyProtection="false">
      <alignment horizontal="center" vertical="bottom" textRotation="0" wrapText="false" indent="0" shrinkToFit="false"/>
      <protection locked="true" hidden="false"/>
    </xf>
    <xf numFmtId="164" fontId="25" fillId="0" borderId="10" xfId="0" applyFont="true" applyBorder="true" applyAlignment="true" applyProtection="false">
      <alignment horizontal="left" vertical="bottom" textRotation="0" wrapText="false" indent="0" shrinkToFit="false"/>
      <protection locked="true" hidden="false"/>
    </xf>
    <xf numFmtId="167" fontId="17" fillId="0" borderId="11"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true" indent="0" shrinkToFit="false"/>
      <protection locked="true" hidden="false"/>
    </xf>
    <xf numFmtId="169" fontId="0" fillId="0" borderId="7"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4" fillId="15" borderId="8" xfId="0" applyFont="true" applyBorder="true" applyAlignment="true" applyProtection="false">
      <alignment horizontal="center" vertical="center" textRotation="0" wrapText="true" indent="0" shrinkToFit="false"/>
      <protection locked="true" hidden="false"/>
    </xf>
    <xf numFmtId="167" fontId="17" fillId="0" borderId="56" xfId="0" applyFont="true" applyBorder="true" applyAlignment="true" applyProtection="false">
      <alignment horizontal="center" vertical="bottom" textRotation="0" wrapText="false" indent="0" shrinkToFit="false"/>
      <protection locked="true" hidden="false"/>
    </xf>
    <xf numFmtId="169" fontId="17" fillId="0" borderId="31" xfId="0" applyFont="true" applyBorder="true" applyAlignment="true" applyProtection="false">
      <alignment horizontal="center" vertical="bottom" textRotation="0" wrapText="false" indent="0" shrinkToFit="false"/>
      <protection locked="true" hidden="false"/>
    </xf>
    <xf numFmtId="167" fontId="17" fillId="0" borderId="57" xfId="0" applyFont="true" applyBorder="true" applyAlignment="true" applyProtection="false">
      <alignment horizontal="center" vertical="bottom" textRotation="0" wrapText="false" indent="0" shrinkToFit="false"/>
      <protection locked="true" hidden="false"/>
    </xf>
    <xf numFmtId="169" fontId="17" fillId="0" borderId="32" xfId="0" applyFont="true" applyBorder="true" applyAlignment="true" applyProtection="false">
      <alignment horizontal="center" vertical="bottom" textRotation="0" wrapText="false" indent="0" shrinkToFit="false"/>
      <protection locked="true" hidden="false"/>
    </xf>
    <xf numFmtId="167" fontId="27" fillId="0" borderId="1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7" fillId="0" borderId="51" xfId="0" applyFont="true" applyBorder="true" applyAlignment="true" applyProtection="false">
      <alignment horizontal="center" vertical="bottom" textRotation="0" wrapText="false" indent="0" shrinkToFit="false"/>
      <protection locked="true" hidden="false"/>
    </xf>
    <xf numFmtId="164" fontId="17" fillId="0" borderId="33" xfId="0" applyFont="true" applyBorder="true" applyAlignment="true" applyProtection="false">
      <alignment horizontal="center" vertical="bottom" textRotation="0" wrapText="false" indent="0" shrinkToFit="false"/>
      <protection locked="true" hidden="false"/>
    </xf>
    <xf numFmtId="164" fontId="17" fillId="12" borderId="33" xfId="0" applyFont="true" applyBorder="true" applyAlignment="true" applyProtection="false">
      <alignment horizontal="center" vertical="bottom" textRotation="0" wrapText="false" indent="0" shrinkToFit="false"/>
      <protection locked="true" hidden="false"/>
    </xf>
    <xf numFmtId="167" fontId="17" fillId="0" borderId="58" xfId="0" applyFont="true" applyBorder="true" applyAlignment="true" applyProtection="false">
      <alignment horizontal="center" vertical="bottom" textRotation="0" wrapText="false" indent="0" shrinkToFit="false"/>
      <protection locked="true" hidden="false"/>
    </xf>
    <xf numFmtId="169" fontId="17" fillId="0" borderId="33" xfId="0" applyFont="true" applyBorder="true" applyAlignment="true" applyProtection="false">
      <alignment horizontal="center" vertical="bottom" textRotation="0" wrapText="false" indent="0" shrinkToFit="false"/>
      <protection locked="true" hidden="false"/>
    </xf>
    <xf numFmtId="164" fontId="17" fillId="0" borderId="59" xfId="0" applyFont="true" applyBorder="true" applyAlignment="true" applyProtection="false">
      <alignment horizontal="center" vertical="bottom" textRotation="0" wrapText="false" indent="0" shrinkToFit="false"/>
      <protection locked="true" hidden="false"/>
    </xf>
    <xf numFmtId="167" fontId="17" fillId="0" borderId="60" xfId="0" applyFont="true" applyBorder="true" applyAlignment="true" applyProtection="false">
      <alignment horizontal="center" vertical="bottom" textRotation="0" wrapText="false" indent="0" shrinkToFit="false"/>
      <protection locked="true" hidden="false"/>
    </xf>
    <xf numFmtId="164" fontId="17" fillId="12" borderId="60" xfId="0" applyFont="true" applyBorder="true" applyAlignment="true" applyProtection="false">
      <alignment horizontal="center" vertical="bottom" textRotation="0" wrapText="false" indent="0" shrinkToFit="false"/>
      <protection locked="true" hidden="false"/>
    </xf>
    <xf numFmtId="167" fontId="17" fillId="0" borderId="61" xfId="0" applyFont="true" applyBorder="true" applyAlignment="true" applyProtection="false">
      <alignment horizontal="center" vertical="bottom" textRotation="0" wrapText="false" indent="0" shrinkToFit="false"/>
      <protection locked="true" hidden="false"/>
    </xf>
    <xf numFmtId="169" fontId="17" fillId="0" borderId="60" xfId="0" applyFont="true" applyBorder="true" applyAlignment="true" applyProtection="false">
      <alignment horizontal="center" vertical="bottom" textRotation="0" wrapText="false" indent="0" shrinkToFit="false"/>
      <protection locked="true" hidden="false"/>
    </xf>
    <xf numFmtId="164" fontId="17" fillId="0" borderId="40" xfId="0" applyFont="true" applyBorder="true" applyAlignment="true" applyProtection="false">
      <alignment horizontal="center" vertical="center" textRotation="0" wrapText="false" indent="0" shrinkToFit="false"/>
      <protection locked="true" hidden="false"/>
    </xf>
    <xf numFmtId="167" fontId="17" fillId="0" borderId="44" xfId="0" applyFont="true" applyBorder="true" applyAlignment="true" applyProtection="false">
      <alignment horizontal="center" vertical="bottom" textRotation="0" wrapText="false" indent="0" shrinkToFit="false"/>
      <protection locked="true" hidden="false"/>
    </xf>
    <xf numFmtId="164" fontId="17" fillId="0" borderId="6" xfId="0" applyFont="true" applyBorder="true" applyAlignment="true" applyProtection="false">
      <alignment horizontal="center" vertical="bottom" textRotation="0" wrapText="false" indent="0" shrinkToFit="false"/>
      <protection locked="true" hidden="false"/>
    </xf>
    <xf numFmtId="164" fontId="17" fillId="12" borderId="1" xfId="0" applyFont="true" applyBorder="true" applyAlignment="true" applyProtection="false">
      <alignment horizontal="center" vertical="bottom" textRotation="0" wrapText="false" indent="0" shrinkToFit="false"/>
      <protection locked="true" hidden="false"/>
    </xf>
    <xf numFmtId="169" fontId="17" fillId="0" borderId="1" xfId="0" applyFont="true" applyBorder="true" applyAlignment="true" applyProtection="false">
      <alignment horizontal="center" vertical="bottom" textRotation="0" wrapText="false" indent="0" shrinkToFit="false"/>
      <protection locked="true" hidden="false"/>
    </xf>
    <xf numFmtId="169" fontId="17" fillId="0" borderId="48"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false">
      <alignment horizontal="general" vertical="center" textRotation="0" wrapText="false" indent="0" shrinkToFit="false"/>
      <protection locked="true" hidden="false"/>
    </xf>
    <xf numFmtId="164" fontId="25" fillId="0" borderId="34" xfId="0" applyFont="true" applyBorder="true" applyAlignment="true" applyProtection="false">
      <alignment horizontal="left" vertical="center" textRotation="0" wrapText="true" indent="0" shrinkToFit="false"/>
      <protection locked="true" hidden="false"/>
    </xf>
    <xf numFmtId="167" fontId="25" fillId="3" borderId="31" xfId="0" applyFont="true" applyBorder="true" applyAlignment="true" applyProtection="false">
      <alignment horizontal="center" vertical="center" textRotation="0" wrapText="false" indent="0" shrinkToFit="false"/>
      <protection locked="true" hidden="false"/>
    </xf>
    <xf numFmtId="167" fontId="25" fillId="0" borderId="0"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left" vertical="bottom" textRotation="0" wrapText="true" indent="0" shrinkToFit="false"/>
      <protection locked="true" hidden="false"/>
    </xf>
    <xf numFmtId="169" fontId="16" fillId="0" borderId="9" xfId="0" applyFont="true" applyBorder="true" applyAlignment="true" applyProtection="false">
      <alignment horizontal="center" vertical="bottom" textRotation="0" wrapText="false" indent="0" shrinkToFit="false"/>
      <protection locked="true" hidden="false"/>
    </xf>
    <xf numFmtId="164" fontId="17" fillId="0" borderId="35" xfId="0" applyFont="true" applyBorder="true" applyAlignment="true" applyProtection="false">
      <alignment horizontal="left" vertical="bottom" textRotation="0" wrapText="false" indent="0" shrinkToFit="false"/>
      <protection locked="true" hidden="false"/>
    </xf>
    <xf numFmtId="164" fontId="17" fillId="3" borderId="32"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4" fontId="17" fillId="0" borderId="35" xfId="0" applyFont="true" applyBorder="true" applyAlignment="true" applyProtection="false">
      <alignment horizontal="left" vertical="center"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true" indent="0" shrinkToFit="false"/>
      <protection locked="true" hidden="false"/>
    </xf>
    <xf numFmtId="164" fontId="0" fillId="16" borderId="9" xfId="0" applyFont="false" applyBorder="true" applyAlignment="true" applyProtection="false">
      <alignment horizontal="center" vertical="bottom" textRotation="0" wrapText="false" indent="0" shrinkToFit="false"/>
      <protection locked="true" hidden="false"/>
    </xf>
    <xf numFmtId="171" fontId="17" fillId="3" borderId="32" xfId="0" applyFont="true" applyBorder="true" applyAlignment="true" applyProtection="false">
      <alignment horizontal="center" vertical="center" textRotation="0" wrapText="false" indent="0" shrinkToFit="false"/>
      <protection locked="true" hidden="false"/>
    </xf>
    <xf numFmtId="164" fontId="17" fillId="0" borderId="35" xfId="0" applyFont="true" applyBorder="true" applyAlignment="true" applyProtection="false">
      <alignment horizontal="left" vertical="bottom" textRotation="0" wrapText="true" indent="0" shrinkToFit="false"/>
      <protection locked="true" hidden="false"/>
    </xf>
    <xf numFmtId="167" fontId="0" fillId="0" borderId="9" xfId="0" applyFont="true" applyBorder="true" applyAlignment="true" applyProtection="false">
      <alignment horizontal="left" vertical="center" textRotation="0" wrapText="false" indent="0" shrinkToFit="false"/>
      <protection locked="true" hidden="false"/>
    </xf>
    <xf numFmtId="167" fontId="0" fillId="0" borderId="9" xfId="0" applyFont="false" applyBorder="true" applyAlignment="true" applyProtection="false">
      <alignment horizontal="center" vertical="center" textRotation="0" wrapText="false" indent="0" shrinkToFit="false"/>
      <protection locked="true" hidden="false"/>
    </xf>
    <xf numFmtId="164" fontId="17" fillId="0" borderId="32" xfId="0" applyFont="true" applyBorder="true" applyAlignment="true" applyProtection="false">
      <alignment horizontal="left" vertical="bottom" textRotation="0" wrapText="true" indent="0" shrinkToFit="false"/>
      <protection locked="true" hidden="false"/>
    </xf>
    <xf numFmtId="168" fontId="17" fillId="3" borderId="32"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9" fontId="0" fillId="0" borderId="9" xfId="0" applyFont="false" applyBorder="true" applyAlignment="true" applyProtection="false">
      <alignment horizontal="center" vertical="bottom" textRotation="0" wrapText="false" indent="0" shrinkToFit="false"/>
      <protection locked="true" hidden="false"/>
    </xf>
    <xf numFmtId="169" fontId="0" fillId="16" borderId="9" xfId="0" applyFont="false" applyBorder="true" applyAlignment="true" applyProtection="false">
      <alignment horizontal="center" vertical="bottom" textRotation="0" wrapText="false" indent="0" shrinkToFit="false"/>
      <protection locked="true" hidden="false"/>
    </xf>
    <xf numFmtId="164" fontId="25" fillId="0" borderId="9" xfId="0" applyFont="true" applyBorder="true" applyAlignment="true" applyProtection="false">
      <alignment horizontal="center" vertical="center" textRotation="0" wrapText="true" indent="0" shrinkToFit="false"/>
      <protection locked="true" hidden="false"/>
    </xf>
    <xf numFmtId="171" fontId="17" fillId="0" borderId="0" xfId="0" applyFont="true" applyBorder="true" applyAlignment="true" applyProtection="false">
      <alignment horizontal="center" vertical="center" textRotation="0" wrapText="false" indent="0" shrinkToFit="false"/>
      <protection locked="true" hidden="false"/>
    </xf>
    <xf numFmtId="167" fontId="0" fillId="0" borderId="9" xfId="0" applyFont="false" applyBorder="true" applyAlignment="false" applyProtection="false">
      <alignment horizontal="general" vertical="bottom" textRotation="0" wrapText="false" indent="0" shrinkToFit="false"/>
      <protection locked="true" hidden="false"/>
    </xf>
    <xf numFmtId="164" fontId="27" fillId="0" borderId="9" xfId="0" applyFont="true" applyBorder="true" applyAlignment="false" applyProtection="false">
      <alignment horizontal="general" vertical="bottom" textRotation="0" wrapText="false" indent="0" shrinkToFit="false"/>
      <protection locked="true" hidden="false"/>
    </xf>
    <xf numFmtId="164" fontId="17" fillId="0" borderId="51" xfId="0" applyFont="true" applyBorder="true" applyAlignment="true" applyProtection="false">
      <alignment horizontal="left" vertical="bottom" textRotation="0" wrapText="false" indent="0" shrinkToFit="false"/>
      <protection locked="true" hidden="false"/>
    </xf>
    <xf numFmtId="167" fontId="25" fillId="0" borderId="33"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7" fontId="17" fillId="0" borderId="48" xfId="0" applyFont="true" applyBorder="true" applyAlignment="false" applyProtection="false">
      <alignment horizontal="general" vertical="bottom" textRotation="0" wrapText="false" indent="0" shrinkToFit="false"/>
      <protection locked="true" hidden="false"/>
    </xf>
    <xf numFmtId="164" fontId="30" fillId="0" borderId="5" xfId="0" applyFont="true" applyBorder="true" applyAlignment="true" applyProtection="false">
      <alignment horizontal="left" vertical="center" textRotation="0" wrapText="true" indent="0" shrinkToFit="false"/>
      <protection locked="true" hidden="false"/>
    </xf>
    <xf numFmtId="164" fontId="17" fillId="0" borderId="6" xfId="0" applyFont="true" applyBorder="true" applyAlignment="false" applyProtection="false">
      <alignment horizontal="general" vertical="bottom" textRotation="0" wrapText="false" indent="0" shrinkToFit="false"/>
      <protection locked="true" hidden="false"/>
    </xf>
    <xf numFmtId="164" fontId="17" fillId="0" borderId="44" xfId="0" applyFont="true" applyBorder="true" applyAlignment="false" applyProtection="false">
      <alignment horizontal="general" vertical="bottom" textRotation="0" wrapText="false" indent="0" shrinkToFit="false"/>
      <protection locked="true" hidden="false"/>
    </xf>
    <xf numFmtId="164" fontId="17" fillId="0" borderId="52"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7" fontId="25" fillId="3" borderId="31" xfId="0" applyFont="true" applyBorder="true" applyAlignment="true" applyProtection="false">
      <alignment horizontal="center" vertical="bottom" textRotation="0" wrapText="false" indent="0" shrinkToFit="false"/>
      <protection locked="true" hidden="false"/>
    </xf>
    <xf numFmtId="167" fontId="25" fillId="0" borderId="0" xfId="0" applyFont="true" applyBorder="true" applyAlignment="true" applyProtection="false">
      <alignment horizontal="center" vertical="bottom" textRotation="0" wrapText="false" indent="0" shrinkToFit="false"/>
      <protection locked="true" hidden="false"/>
    </xf>
    <xf numFmtId="164" fontId="17" fillId="3" borderId="32"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9" fontId="17" fillId="3" borderId="32" xfId="0" applyFont="true" applyBorder="true" applyAlignment="true" applyProtection="false">
      <alignment horizontal="center" vertical="center" textRotation="0" wrapText="false" indent="0" shrinkToFit="false"/>
      <protection locked="true" hidden="false"/>
    </xf>
    <xf numFmtId="168" fontId="17" fillId="3" borderId="32"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71" fontId="17" fillId="3" borderId="32" xfId="0" applyFont="true" applyBorder="true" applyAlignment="true" applyProtection="false">
      <alignment horizontal="center" vertical="bottom" textRotation="0" wrapText="false" indent="0" shrinkToFit="false"/>
      <protection locked="true" hidden="false"/>
    </xf>
    <xf numFmtId="171" fontId="17" fillId="0" borderId="0" xfId="0" applyFont="true" applyBorder="true" applyAlignment="true" applyProtection="false">
      <alignment horizontal="center" vertical="bottom" textRotation="0" wrapText="false" indent="0" shrinkToFit="false"/>
      <protection locked="true" hidden="false"/>
    </xf>
    <xf numFmtId="167" fontId="27" fillId="0" borderId="9" xfId="0" applyFont="true" applyBorder="true" applyAlignment="false" applyProtection="false">
      <alignment horizontal="general" vertical="bottom" textRotation="0" wrapText="false" indent="0" shrinkToFit="false"/>
      <protection locked="true" hidden="false"/>
    </xf>
    <xf numFmtId="167" fontId="25" fillId="0" borderId="33" xfId="0" applyFont="true" applyBorder="true" applyAlignment="true" applyProtection="false">
      <alignment horizontal="center" vertical="bottom" textRotation="0" wrapText="false" indent="0" shrinkToFit="false"/>
      <protection locked="true" hidden="false"/>
    </xf>
    <xf numFmtId="164" fontId="30" fillId="0" borderId="1" xfId="0" applyFont="true" applyBorder="true" applyAlignment="true" applyProtection="false">
      <alignment horizontal="left" vertical="center" textRotation="0" wrapText="tru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17" fillId="0" borderId="31" xfId="0" applyFont="true" applyBorder="true" applyAlignment="true" applyProtection="false">
      <alignment horizontal="center" vertical="center" textRotation="0" wrapText="false" indent="0" shrinkToFit="false"/>
      <protection locked="true" hidden="false"/>
    </xf>
    <xf numFmtId="164" fontId="17" fillId="0" borderId="32" xfId="0" applyFont="true" applyBorder="true" applyAlignment="true" applyProtection="false">
      <alignment horizontal="center" vertical="center" textRotation="0" wrapText="false" indent="0" shrinkToFit="false"/>
      <protection locked="true" hidden="false"/>
    </xf>
    <xf numFmtId="164" fontId="17" fillId="0" borderId="55" xfId="0" applyFont="true" applyBorder="true" applyAlignment="true" applyProtection="false">
      <alignment horizontal="center" vertical="center" textRotation="0" wrapText="false" indent="0" shrinkToFit="false"/>
      <protection locked="true" hidden="false"/>
    </xf>
    <xf numFmtId="164" fontId="17" fillId="0" borderId="33" xfId="0" applyFont="true" applyBorder="true" applyAlignment="true" applyProtection="false">
      <alignment horizontal="center" vertical="center" textRotation="0" wrapText="false" indent="0" shrinkToFit="false"/>
      <protection locked="true" hidden="false"/>
    </xf>
    <xf numFmtId="164" fontId="17" fillId="0" borderId="60" xfId="0" applyFont="true" applyBorder="true" applyAlignment="true" applyProtection="false">
      <alignment horizontal="center" vertical="center" textRotation="0" wrapText="false" indent="0" shrinkToFit="false"/>
      <protection locked="true" hidden="false"/>
    </xf>
    <xf numFmtId="164" fontId="39" fillId="0" borderId="44"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left" vertical="bottom" textRotation="0" wrapText="true" indent="0" shrinkToFit="false"/>
      <protection locked="true" hidden="false"/>
    </xf>
    <xf numFmtId="167" fontId="0" fillId="0" borderId="1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35" fillId="0" borderId="48" xfId="0" applyFont="true" applyBorder="true" applyAlignment="true" applyProtection="false">
      <alignment horizontal="center" vertical="bottom" textRotation="0" wrapText="true" indent="0" shrinkToFit="false"/>
      <protection locked="true" hidden="false"/>
    </xf>
    <xf numFmtId="164" fontId="17" fillId="0" borderId="44" xfId="0" applyFont="true" applyBorder="true" applyAlignment="true" applyProtection="false">
      <alignment horizontal="center"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25" fillId="0" borderId="8" xfId="0" applyFont="true" applyBorder="true" applyAlignment="true" applyProtection="false">
      <alignment horizontal="center" vertical="center" textRotation="0" wrapText="true" indent="0" shrinkToFit="false"/>
      <protection locked="true" hidden="false"/>
    </xf>
    <xf numFmtId="172" fontId="0" fillId="0" borderId="11" xfId="0" applyFont="false" applyBorder="true" applyAlignment="false" applyProtection="false">
      <alignment horizontal="general" vertical="bottom" textRotation="0" wrapText="false" indent="0" shrinkToFit="false"/>
      <protection locked="true" hidden="false"/>
    </xf>
    <xf numFmtId="164" fontId="25" fillId="0" borderId="31" xfId="0" applyFont="true" applyBorder="true" applyAlignment="true" applyProtection="false">
      <alignment horizontal="left" vertical="center" textRotation="0" wrapText="true" indent="0" shrinkToFit="false"/>
      <protection locked="true" hidden="false"/>
    </xf>
    <xf numFmtId="164" fontId="17" fillId="0" borderId="32" xfId="0" applyFont="true" applyBorder="true" applyAlignment="true" applyProtection="false">
      <alignment horizontal="left" vertical="bottom" textRotation="0" wrapText="false" indent="0" shrinkToFit="false"/>
      <protection locked="true" hidden="false"/>
    </xf>
    <xf numFmtId="164" fontId="17" fillId="0" borderId="32" xfId="0" applyFont="true" applyBorder="true" applyAlignment="true" applyProtection="false">
      <alignment horizontal="left" vertical="center" textRotation="0" wrapText="false" indent="0" shrinkToFit="false"/>
      <protection locked="true" hidden="false"/>
    </xf>
    <xf numFmtId="164" fontId="17" fillId="0" borderId="33" xfId="0" applyFont="true" applyBorder="true" applyAlignment="true" applyProtection="false">
      <alignment horizontal="left" vertical="bottom" textRotation="0" wrapText="false" indent="0" shrinkToFit="false"/>
      <protection locked="true" hidden="false"/>
    </xf>
    <xf numFmtId="164" fontId="40" fillId="0" borderId="1" xfId="0" applyFont="true" applyBorder="true" applyAlignment="true" applyProtection="false">
      <alignment horizontal="general" vertical="bottom" textRotation="0" wrapText="true" indent="0" shrinkToFit="false"/>
      <protection locked="true" hidden="false"/>
    </xf>
    <xf numFmtId="164" fontId="40" fillId="0" borderId="12" xfId="0" applyFont="true" applyBorder="true" applyAlignment="true" applyProtection="false">
      <alignment horizontal="general" vertical="center" textRotation="0" wrapText="true" indent="0" shrinkToFit="false"/>
      <protection locked="true" hidden="false"/>
    </xf>
    <xf numFmtId="164" fontId="0" fillId="0" borderId="36" xfId="0" applyFont="true" applyBorder="true" applyAlignment="true" applyProtection="false">
      <alignment horizontal="general" vertical="bottom" textRotation="0" wrapText="tru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41" fillId="17" borderId="50" xfId="0" applyFont="true" applyBorder="true" applyAlignment="true" applyProtection="false">
      <alignment horizontal="center" vertical="bottom" textRotation="0" wrapText="false" indent="0" shrinkToFit="false"/>
      <protection locked="true" hidden="false"/>
    </xf>
    <xf numFmtId="164" fontId="41" fillId="17" borderId="62" xfId="0" applyFont="true" applyBorder="true" applyAlignment="true" applyProtection="false">
      <alignment horizontal="general" vertical="center" textRotation="0" wrapText="tru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41" fillId="0" borderId="8" xfId="0" applyFont="true" applyBorder="true" applyAlignment="true" applyProtection="false">
      <alignment horizontal="center" vertical="bottom" textRotation="0" wrapText="false" indent="0" shrinkToFit="false"/>
      <protection locked="true" hidden="false"/>
    </xf>
    <xf numFmtId="164" fontId="41" fillId="0" borderId="18"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41" fillId="17" borderId="8" xfId="0" applyFont="true" applyBorder="true" applyAlignment="true" applyProtection="false">
      <alignment horizontal="center" vertical="bottom" textRotation="0" wrapText="false" indent="0" shrinkToFit="false"/>
      <protection locked="true" hidden="false"/>
    </xf>
    <xf numFmtId="164" fontId="41" fillId="17" borderId="18" xfId="0" applyFont="true" applyBorder="true" applyAlignment="true" applyProtection="false">
      <alignment horizontal="general" vertical="center" textRotation="0" wrapText="true" indent="0" shrinkToFit="false"/>
      <protection locked="true" hidden="false"/>
    </xf>
    <xf numFmtId="164" fontId="4" fillId="18" borderId="1" xfId="0" applyFont="true" applyBorder="true" applyAlignment="true" applyProtection="false">
      <alignment horizontal="center" vertical="center" textRotation="0" wrapText="true" indent="0" shrinkToFit="false"/>
      <protection locked="true" hidden="false"/>
    </xf>
    <xf numFmtId="164" fontId="4" fillId="18" borderId="2" xfId="0" applyFont="true" applyBorder="true" applyAlignment="true" applyProtection="false">
      <alignment horizontal="center" vertical="center" textRotation="0" wrapText="true" indent="0" shrinkToFit="false"/>
      <protection locked="true" hidden="false"/>
    </xf>
    <xf numFmtId="164" fontId="4" fillId="18" borderId="3" xfId="0" applyFont="true" applyBorder="true" applyAlignment="true" applyProtection="false">
      <alignment horizontal="center" vertical="center" textRotation="0" wrapText="true" indent="0" shrinkToFit="false"/>
      <protection locked="true" hidden="false"/>
    </xf>
    <xf numFmtId="164" fontId="4" fillId="18" borderId="4" xfId="0" applyFont="true" applyBorder="true" applyAlignment="true" applyProtection="false">
      <alignment horizontal="center" vertical="center" textRotation="0" wrapText="true" indent="0" shrinkToFit="false"/>
      <protection locked="true" hidden="false"/>
    </xf>
    <xf numFmtId="164" fontId="4" fillId="18" borderId="4" xfId="0" applyFont="true" applyBorder="true" applyAlignment="true" applyProtection="false">
      <alignment horizontal="general" vertical="center" textRotation="0" wrapText="true" indent="0" shrinkToFit="false"/>
      <protection locked="true" hidden="false"/>
    </xf>
    <xf numFmtId="164" fontId="4" fillId="18" borderId="4" xfId="0" applyFont="true" applyBorder="true" applyAlignment="true" applyProtection="false">
      <alignment horizontal="left" vertical="center" textRotation="0" wrapText="true" indent="15" shrinkToFit="false"/>
      <protection locked="true" hidden="false"/>
    </xf>
    <xf numFmtId="164" fontId="41" fillId="17" borderId="10" xfId="0" applyFont="true" applyBorder="true" applyAlignment="true" applyProtection="false">
      <alignment horizontal="center" vertical="bottom" textRotation="0" wrapText="false" indent="0" shrinkToFit="false"/>
      <protection locked="true" hidden="false"/>
    </xf>
    <xf numFmtId="164" fontId="41" fillId="17" borderId="20" xfId="0" applyFont="true" applyBorder="true" applyAlignment="true" applyProtection="false">
      <alignment horizontal="general" vertical="center" textRotation="0" wrapText="true" indent="0" shrinkToFit="false"/>
      <protection locked="true" hidden="false"/>
    </xf>
    <xf numFmtId="164" fontId="41" fillId="0" borderId="14" xfId="0" applyFont="true" applyBorder="true" applyAlignment="true" applyProtection="false">
      <alignment horizontal="center" vertical="bottom" textRotation="0" wrapText="false" indent="0" shrinkToFit="false"/>
      <protection locked="true" hidden="false"/>
    </xf>
    <xf numFmtId="164" fontId="41" fillId="0" borderId="16" xfId="0" applyFont="true" applyBorder="true" applyAlignment="true" applyProtection="false">
      <alignment horizontal="center" vertical="center"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41" fillId="0" borderId="18" xfId="0" applyFont="true" applyBorder="true" applyAlignment="true" applyProtection="false">
      <alignment horizontal="center" vertical="center" textRotation="0" wrapText="true" indent="0" shrinkToFit="false"/>
      <protection locked="true" hidden="false"/>
    </xf>
    <xf numFmtId="164" fontId="43" fillId="18" borderId="1" xfId="0" applyFont="true" applyBorder="true" applyAlignment="true" applyProtection="false">
      <alignment horizontal="justify" vertical="center" textRotation="0" wrapText="true" indent="0" shrinkToFit="false"/>
      <protection locked="true" hidden="false"/>
    </xf>
    <xf numFmtId="164" fontId="0" fillId="0" borderId="18" xfId="0" applyFont="true" applyBorder="true" applyAlignment="true" applyProtection="false">
      <alignment horizontal="center" vertical="bottom" textRotation="0" wrapText="true" indent="0" shrinkToFit="false"/>
      <protection locked="true" hidden="false"/>
    </xf>
    <xf numFmtId="164" fontId="41" fillId="0" borderId="10" xfId="0" applyFont="true" applyBorder="true" applyAlignment="true" applyProtection="false">
      <alignment horizontal="center" vertical="bottom" textRotation="0" wrapText="false" indent="0" shrinkToFit="false"/>
      <protection locked="true" hidden="false"/>
    </xf>
    <xf numFmtId="164" fontId="41" fillId="0" borderId="20" xfId="0" applyFont="true" applyBorder="true" applyAlignment="true" applyProtection="false">
      <alignment horizontal="center" vertical="center" textRotation="0" wrapText="true" indent="0" shrinkToFit="false"/>
      <protection locked="true" hidden="false"/>
    </xf>
    <xf numFmtId="164" fontId="41" fillId="0" borderId="16" xfId="0" applyFont="true" applyBorder="true" applyAlignment="true" applyProtection="false">
      <alignment horizontal="general" vertical="center" textRotation="0" wrapText="true" indent="0" shrinkToFit="false"/>
      <protection locked="true" hidden="false"/>
    </xf>
    <xf numFmtId="164" fontId="4" fillId="0" borderId="18" xfId="0" applyFont="true" applyBorder="true" applyAlignment="true" applyProtection="false">
      <alignment horizontal="general" vertical="center" textRotation="0" wrapText="true" indent="0" shrinkToFit="false"/>
      <protection locked="true" hidden="false"/>
    </xf>
    <xf numFmtId="168" fontId="41" fillId="0" borderId="18" xfId="0" applyFont="true" applyBorder="true" applyAlignment="true" applyProtection="false">
      <alignment horizontal="general" vertical="center" textRotation="0" wrapText="true" indent="0" shrinkToFit="false"/>
      <protection locked="true" hidden="false"/>
    </xf>
    <xf numFmtId="164" fontId="41" fillId="0" borderId="43" xfId="0" applyFont="true" applyBorder="true" applyAlignment="true" applyProtection="false">
      <alignment horizontal="center" vertical="bottom" textRotation="0" wrapText="false" indent="0" shrinkToFit="false"/>
      <protection locked="true" hidden="false"/>
    </xf>
    <xf numFmtId="164" fontId="41" fillId="0" borderId="63" xfId="0" applyFont="true" applyBorder="true" applyAlignment="true" applyProtection="false">
      <alignment horizontal="center" vertical="center" textRotation="0" wrapText="tru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0" fillId="0" borderId="48"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0" fillId="0" borderId="12"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center" vertical="center" textRotation="0" wrapText="tru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4" fontId="4" fillId="0" borderId="64" xfId="0" applyFont="true" applyBorder="true" applyAlignment="true" applyProtection="false">
      <alignment horizontal="center" vertical="center" textRotation="0" wrapText="tru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4" fillId="0" borderId="23"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65" xfId="0" applyFont="true" applyBorder="true" applyAlignment="true" applyProtection="false">
      <alignment horizontal="center" vertical="center" textRotation="0" wrapText="true" indent="0" shrinkToFit="false"/>
      <protection locked="true" hidden="false"/>
    </xf>
    <xf numFmtId="164" fontId="4" fillId="0" borderId="26" xfId="0" applyFont="true" applyBorder="true" applyAlignment="true" applyProtection="false">
      <alignment horizontal="center" vertical="center" textRotation="0" wrapText="true" indent="0" shrinkToFit="false"/>
      <protection locked="true" hidden="false"/>
    </xf>
    <xf numFmtId="164" fontId="4" fillId="0" borderId="38" xfId="0" applyFont="true" applyBorder="true" applyAlignment="true" applyProtection="false">
      <alignment horizontal="center" vertical="center" textRotation="0" wrapText="true" indent="0" shrinkToFit="false"/>
      <protection locked="true" hidden="false"/>
    </xf>
    <xf numFmtId="164" fontId="4" fillId="0" borderId="42" xfId="0" applyFont="true" applyBorder="true" applyAlignment="true" applyProtection="false">
      <alignment horizontal="center" vertical="center" textRotation="0" wrapText="true" indent="0" shrinkToFit="false"/>
      <protection locked="true" hidden="false"/>
    </xf>
    <xf numFmtId="164" fontId="43" fillId="0" borderId="1" xfId="0" applyFont="true" applyBorder="true" applyAlignment="true" applyProtection="false">
      <alignment horizontal="justify" vertical="center" textRotation="0" wrapText="true" indent="0" shrinkToFit="false"/>
      <protection locked="true" hidden="false"/>
    </xf>
    <xf numFmtId="164" fontId="44" fillId="0" borderId="0" xfId="20" applyFont="true" applyBorder="true" applyAlignment="true" applyProtection="true">
      <alignment horizontal="general" vertical="top" textRotation="0" wrapText="false" indent="0" shrinkToFit="false"/>
      <protection locked="true" hidden="false"/>
    </xf>
    <xf numFmtId="166" fontId="44" fillId="0" borderId="0" xfId="20" applyFont="true" applyBorder="true" applyAlignment="true" applyProtection="true">
      <alignment horizontal="general" vertical="top" textRotation="0" wrapText="false" indent="0" shrinkToFit="false"/>
      <protection locked="true" hidden="false"/>
    </xf>
    <xf numFmtId="164" fontId="44" fillId="0" borderId="34" xfId="20" applyFont="true" applyBorder="true" applyAlignment="true" applyProtection="true">
      <alignment horizontal="center" vertical="top" textRotation="0" wrapText="true" indent="0" shrinkToFit="false"/>
      <protection locked="true" hidden="false"/>
    </xf>
    <xf numFmtId="164" fontId="44" fillId="0" borderId="14" xfId="20" applyFont="true" applyBorder="true" applyAlignment="true" applyProtection="true">
      <alignment horizontal="left" vertical="center" textRotation="0" wrapText="false" indent="15" shrinkToFit="false"/>
      <protection locked="true" hidden="false"/>
    </xf>
    <xf numFmtId="164" fontId="44" fillId="0" borderId="15" xfId="20" applyFont="true" applyBorder="true" applyAlignment="true" applyProtection="true">
      <alignment horizontal="left" vertical="center" textRotation="0" wrapText="true" indent="0" shrinkToFit="false"/>
      <protection locked="true" hidden="false"/>
    </xf>
    <xf numFmtId="164" fontId="44" fillId="0" borderId="15" xfId="20" applyFont="true" applyBorder="true" applyAlignment="true" applyProtection="true">
      <alignment horizontal="left" vertical="bottom" textRotation="0" wrapText="true" indent="0" shrinkToFit="false"/>
      <protection locked="true" hidden="false"/>
    </xf>
    <xf numFmtId="164" fontId="44" fillId="0" borderId="23" xfId="20" applyFont="true" applyBorder="true" applyAlignment="true" applyProtection="true">
      <alignment horizontal="left" vertical="bottom" textRotation="0" wrapText="true" indent="15" shrinkToFit="false"/>
      <protection locked="true" hidden="false"/>
    </xf>
    <xf numFmtId="164" fontId="44" fillId="0" borderId="1" xfId="20" applyFont="true" applyBorder="true" applyAlignment="true" applyProtection="true">
      <alignment horizontal="center" vertical="bottom" textRotation="0" wrapText="true" indent="0" shrinkToFit="false"/>
      <protection locked="true" hidden="false"/>
    </xf>
    <xf numFmtId="164" fontId="44" fillId="0" borderId="52" xfId="20" applyFont="true" applyBorder="true" applyAlignment="true" applyProtection="true">
      <alignment horizontal="center" vertical="bottom" textRotation="0" wrapText="true" indent="0" shrinkToFit="false"/>
      <protection locked="true" hidden="false"/>
    </xf>
    <xf numFmtId="164" fontId="44" fillId="0" borderId="52" xfId="20" applyFont="true" applyBorder="true" applyAlignment="true" applyProtection="true">
      <alignment horizontal="general" vertical="top" textRotation="0" wrapText="true" indent="0" shrinkToFit="false"/>
      <protection locked="true" hidden="false"/>
    </xf>
    <xf numFmtId="164" fontId="6" fillId="0" borderId="2" xfId="20" applyFont="true" applyBorder="true" applyAlignment="true" applyProtection="true">
      <alignment horizontal="center" vertical="top" textRotation="0" wrapText="true" indent="0" shrinkToFit="false"/>
      <protection locked="true" hidden="false"/>
    </xf>
    <xf numFmtId="164" fontId="26" fillId="0" borderId="1" xfId="20" applyFont="true" applyBorder="true" applyAlignment="true" applyProtection="true">
      <alignment horizontal="center" vertical="top" textRotation="0" wrapText="true" indent="0" shrinkToFit="false"/>
      <protection locked="true" hidden="false"/>
    </xf>
    <xf numFmtId="166" fontId="44" fillId="0" borderId="1" xfId="20" applyFont="true" applyBorder="true" applyAlignment="true" applyProtection="true">
      <alignment horizontal="center" vertical="top" textRotation="0" wrapText="true" indent="0" shrinkToFit="false"/>
      <protection locked="true" hidden="false"/>
    </xf>
    <xf numFmtId="164" fontId="44" fillId="0" borderId="9" xfId="20" applyFont="true" applyBorder="true" applyAlignment="true" applyProtection="true">
      <alignment horizontal="left" vertical="bottom" textRotation="0" wrapText="false" indent="1" shrinkToFit="false"/>
      <protection locked="true" hidden="false"/>
    </xf>
    <xf numFmtId="164" fontId="44" fillId="0" borderId="9" xfId="20" applyFont="true" applyBorder="true" applyAlignment="true" applyProtection="true">
      <alignment horizontal="center" vertical="bottom" textRotation="0" wrapText="false" indent="0" shrinkToFit="false"/>
      <protection locked="true" hidden="false"/>
    </xf>
    <xf numFmtId="164" fontId="44" fillId="0" borderId="7" xfId="20" applyFont="true" applyBorder="true" applyAlignment="true" applyProtection="true">
      <alignment horizontal="center" vertical="bottom" textRotation="0" wrapText="false" indent="0" shrinkToFit="false"/>
      <protection locked="true" hidden="false"/>
    </xf>
    <xf numFmtId="164" fontId="44" fillId="0" borderId="0" xfId="20" applyFont="true" applyBorder="true" applyAlignment="true" applyProtection="true">
      <alignment horizontal="center" vertical="bottom" textRotation="0" wrapText="true" indent="0" shrinkToFit="false"/>
      <protection locked="true" hidden="false"/>
    </xf>
    <xf numFmtId="164" fontId="44" fillId="0" borderId="47" xfId="20" applyFont="true" applyBorder="true" applyAlignment="true" applyProtection="true">
      <alignment horizontal="center" vertical="top" textRotation="0" wrapText="false" indent="0" shrinkToFit="false"/>
      <protection locked="true" hidden="false"/>
    </xf>
    <xf numFmtId="164" fontId="6" fillId="0" borderId="3" xfId="20" applyFont="true" applyBorder="true" applyAlignment="true" applyProtection="true">
      <alignment horizontal="center" vertical="bottom" textRotation="0" wrapText="true" indent="0" shrinkToFit="false"/>
      <protection locked="true" hidden="false"/>
    </xf>
    <xf numFmtId="164" fontId="6" fillId="0" borderId="4" xfId="20" applyFont="true" applyBorder="true" applyAlignment="true" applyProtection="true">
      <alignment horizontal="center" vertical="bottom" textRotation="0" wrapText="true" indent="0" shrinkToFit="false"/>
      <protection locked="true" hidden="false"/>
    </xf>
    <xf numFmtId="164" fontId="44" fillId="0" borderId="35" xfId="20" applyFont="true" applyBorder="true" applyAlignment="true" applyProtection="true">
      <alignment horizontal="general" vertical="top" textRotation="0" wrapText="false" indent="0" shrinkToFit="false"/>
      <protection locked="true" hidden="false"/>
    </xf>
    <xf numFmtId="164" fontId="44" fillId="0" borderId="8" xfId="20" applyFont="true" applyBorder="true" applyAlignment="true" applyProtection="true">
      <alignment horizontal="center" vertical="top" textRotation="0" wrapText="false" indent="0" shrinkToFit="false"/>
      <protection locked="true" hidden="false"/>
    </xf>
    <xf numFmtId="164" fontId="44" fillId="0" borderId="9" xfId="20" applyFont="true" applyBorder="true" applyAlignment="true" applyProtection="true">
      <alignment horizontal="left" vertical="top" textRotation="0" wrapText="false" indent="15" shrinkToFit="false"/>
      <protection locked="true" hidden="false"/>
    </xf>
    <xf numFmtId="164" fontId="44" fillId="0" borderId="47" xfId="20" applyFont="true" applyBorder="true" applyAlignment="true" applyProtection="true">
      <alignment horizontal="left" vertical="top" textRotation="0" wrapText="false" indent="15" shrinkToFit="false"/>
      <protection locked="true" hidden="false"/>
    </xf>
    <xf numFmtId="164" fontId="44" fillId="0" borderId="43" xfId="20" applyFont="true" applyBorder="true" applyAlignment="true" applyProtection="true">
      <alignment horizontal="center" vertical="top" textRotation="0" wrapText="false" indent="0" shrinkToFit="false"/>
      <protection locked="true" hidden="false"/>
    </xf>
    <xf numFmtId="164" fontId="44" fillId="0" borderId="30" xfId="20" applyFont="true" applyBorder="true" applyAlignment="true" applyProtection="true">
      <alignment horizontal="left" vertical="top" textRotation="0" wrapText="false" indent="15" shrinkToFit="false"/>
      <protection locked="true" hidden="false"/>
    </xf>
    <xf numFmtId="164" fontId="44" fillId="0" borderId="9" xfId="20" applyFont="true" applyBorder="true" applyAlignment="true" applyProtection="true">
      <alignment horizontal="center" vertical="top" textRotation="0" wrapText="false" indent="0" shrinkToFit="false"/>
      <protection locked="true" hidden="false"/>
    </xf>
    <xf numFmtId="168" fontId="44" fillId="0" borderId="1" xfId="20" applyFont="true" applyBorder="true" applyAlignment="true" applyProtection="true">
      <alignment horizontal="general" vertical="top" textRotation="0" wrapText="false" indent="0" shrinkToFit="false"/>
      <protection locked="true" hidden="false"/>
    </xf>
    <xf numFmtId="164" fontId="44" fillId="0" borderId="57" xfId="20" applyFont="true" applyBorder="true" applyAlignment="true" applyProtection="true">
      <alignment horizontal="center" vertical="top" textRotation="0" wrapText="false" indent="0" shrinkToFit="false"/>
      <protection locked="true" hidden="false"/>
    </xf>
    <xf numFmtId="166" fontId="44" fillId="0" borderId="1" xfId="20" applyFont="true" applyBorder="true" applyAlignment="true" applyProtection="true">
      <alignment horizontal="center" vertical="top" textRotation="0" wrapText="false" indent="0" shrinkToFit="false"/>
      <protection locked="true" hidden="false"/>
    </xf>
    <xf numFmtId="166" fontId="44" fillId="0" borderId="26" xfId="20" applyFont="true" applyBorder="true" applyAlignment="true" applyProtection="true">
      <alignment horizontal="center" vertical="top" textRotation="0" wrapText="false" indent="0" shrinkToFit="false"/>
      <protection locked="true" hidden="false"/>
    </xf>
    <xf numFmtId="164" fontId="44" fillId="0" borderId="35" xfId="20" applyFont="true" applyBorder="true" applyAlignment="true" applyProtection="true">
      <alignment horizontal="center" vertical="top" textRotation="0" wrapText="false" indent="0" shrinkToFit="false"/>
      <protection locked="true" hidden="false"/>
    </xf>
    <xf numFmtId="164" fontId="44" fillId="0" borderId="8" xfId="20" applyFont="true" applyBorder="true" applyAlignment="true" applyProtection="true">
      <alignment horizontal="left" vertical="top" textRotation="0" wrapText="false" indent="0" shrinkToFit="false"/>
      <protection locked="true" hidden="false"/>
    </xf>
    <xf numFmtId="164" fontId="44" fillId="0" borderId="7" xfId="20" applyFont="true" applyBorder="true" applyAlignment="true" applyProtection="true">
      <alignment horizontal="center" vertical="top" textRotation="0" wrapText="false" indent="0" shrinkToFit="false"/>
      <protection locked="true" hidden="false"/>
    </xf>
    <xf numFmtId="168" fontId="44" fillId="0" borderId="50" xfId="20" applyFont="true" applyBorder="true" applyAlignment="true" applyProtection="true">
      <alignment horizontal="general" vertical="top" textRotation="0" wrapText="false" indent="0" shrinkToFit="false"/>
      <protection locked="true" hidden="false"/>
    </xf>
    <xf numFmtId="168" fontId="44" fillId="0" borderId="61" xfId="20" applyFont="true" applyBorder="true" applyAlignment="true" applyProtection="true">
      <alignment horizontal="general" vertical="top" textRotation="0" wrapText="false" indent="0" shrinkToFit="false"/>
      <protection locked="true" hidden="false"/>
    </xf>
    <xf numFmtId="166" fontId="45" fillId="0" borderId="62" xfId="20" applyFont="true" applyBorder="true" applyAlignment="true" applyProtection="true">
      <alignment horizontal="center" vertical="top" textRotation="0" wrapText="false" indent="0" shrinkToFit="false"/>
      <protection locked="true" hidden="false"/>
    </xf>
    <xf numFmtId="164" fontId="6" fillId="0" borderId="14" xfId="20" applyFont="true" applyBorder="true" applyAlignment="true" applyProtection="true">
      <alignment horizontal="center" vertical="bottom" textRotation="0" wrapText="true" indent="0" shrinkToFit="false"/>
      <protection locked="true" hidden="false"/>
    </xf>
    <xf numFmtId="164" fontId="6" fillId="0" borderId="15" xfId="20" applyFont="true" applyBorder="true" applyAlignment="true" applyProtection="true">
      <alignment horizontal="center" vertical="bottom" textRotation="0" wrapText="true" indent="0" shrinkToFit="false"/>
      <protection locked="true" hidden="false"/>
    </xf>
    <xf numFmtId="166" fontId="44" fillId="0" borderId="15" xfId="20" applyFont="true" applyBorder="true" applyAlignment="true" applyProtection="true">
      <alignment horizontal="center" vertical="top" textRotation="0" wrapText="false" indent="0" shrinkToFit="false"/>
      <protection locked="true" hidden="false"/>
    </xf>
    <xf numFmtId="166" fontId="44" fillId="0" borderId="23" xfId="20" applyFont="true" applyBorder="true" applyAlignment="true" applyProtection="true">
      <alignment horizontal="general" vertical="top" textRotation="0" wrapText="false" indent="0" shrinkToFit="false"/>
      <protection locked="true" hidden="false"/>
    </xf>
    <xf numFmtId="168" fontId="44" fillId="0" borderId="8" xfId="20" applyFont="true" applyBorder="true" applyAlignment="true" applyProtection="true">
      <alignment horizontal="general" vertical="top" textRotation="0" wrapText="false" indent="0" shrinkToFit="false"/>
      <protection locked="true" hidden="false"/>
    </xf>
    <xf numFmtId="168" fontId="44" fillId="0" borderId="57" xfId="20" applyFont="true" applyBorder="true" applyAlignment="true" applyProtection="true">
      <alignment horizontal="general" vertical="top" textRotation="0" wrapText="false" indent="0" shrinkToFit="false"/>
      <protection locked="true" hidden="false"/>
    </xf>
    <xf numFmtId="166" fontId="45" fillId="0" borderId="18" xfId="20" applyFont="true" applyBorder="true" applyAlignment="true" applyProtection="true">
      <alignment horizontal="center" vertical="top" textRotation="0" wrapText="false" indent="0" shrinkToFit="false"/>
      <protection locked="true" hidden="false"/>
    </xf>
    <xf numFmtId="164" fontId="6" fillId="0" borderId="8" xfId="20" applyFont="true" applyBorder="true" applyAlignment="true" applyProtection="true">
      <alignment horizontal="center" vertical="bottom" textRotation="0" wrapText="true" indent="0" shrinkToFit="false"/>
      <protection locked="true" hidden="false"/>
    </xf>
    <xf numFmtId="164" fontId="6" fillId="0" borderId="9" xfId="20" applyFont="true" applyBorder="true" applyAlignment="true" applyProtection="true">
      <alignment horizontal="center" vertical="bottom" textRotation="0" wrapText="true" indent="0" shrinkToFit="false"/>
      <protection locked="true" hidden="false"/>
    </xf>
    <xf numFmtId="166" fontId="44" fillId="0" borderId="9" xfId="20" applyFont="true" applyBorder="true" applyAlignment="true" applyProtection="true">
      <alignment horizontal="center" vertical="top" textRotation="0" wrapText="false" indent="0" shrinkToFit="false"/>
      <protection locked="true" hidden="false"/>
    </xf>
    <xf numFmtId="166" fontId="44" fillId="0" borderId="7" xfId="20" applyFont="true" applyBorder="true" applyAlignment="true" applyProtection="true">
      <alignment horizontal="general" vertical="top" textRotation="0" wrapText="false" indent="0" shrinkToFit="false"/>
      <protection locked="true" hidden="false"/>
    </xf>
    <xf numFmtId="168" fontId="44" fillId="0" borderId="43" xfId="20" applyFont="true" applyBorder="true" applyAlignment="true" applyProtection="true">
      <alignment horizontal="general" vertical="top" textRotation="0" wrapText="false" indent="0" shrinkToFit="false"/>
      <protection locked="true" hidden="false"/>
    </xf>
    <xf numFmtId="168" fontId="44" fillId="0" borderId="54" xfId="20" applyFont="true" applyBorder="true" applyAlignment="true" applyProtection="true">
      <alignment horizontal="general" vertical="top" textRotation="0" wrapText="false" indent="0" shrinkToFit="false"/>
      <protection locked="true" hidden="false"/>
    </xf>
    <xf numFmtId="166" fontId="45" fillId="0" borderId="63" xfId="20" applyFont="true" applyBorder="true" applyAlignment="true" applyProtection="true">
      <alignment horizontal="center" vertical="top" textRotation="0" wrapText="false" indent="0" shrinkToFit="false"/>
      <protection locked="true" hidden="false"/>
    </xf>
    <xf numFmtId="164" fontId="6" fillId="0" borderId="10" xfId="20" applyFont="true" applyBorder="true" applyAlignment="true" applyProtection="true">
      <alignment horizontal="center" vertical="bottom" textRotation="0" wrapText="true" indent="0" shrinkToFit="false"/>
      <protection locked="true" hidden="false"/>
    </xf>
    <xf numFmtId="164" fontId="6" fillId="0" borderId="24" xfId="20" applyFont="true" applyBorder="true" applyAlignment="true" applyProtection="true">
      <alignment horizontal="center" vertical="bottom" textRotation="0" wrapText="true" indent="0" shrinkToFit="false"/>
      <protection locked="true" hidden="false"/>
    </xf>
    <xf numFmtId="166" fontId="44" fillId="0" borderId="24" xfId="20" applyFont="true" applyBorder="true" applyAlignment="true" applyProtection="true">
      <alignment horizontal="center" vertical="top" textRotation="0" wrapText="false" indent="0" shrinkToFit="false"/>
      <protection locked="true" hidden="false"/>
    </xf>
    <xf numFmtId="166" fontId="44" fillId="0" borderId="11" xfId="20" applyFont="true" applyBorder="true" applyAlignment="true" applyProtection="true">
      <alignment horizontal="general" vertical="top" textRotation="0" wrapText="false" indent="0" shrinkToFit="false"/>
      <protection locked="true" hidden="false"/>
    </xf>
    <xf numFmtId="164" fontId="44" fillId="0" borderId="41" xfId="20" applyFont="true" applyBorder="true" applyAlignment="true" applyProtection="true">
      <alignment horizontal="general" vertical="top" textRotation="0" wrapText="false" indent="0" shrinkToFit="false"/>
      <protection locked="true" hidden="false"/>
    </xf>
    <xf numFmtId="164" fontId="44" fillId="0" borderId="29" xfId="20" applyFont="true" applyBorder="true" applyAlignment="true" applyProtection="true">
      <alignment horizontal="general" vertical="top" textRotation="0" wrapText="false" indent="0" shrinkToFit="false"/>
      <protection locked="true" hidden="false"/>
    </xf>
    <xf numFmtId="164" fontId="44" fillId="0" borderId="46" xfId="20" applyFont="true" applyBorder="true" applyAlignment="true" applyProtection="true">
      <alignment horizontal="general" vertical="top" textRotation="0" wrapText="false" indent="0" shrinkToFit="false"/>
      <protection locked="true" hidden="false"/>
    </xf>
    <xf numFmtId="166" fontId="44" fillId="0" borderId="29" xfId="20" applyFont="true" applyBorder="true" applyAlignment="true" applyProtection="true">
      <alignment horizontal="center" vertical="top" textRotation="0" wrapText="false" indent="0" shrinkToFit="false"/>
      <protection locked="true" hidden="false"/>
    </xf>
    <xf numFmtId="168" fontId="45" fillId="0" borderId="62" xfId="20" applyFont="true" applyBorder="true" applyAlignment="true" applyProtection="true">
      <alignment horizontal="center" vertical="top" textRotation="0" wrapText="false" indent="0" shrinkToFit="false"/>
      <protection locked="true" hidden="false"/>
    </xf>
    <xf numFmtId="168" fontId="45" fillId="0" borderId="18" xfId="20" applyFont="true" applyBorder="true" applyAlignment="true" applyProtection="true">
      <alignment horizontal="center" vertical="top" textRotation="0" wrapText="false" indent="0" shrinkToFit="false"/>
      <protection locked="true" hidden="false"/>
    </xf>
    <xf numFmtId="168" fontId="44" fillId="0" borderId="41" xfId="20" applyFont="true" applyBorder="true" applyAlignment="true" applyProtection="true">
      <alignment horizontal="general" vertical="top" textRotation="0" wrapText="false" indent="0" shrinkToFit="false"/>
      <protection locked="true" hidden="false"/>
    </xf>
    <xf numFmtId="168" fontId="44" fillId="0" borderId="0" xfId="20" applyFont="true" applyBorder="true" applyAlignment="true" applyProtection="true">
      <alignment horizontal="general" vertical="top" textRotation="0" wrapText="false" indent="0" shrinkToFit="false"/>
      <protection locked="true" hidden="false"/>
    </xf>
    <xf numFmtId="168" fontId="45" fillId="0" borderId="63" xfId="20" applyFont="true" applyBorder="true" applyAlignment="true" applyProtection="true">
      <alignment horizontal="center" vertical="top" textRotation="0" wrapText="false" indent="0" shrinkToFit="false"/>
      <protection locked="true" hidden="false"/>
    </xf>
    <xf numFmtId="166" fontId="44" fillId="0" borderId="30" xfId="20" applyFont="true" applyBorder="true" applyAlignment="true" applyProtection="true">
      <alignment horizontal="center" vertical="top" textRotation="0" wrapText="false" indent="0" shrinkToFit="false"/>
      <protection locked="true" hidden="false"/>
    </xf>
    <xf numFmtId="166" fontId="44" fillId="0" borderId="9" xfId="20" applyFont="true" applyBorder="true" applyAlignment="true" applyProtection="true">
      <alignment horizontal="center" vertical="top" textRotation="0" wrapText="false" indent="0" shrinkToFit="false"/>
      <protection locked="false" hidden="false"/>
    </xf>
    <xf numFmtId="164" fontId="44" fillId="0" borderId="8" xfId="20" applyFont="true" applyBorder="true" applyAlignment="true" applyProtection="true">
      <alignment horizontal="general" vertical="top" textRotation="0" wrapText="false" indent="0" shrinkToFit="false"/>
      <protection locked="true" hidden="false"/>
    </xf>
    <xf numFmtId="164" fontId="44" fillId="0" borderId="8" xfId="20" applyFont="true" applyBorder="true" applyAlignment="true" applyProtection="true">
      <alignment horizontal="left" vertical="top" textRotation="0" wrapText="false" indent="15" shrinkToFit="false"/>
      <protection locked="true" hidden="false"/>
    </xf>
    <xf numFmtId="164" fontId="6" fillId="0" borderId="66" xfId="20" applyFont="true" applyBorder="true" applyAlignment="true" applyProtection="true">
      <alignment horizontal="center" vertical="bottom" textRotation="0" wrapText="true" indent="0" shrinkToFit="false"/>
      <protection locked="true" hidden="false"/>
    </xf>
    <xf numFmtId="164" fontId="6" fillId="0" borderId="67" xfId="20" applyFont="true" applyBorder="true" applyAlignment="true" applyProtection="true">
      <alignment horizontal="center" vertical="bottom" textRotation="0" wrapText="true" indent="0" shrinkToFit="false"/>
      <protection locked="true" hidden="false"/>
    </xf>
    <xf numFmtId="164" fontId="6" fillId="0" borderId="68" xfId="20" applyFont="true" applyBorder="true" applyAlignment="true" applyProtection="true">
      <alignment horizontal="center" vertical="bottom" textRotation="0" wrapText="true" indent="0" shrinkToFit="false"/>
      <protection locked="true" hidden="false"/>
    </xf>
    <xf numFmtId="164" fontId="44" fillId="0" borderId="51" xfId="20" applyFont="true" applyBorder="true" applyAlignment="true" applyProtection="true">
      <alignment horizontal="center" vertical="top" textRotation="0" wrapText="false" indent="0" shrinkToFit="false"/>
      <protection locked="true" hidden="false"/>
    </xf>
    <xf numFmtId="164" fontId="44" fillId="0" borderId="43" xfId="20" applyFont="true" applyBorder="true" applyAlignment="true" applyProtection="true">
      <alignment horizontal="left" vertical="top" textRotation="0" wrapText="false" indent="0" shrinkToFit="false"/>
      <protection locked="true" hidden="false"/>
    </xf>
    <xf numFmtId="164" fontId="44" fillId="0" borderId="26" xfId="20" applyFont="true" applyBorder="true" applyAlignment="true" applyProtection="true">
      <alignment horizontal="center" vertical="top" textRotation="0" wrapText="false" indent="0" shrinkToFit="false"/>
      <protection locked="true" hidden="false"/>
    </xf>
    <xf numFmtId="164" fontId="44" fillId="0" borderId="38" xfId="20" applyFont="true" applyBorder="true" applyAlignment="true" applyProtection="true">
      <alignment horizontal="center" vertical="top" textRotation="0" wrapText="false" indent="0" shrinkToFit="false"/>
      <protection locked="true" hidden="false"/>
    </xf>
    <xf numFmtId="164" fontId="44" fillId="0" borderId="9" xfId="20" applyFont="true" applyBorder="true" applyAlignment="true" applyProtection="true">
      <alignment horizontal="general" vertical="top" textRotation="0" wrapText="false" indent="0" shrinkToFit="false"/>
      <protection locked="true" hidden="false"/>
    </xf>
    <xf numFmtId="164" fontId="45" fillId="0" borderId="9" xfId="20" applyFont="true" applyBorder="true" applyAlignment="true" applyProtection="true">
      <alignment horizontal="general" vertical="top" textRotation="0" wrapText="false" indent="0" shrinkToFit="false"/>
      <protection locked="true" hidden="false"/>
    </xf>
    <xf numFmtId="168" fontId="44" fillId="0" borderId="9" xfId="20" applyFont="true" applyBorder="true" applyAlignment="true" applyProtection="true">
      <alignment horizontal="general" vertical="top" textRotation="0" wrapText="false" indent="0" shrinkToFit="false"/>
      <protection locked="true" hidden="false"/>
    </xf>
    <xf numFmtId="166" fontId="44" fillId="0" borderId="9" xfId="20" applyFont="true" applyBorder="true" applyAlignment="true" applyProtection="true">
      <alignment horizontal="general" vertical="top" textRotation="0" wrapText="false" indent="0" shrinkToFit="false"/>
      <protection locked="true" hidden="false"/>
    </xf>
    <xf numFmtId="165" fontId="44" fillId="0" borderId="9" xfId="20" applyFont="true" applyBorder="true" applyAlignment="true" applyProtection="true">
      <alignment horizontal="center" vertical="top" textRotation="0" wrapText="false" indent="0" shrinkToFit="false"/>
      <protection locked="true" hidden="false"/>
    </xf>
    <xf numFmtId="164" fontId="45" fillId="0" borderId="14" xfId="20" applyFont="true" applyBorder="true" applyAlignment="true" applyProtection="true">
      <alignment horizontal="center" vertical="top" textRotation="0" wrapText="false" indent="0" shrinkToFit="false"/>
      <protection locked="true" hidden="false"/>
    </xf>
    <xf numFmtId="164" fontId="45" fillId="0" borderId="15" xfId="20" applyFont="true" applyBorder="true" applyAlignment="true" applyProtection="true">
      <alignment horizontal="center" vertical="top" textRotation="0" wrapText="false" indent="0" shrinkToFit="false"/>
      <protection locked="true" hidden="false"/>
    </xf>
    <xf numFmtId="164" fontId="44" fillId="0" borderId="15" xfId="20" applyFont="true" applyBorder="true" applyAlignment="true" applyProtection="true">
      <alignment horizontal="general" vertical="top" textRotation="0" wrapText="false" indent="0" shrinkToFit="false"/>
      <protection locked="true" hidden="false"/>
    </xf>
    <xf numFmtId="164" fontId="45" fillId="0" borderId="8" xfId="20" applyFont="true" applyBorder="true" applyAlignment="true" applyProtection="true">
      <alignment horizontal="left" vertical="top" textRotation="0" wrapText="false" indent="0" shrinkToFit="false"/>
      <protection locked="true" hidden="false"/>
    </xf>
    <xf numFmtId="164" fontId="45" fillId="0" borderId="9" xfId="20" applyFont="true" applyBorder="true" applyAlignment="true" applyProtection="true">
      <alignment horizontal="center" vertical="top" textRotation="0" wrapText="false" indent="0" shrinkToFit="false"/>
      <protection locked="true" hidden="false"/>
    </xf>
    <xf numFmtId="168" fontId="44" fillId="0" borderId="18" xfId="20" applyFont="true" applyBorder="true" applyAlignment="true" applyProtection="true">
      <alignment horizontal="general" vertical="top" textRotation="0" wrapText="false" indent="0" shrinkToFit="false"/>
      <protection locked="true" hidden="false"/>
    </xf>
    <xf numFmtId="168" fontId="44" fillId="0" borderId="7" xfId="20" applyFont="true" applyBorder="true" applyAlignment="true" applyProtection="true">
      <alignment horizontal="general" vertical="top" textRotation="0" wrapText="false" indent="0" shrinkToFit="false"/>
      <protection locked="true" hidden="false"/>
    </xf>
    <xf numFmtId="164" fontId="44" fillId="0" borderId="10" xfId="20" applyFont="true" applyBorder="true" applyAlignment="true" applyProtection="true">
      <alignment horizontal="general" vertical="top" textRotation="0" wrapText="false" indent="0" shrinkToFit="false"/>
      <protection locked="true" hidden="false"/>
    </xf>
    <xf numFmtId="164" fontId="45" fillId="0" borderId="24" xfId="20" applyFont="true" applyBorder="true" applyAlignment="true" applyProtection="true">
      <alignment horizontal="center" vertical="top" textRotation="0" wrapText="false" indent="0" shrinkToFit="false"/>
      <protection locked="true" hidden="false"/>
    </xf>
    <xf numFmtId="164" fontId="44" fillId="0" borderId="24" xfId="20" applyFont="true" applyBorder="true" applyAlignment="true" applyProtection="true">
      <alignment horizontal="general" vertical="top" textRotation="0" wrapText="false" indent="0" shrinkToFit="false"/>
      <protection locked="true" hidden="false"/>
    </xf>
    <xf numFmtId="164" fontId="27" fillId="0" borderId="0" xfId="20" applyFont="true" applyBorder="true" applyAlignment="true" applyProtection="true">
      <alignment horizontal="general" vertical="top" textRotation="0" wrapText="true" indent="0" shrinkToFit="false"/>
      <protection locked="true" hidden="false"/>
    </xf>
    <xf numFmtId="164" fontId="46" fillId="0" borderId="0" xfId="20" applyFont="true" applyBorder="true" applyAlignment="true" applyProtection="true">
      <alignment horizontal="center" vertical="top" textRotation="0" wrapText="true" indent="0" shrinkToFit="false"/>
      <protection locked="true" hidden="false"/>
    </xf>
    <xf numFmtId="164" fontId="27" fillId="0" borderId="0" xfId="20" applyFont="true" applyBorder="true" applyAlignment="true" applyProtection="true">
      <alignment horizontal="left" vertical="top" textRotation="0" wrapText="true" indent="0" shrinkToFit="false"/>
      <protection locked="true" hidden="false"/>
    </xf>
    <xf numFmtId="164" fontId="27" fillId="0" borderId="0" xfId="20" applyFont="true" applyBorder="true" applyAlignment="true" applyProtection="true">
      <alignment horizontal="center" vertical="top" textRotation="0" wrapText="false" indent="0" shrinkToFit="false"/>
      <protection locked="true" hidden="false"/>
    </xf>
    <xf numFmtId="166" fontId="27" fillId="0" borderId="0" xfId="20" applyFont="true" applyBorder="true" applyAlignment="true" applyProtection="true">
      <alignment horizontal="center" vertical="top" textRotation="0" wrapText="false" indent="0" shrinkToFit="false"/>
      <protection locked="true" hidden="false"/>
    </xf>
    <xf numFmtId="164" fontId="27" fillId="0" borderId="1" xfId="20" applyFont="true" applyBorder="true" applyAlignment="true" applyProtection="true">
      <alignment horizontal="center" vertical="top" textRotation="0" wrapText="true" indent="0" shrinkToFit="false"/>
      <protection locked="true" hidden="false"/>
    </xf>
    <xf numFmtId="164" fontId="27" fillId="0" borderId="52" xfId="20" applyFont="true" applyBorder="true" applyAlignment="true" applyProtection="true">
      <alignment horizontal="center" vertical="top" textRotation="0" wrapText="true" indent="0" shrinkToFit="false"/>
      <protection locked="true" hidden="false"/>
    </xf>
    <xf numFmtId="164" fontId="27" fillId="0" borderId="4" xfId="20" applyFont="true" applyBorder="true" applyAlignment="true" applyProtection="true">
      <alignment horizontal="center" vertical="top" textRotation="0" wrapText="true" indent="0" shrinkToFit="false"/>
      <protection locked="true" hidden="false"/>
    </xf>
    <xf numFmtId="164" fontId="48" fillId="0" borderId="0" xfId="20" applyFont="true" applyBorder="true" applyAlignment="true" applyProtection="true">
      <alignment horizontal="general" vertical="top" textRotation="0" wrapText="false" indent="0" shrinkToFit="false"/>
      <protection locked="true" hidden="false"/>
    </xf>
    <xf numFmtId="164" fontId="27" fillId="0" borderId="14" xfId="20" applyFont="true" applyBorder="true" applyAlignment="true" applyProtection="true">
      <alignment horizontal="center" vertical="top" textRotation="0" wrapText="true" indent="0" shrinkToFit="false"/>
      <protection locked="true" hidden="false"/>
    </xf>
    <xf numFmtId="164" fontId="27" fillId="0" borderId="15" xfId="20" applyFont="true" applyBorder="true" applyAlignment="true" applyProtection="true">
      <alignment horizontal="center" vertical="top" textRotation="0" wrapText="true" indent="0" shrinkToFit="false"/>
      <protection locked="true" hidden="false"/>
    </xf>
    <xf numFmtId="164" fontId="27" fillId="0" borderId="23" xfId="20" applyFont="true" applyBorder="true" applyAlignment="true" applyProtection="true">
      <alignment horizontal="center" vertical="top" textRotation="0" wrapText="true" indent="0" shrinkToFit="false"/>
      <protection locked="true" hidden="false"/>
    </xf>
    <xf numFmtId="164" fontId="27" fillId="0" borderId="9" xfId="20" applyFont="true" applyBorder="true" applyAlignment="true" applyProtection="true">
      <alignment horizontal="center" vertical="top" textRotation="0" wrapText="true" indent="0" shrinkToFit="false"/>
      <protection locked="true" hidden="false"/>
    </xf>
    <xf numFmtId="164" fontId="27" fillId="0" borderId="7" xfId="20" applyFont="true" applyBorder="true" applyAlignment="true" applyProtection="true">
      <alignment horizontal="center" vertical="top" textRotation="0" wrapText="true" indent="0" shrinkToFit="false"/>
      <protection locked="true" hidden="false"/>
    </xf>
    <xf numFmtId="164" fontId="27" fillId="0" borderId="8" xfId="20" applyFont="true" applyBorder="true" applyAlignment="true" applyProtection="true">
      <alignment horizontal="center" vertical="top" textRotation="0" wrapText="true" indent="0" shrinkToFit="false"/>
      <protection locked="true" hidden="false"/>
    </xf>
    <xf numFmtId="164" fontId="27" fillId="0" borderId="10" xfId="20" applyFont="true" applyBorder="true" applyAlignment="true" applyProtection="true">
      <alignment horizontal="center" vertical="top" textRotation="0" wrapText="true" indent="0" shrinkToFit="false"/>
      <protection locked="true" hidden="false"/>
    </xf>
    <xf numFmtId="164" fontId="27" fillId="0" borderId="24" xfId="20" applyFont="true" applyBorder="true" applyAlignment="true" applyProtection="true">
      <alignment horizontal="center" vertical="top" textRotation="0" wrapText="true" indent="0" shrinkToFit="false"/>
      <protection locked="true" hidden="false"/>
    </xf>
    <xf numFmtId="164" fontId="27" fillId="0" borderId="11" xfId="20" applyFont="true" applyBorder="true" applyAlignment="true" applyProtection="true">
      <alignment horizontal="center" vertical="top" textRotation="0" wrapText="true" indent="0" shrinkToFit="false"/>
      <protection locked="true" hidden="false"/>
    </xf>
    <xf numFmtId="164" fontId="25" fillId="0" borderId="0" xfId="20" applyFont="true" applyBorder="true" applyAlignment="true" applyProtection="true">
      <alignment horizontal="general" vertical="top" textRotation="0" wrapText="false" indent="0" shrinkToFit="false"/>
      <protection locked="true" hidden="false"/>
    </xf>
    <xf numFmtId="164" fontId="25" fillId="0" borderId="0" xfId="20" applyFont="true" applyBorder="true" applyAlignment="true" applyProtection="true">
      <alignment horizontal="center" vertical="top" textRotation="0" wrapText="false" indent="0" shrinkToFit="false"/>
      <protection locked="true" hidden="false"/>
    </xf>
    <xf numFmtId="164" fontId="46" fillId="0" borderId="0" xfId="20" applyFont="true" applyBorder="true" applyAlignment="true" applyProtection="true">
      <alignment horizontal="general" vertical="top" textRotation="0" wrapText="false" indent="0" shrinkToFit="false"/>
      <protection locked="true" hidden="false"/>
    </xf>
    <xf numFmtId="164" fontId="27" fillId="0" borderId="0" xfId="20" applyFont="true" applyBorder="true" applyAlignment="true" applyProtection="true">
      <alignment horizontal="left" vertical="top" textRotation="0" wrapText="false" indent="0" shrinkToFit="false"/>
      <protection locked="true" hidden="false"/>
    </xf>
    <xf numFmtId="164" fontId="27" fillId="0" borderId="0" xfId="20" applyFont="true" applyBorder="true" applyAlignment="true" applyProtection="true">
      <alignment horizontal="general" vertical="top" textRotation="0" wrapText="false" indent="0" shrinkToFit="false"/>
      <protection locked="true" hidden="false"/>
    </xf>
    <xf numFmtId="164" fontId="44" fillId="0" borderId="0" xfId="20" applyFont="true" applyBorder="true" applyAlignment="true" applyProtection="true">
      <alignment horizontal="left" vertical="top" textRotation="0" wrapText="false" indent="0" shrinkToFit="false"/>
      <protection locked="true" hidden="false"/>
    </xf>
    <xf numFmtId="166" fontId="27" fillId="0" borderId="0" xfId="20" applyFont="true" applyBorder="true" applyAlignment="true" applyProtection="true">
      <alignment horizontal="general" vertical="top" textRotation="0" wrapText="false" indent="0" shrinkToFit="false"/>
      <protection locked="true" hidden="false"/>
    </xf>
    <xf numFmtId="167" fontId="27" fillId="0" borderId="0" xfId="20" applyFont="true" applyBorder="true" applyAlignment="true" applyProtection="true">
      <alignment horizontal="general" vertical="top" textRotation="0" wrapText="false" indent="0" shrinkToFit="false"/>
      <protection locked="true" hidden="false"/>
    </xf>
    <xf numFmtId="164" fontId="27" fillId="0" borderId="0" xfId="20" applyFont="true" applyBorder="true" applyAlignment="true" applyProtection="true">
      <alignment horizontal="center" vertical="top" textRotation="0" wrapText="true" indent="0" shrinkToFit="false"/>
      <protection locked="true" hidden="false"/>
    </xf>
    <xf numFmtId="165" fontId="27" fillId="0" borderId="0" xfId="20" applyFont="true" applyBorder="true" applyAlignment="true" applyProtection="true">
      <alignment horizontal="general" vertical="top" textRotation="0" wrapText="false" indent="0" shrinkToFit="false"/>
      <protection locked="true" hidden="false"/>
    </xf>
    <xf numFmtId="164" fontId="31" fillId="0" borderId="0" xfId="20" applyFont="true" applyBorder="true" applyAlignment="true" applyProtection="true">
      <alignment horizontal="center" vertical="top" textRotation="0" wrapText="true" indent="0" shrinkToFit="false"/>
      <protection locked="true" hidden="false"/>
    </xf>
    <xf numFmtId="164" fontId="25" fillId="0" borderId="0" xfId="20" applyFont="true" applyBorder="true" applyAlignment="true" applyProtection="true">
      <alignment horizontal="left" vertical="top" textRotation="0" wrapText="true" indent="0" shrinkToFit="false"/>
      <protection locked="true" hidden="false"/>
    </xf>
    <xf numFmtId="168" fontId="25" fillId="0" borderId="0" xfId="20" applyFont="true" applyBorder="true" applyAlignment="true" applyProtection="true">
      <alignment horizontal="general" vertical="top" textRotation="0" wrapText="false" indent="0" shrinkToFit="false"/>
      <protection locked="true" hidden="false"/>
    </xf>
    <xf numFmtId="164" fontId="50" fillId="0" borderId="0" xfId="20" applyFont="true" applyBorder="false" applyAlignment="false" applyProtection="false">
      <alignment horizontal="general" vertical="bottom" textRotation="0" wrapText="false" indent="0" shrinkToFit="false"/>
      <protection locked="true" hidden="false"/>
    </xf>
    <xf numFmtId="164" fontId="51" fillId="0" borderId="0" xfId="20" applyFont="true" applyBorder="false" applyAlignment="false" applyProtection="false">
      <alignment horizontal="general" vertical="bottom" textRotation="0" wrapText="false" indent="0" shrinkToFit="false"/>
      <protection locked="true" hidden="false"/>
    </xf>
    <xf numFmtId="164" fontId="46" fillId="0" borderId="14" xfId="20" applyFont="true" applyBorder="true" applyAlignment="true" applyProtection="false">
      <alignment horizontal="general" vertical="bottom" textRotation="0" wrapText="true" indent="0" shrinkToFit="false"/>
      <protection locked="true" hidden="false"/>
    </xf>
    <xf numFmtId="164" fontId="50" fillId="0" borderId="15" xfId="20" applyFont="true" applyBorder="true" applyAlignment="false" applyProtection="false">
      <alignment horizontal="general" vertical="bottom" textRotation="0" wrapText="false" indent="0" shrinkToFit="false"/>
      <protection locked="true" hidden="false"/>
    </xf>
    <xf numFmtId="164" fontId="50" fillId="0" borderId="23" xfId="20" applyFont="true" applyBorder="true" applyAlignment="false" applyProtection="false">
      <alignment horizontal="general" vertical="bottom" textRotation="0" wrapText="false" indent="0" shrinkToFit="false"/>
      <protection locked="true" hidden="false"/>
    </xf>
    <xf numFmtId="164" fontId="46" fillId="0" borderId="8" xfId="20" applyFont="true" applyBorder="true" applyAlignment="true" applyProtection="false">
      <alignment horizontal="general" vertical="bottom" textRotation="0" wrapText="true" indent="0" shrinkToFit="false"/>
      <protection locked="true" hidden="false"/>
    </xf>
    <xf numFmtId="164" fontId="50" fillId="0" borderId="9" xfId="20" applyFont="true" applyBorder="true" applyAlignment="false" applyProtection="false">
      <alignment horizontal="general" vertical="bottom" textRotation="0" wrapText="false" indent="0" shrinkToFit="false"/>
      <protection locked="true" hidden="false"/>
    </xf>
    <xf numFmtId="164" fontId="50" fillId="0" borderId="7" xfId="20" applyFont="true" applyBorder="true" applyAlignment="false" applyProtection="false">
      <alignment horizontal="general" vertical="bottom" textRotation="0" wrapText="false" indent="0" shrinkToFit="false"/>
      <protection locked="true" hidden="false"/>
    </xf>
    <xf numFmtId="164" fontId="46" fillId="0" borderId="8" xfId="20" applyFont="true" applyBorder="true" applyAlignment="true" applyProtection="false">
      <alignment horizontal="justify" vertical="bottom" textRotation="0" wrapText="false" indent="0" shrinkToFit="false"/>
      <protection locked="true" hidden="false"/>
    </xf>
    <xf numFmtId="164" fontId="46" fillId="0" borderId="8" xfId="20" applyFont="true" applyBorder="true" applyAlignment="false" applyProtection="false">
      <alignment horizontal="general" vertical="bottom" textRotation="0" wrapText="false" indent="0" shrinkToFit="false"/>
      <protection locked="true" hidden="false"/>
    </xf>
    <xf numFmtId="164" fontId="46" fillId="0" borderId="8" xfId="20" applyFont="true" applyBorder="true" applyAlignment="true" applyProtection="false">
      <alignment horizontal="justify" vertical="bottom" textRotation="0" wrapText="true" indent="0" shrinkToFit="false"/>
      <protection locked="true" hidden="false"/>
    </xf>
    <xf numFmtId="164" fontId="52" fillId="0" borderId="8" xfId="20" applyFont="true" applyBorder="true" applyAlignment="true" applyProtection="false">
      <alignment horizontal="justify" vertical="bottom" textRotation="0" wrapText="true" indent="0" shrinkToFit="false"/>
      <protection locked="true" hidden="false"/>
    </xf>
    <xf numFmtId="164" fontId="50" fillId="0" borderId="8" xfId="20" applyFont="true" applyBorder="true" applyAlignment="false" applyProtection="false">
      <alignment horizontal="general" vertical="bottom" textRotation="0" wrapText="false" indent="0" shrinkToFit="false"/>
      <protection locked="true" hidden="false"/>
    </xf>
    <xf numFmtId="164" fontId="27" fillId="0" borderId="8" xfId="20" applyFont="true" applyBorder="true" applyAlignment="false" applyProtection="false">
      <alignment horizontal="general" vertical="bottom" textRotation="0" wrapText="false" indent="0" shrinkToFit="false"/>
      <protection locked="true" hidden="false"/>
    </xf>
    <xf numFmtId="169" fontId="50" fillId="0" borderId="9" xfId="20" applyFont="true" applyBorder="true" applyAlignment="false" applyProtection="false">
      <alignment horizontal="general" vertical="bottom" textRotation="0" wrapText="false" indent="0" shrinkToFit="false"/>
      <protection locked="true" hidden="false"/>
    </xf>
    <xf numFmtId="169" fontId="50" fillId="0" borderId="7" xfId="20" applyFont="true" applyBorder="true" applyAlignment="false" applyProtection="false">
      <alignment horizontal="general" vertical="bottom" textRotation="0" wrapText="false" indent="0" shrinkToFit="false"/>
      <protection locked="true" hidden="false"/>
    </xf>
    <xf numFmtId="164" fontId="46" fillId="0" borderId="10" xfId="20" applyFont="true" applyBorder="true" applyAlignment="true" applyProtection="false">
      <alignment horizontal="justify" vertical="bottom" textRotation="0" wrapText="true" indent="0" shrinkToFit="false"/>
      <protection locked="true" hidden="false"/>
    </xf>
    <xf numFmtId="169" fontId="50" fillId="0" borderId="24" xfId="20" applyFont="true" applyBorder="true" applyAlignment="false" applyProtection="false">
      <alignment horizontal="general" vertical="bottom" textRotation="0" wrapText="false" indent="0" shrinkToFit="false"/>
      <protection locked="true" hidden="false"/>
    </xf>
    <xf numFmtId="169" fontId="50" fillId="0" borderId="11" xfId="2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4" fontId="31" fillId="0" borderId="2" xfId="0" applyFont="true" applyBorder="true" applyAlignment="true" applyProtection="false">
      <alignment horizontal="center" vertical="center" textRotation="0" wrapText="true" indent="0" shrinkToFit="false"/>
      <protection locked="true" hidden="false"/>
    </xf>
    <xf numFmtId="164" fontId="25" fillId="0" borderId="40" xfId="0" applyFont="true" applyBorder="true" applyAlignment="true" applyProtection="false">
      <alignment horizontal="center" vertical="center" textRotation="0" wrapText="true" indent="0" shrinkToFit="false"/>
      <protection locked="true" hidden="false"/>
    </xf>
    <xf numFmtId="164" fontId="25" fillId="0" borderId="42" xfId="0" applyFont="true" applyBorder="true" applyAlignment="true" applyProtection="false">
      <alignment horizontal="center" vertical="center" textRotation="0" wrapText="true" indent="0" shrinkToFit="false"/>
      <protection locked="true" hidden="false"/>
    </xf>
    <xf numFmtId="164" fontId="25" fillId="0" borderId="4" xfId="0" applyFont="true" applyBorder="true" applyAlignment="true" applyProtection="false">
      <alignment horizontal="center" vertical="center" textRotation="0" wrapText="true" indent="0" shrinkToFit="false"/>
      <protection locked="true" hidden="false"/>
    </xf>
    <xf numFmtId="164" fontId="25" fillId="0" borderId="14" xfId="0" applyFont="true" applyBorder="true" applyAlignment="true" applyProtection="false">
      <alignment horizontal="right" vertical="center" textRotation="0" wrapText="true" indent="0" shrinkToFit="false"/>
      <protection locked="true" hidden="false"/>
    </xf>
    <xf numFmtId="171" fontId="17" fillId="0" borderId="23" xfId="0" applyFont="true" applyBorder="true" applyAlignment="false" applyProtection="false">
      <alignment horizontal="general" vertical="bottom" textRotation="0" wrapText="false" indent="0" shrinkToFit="false"/>
      <protection locked="true" hidden="false"/>
    </xf>
    <xf numFmtId="164" fontId="25" fillId="0" borderId="4" xfId="0" applyFont="true" applyBorder="true" applyAlignment="true" applyProtection="false">
      <alignment horizontal="right" vertical="center" textRotation="0" wrapText="true" indent="0" shrinkToFit="false"/>
      <protection locked="true" hidden="false"/>
    </xf>
    <xf numFmtId="169" fontId="0" fillId="0" borderId="30" xfId="0" applyFont="false" applyBorder="true" applyAlignment="false" applyProtection="false">
      <alignment horizontal="general" vertical="bottom" textRotation="0" wrapText="false" indent="0" shrinkToFit="false"/>
      <protection locked="true" hidden="false"/>
    </xf>
    <xf numFmtId="164" fontId="25" fillId="0" borderId="8" xfId="0" applyFont="true" applyBorder="true" applyAlignment="true" applyProtection="false">
      <alignment horizontal="right" vertical="center" textRotation="0" wrapText="true" indent="0" shrinkToFit="false"/>
      <protection locked="true" hidden="false"/>
    </xf>
    <xf numFmtId="171" fontId="17" fillId="0" borderId="7"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right" vertical="center" textRotation="0" wrapText="true" indent="0" shrinkToFit="false"/>
      <protection locked="true" hidden="false"/>
    </xf>
    <xf numFmtId="164" fontId="25" fillId="0" borderId="42" xfId="0" applyFont="true" applyBorder="true" applyAlignment="true" applyProtection="false">
      <alignment horizontal="right" vertical="center" textRotation="0" wrapText="true" indent="0" shrinkToFit="false"/>
      <protection locked="true" hidden="false"/>
    </xf>
    <xf numFmtId="164" fontId="25" fillId="0" borderId="2" xfId="0" applyFont="true" applyBorder="true" applyAlignment="true" applyProtection="false">
      <alignment horizontal="right" vertical="center" textRotation="0" wrapText="true" indent="0" shrinkToFit="false"/>
      <protection locked="true" hidden="false"/>
    </xf>
    <xf numFmtId="164" fontId="5" fillId="3" borderId="4" xfId="0" applyFont="true" applyBorder="true" applyAlignment="true" applyProtection="false">
      <alignment horizontal="right" vertical="center" textRotation="0" wrapText="true" indent="0" shrinkToFit="false"/>
      <protection locked="true" hidden="false"/>
    </xf>
    <xf numFmtId="171" fontId="17" fillId="0" borderId="11" xfId="0" applyFont="true" applyBorder="true" applyAlignment="false" applyProtection="false">
      <alignment horizontal="general" vertical="bottom" textRotation="0" wrapText="false" indent="0" shrinkToFit="false"/>
      <protection locked="true" hidden="false"/>
    </xf>
    <xf numFmtId="164" fontId="28" fillId="0" borderId="0" xfId="20" applyFont="true" applyBorder="false" applyAlignment="true" applyProtection="false">
      <alignment horizontal="center" vertical="bottom" textRotation="0" wrapText="false" indent="0" shrinkToFit="false"/>
      <protection locked="true" hidden="false"/>
    </xf>
    <xf numFmtId="164" fontId="51" fillId="0" borderId="0" xfId="20" applyFont="true" applyBorder="true" applyAlignment="true" applyProtection="false">
      <alignment horizontal="center" vertical="bottom" textRotation="0" wrapText="false" indent="0" shrinkToFit="false"/>
      <protection locked="true" hidden="false"/>
    </xf>
    <xf numFmtId="164" fontId="51" fillId="0" borderId="0" xfId="20" applyFont="true" applyBorder="false" applyAlignment="true" applyProtection="false">
      <alignment horizontal="center" vertical="bottom" textRotation="0" wrapText="false" indent="0" shrinkToFit="false"/>
      <protection locked="true" hidden="false"/>
    </xf>
    <xf numFmtId="164" fontId="28" fillId="0" borderId="61" xfId="20" applyFont="true" applyBorder="true" applyAlignment="true" applyProtection="false">
      <alignment horizontal="left" vertical="bottom" textRotation="0" wrapText="false" indent="0" shrinkToFit="false"/>
      <protection locked="true" hidden="false"/>
    </xf>
    <xf numFmtId="164" fontId="28" fillId="0" borderId="61" xfId="20" applyFont="true" applyBorder="true" applyAlignment="true" applyProtection="false">
      <alignment horizontal="center" vertical="bottom" textRotation="0" wrapText="false" indent="0" shrinkToFit="false"/>
      <protection locked="true" hidden="false"/>
    </xf>
    <xf numFmtId="164" fontId="28" fillId="3" borderId="1" xfId="20" applyFont="true" applyBorder="true" applyAlignment="true" applyProtection="false">
      <alignment horizontal="center" vertical="bottom" textRotation="0" wrapText="false" indent="0" shrinkToFit="false"/>
      <protection locked="true" hidden="false"/>
    </xf>
    <xf numFmtId="164" fontId="28" fillId="0" borderId="13" xfId="20" applyFont="true" applyBorder="true" applyAlignment="true" applyProtection="false">
      <alignment horizontal="center" vertical="bottom" textRotation="0" wrapText="false" indent="0" shrinkToFit="false"/>
      <protection locked="true" hidden="false"/>
    </xf>
    <xf numFmtId="164" fontId="28" fillId="19" borderId="1" xfId="20" applyFont="true" applyBorder="true" applyAlignment="true" applyProtection="false">
      <alignment horizontal="center" vertical="bottom" textRotation="0" wrapText="false" indent="0" shrinkToFit="false"/>
      <protection locked="true" hidden="false"/>
    </xf>
    <xf numFmtId="164" fontId="28" fillId="0" borderId="2" xfId="20" applyFont="true" applyBorder="true" applyAlignment="true" applyProtection="false">
      <alignment horizontal="center" vertical="bottom" textRotation="0" wrapText="false" indent="0" shrinkToFit="false"/>
      <protection locked="true" hidden="false"/>
    </xf>
    <xf numFmtId="164" fontId="28" fillId="0" borderId="0" xfId="20" applyFont="true" applyBorder="true" applyAlignment="true" applyProtection="false">
      <alignment horizontal="center" vertical="bottom" textRotation="0" wrapText="false" indent="0" shrinkToFit="false"/>
      <protection locked="true" hidden="false"/>
    </xf>
    <xf numFmtId="164" fontId="28" fillId="0" borderId="14" xfId="20" applyFont="true" applyBorder="true" applyAlignment="true" applyProtection="false">
      <alignment horizontal="center" vertical="bottom" textRotation="0" wrapText="false" indent="0" shrinkToFit="false"/>
      <protection locked="true" hidden="false"/>
    </xf>
    <xf numFmtId="164" fontId="28" fillId="3" borderId="16" xfId="20" applyFont="true" applyBorder="true" applyAlignment="true" applyProtection="false">
      <alignment horizontal="center" vertical="bottom" textRotation="0" wrapText="false" indent="0" shrinkToFit="false"/>
      <protection locked="true" hidden="false"/>
    </xf>
    <xf numFmtId="164" fontId="28" fillId="0" borderId="8" xfId="20" applyFont="true" applyBorder="true" applyAlignment="true" applyProtection="false">
      <alignment horizontal="center" vertical="bottom" textRotation="0" wrapText="true" indent="0" shrinkToFit="false"/>
      <protection locked="true" hidden="false"/>
    </xf>
    <xf numFmtId="164" fontId="28" fillId="3" borderId="18" xfId="20" applyFont="true" applyBorder="true" applyAlignment="true" applyProtection="false">
      <alignment horizontal="center" vertical="bottom" textRotation="0" wrapText="false" indent="0" shrinkToFit="false"/>
      <protection locked="true" hidden="false"/>
    </xf>
    <xf numFmtId="164" fontId="28" fillId="0" borderId="10" xfId="20" applyFont="true" applyBorder="true" applyAlignment="true" applyProtection="false">
      <alignment horizontal="center" vertical="bottom" textRotation="0" wrapText="true" indent="0" shrinkToFit="false"/>
      <protection locked="true" hidden="false"/>
    </xf>
    <xf numFmtId="164" fontId="28" fillId="3" borderId="20" xfId="20" applyFont="true" applyBorder="true" applyAlignment="true" applyProtection="false">
      <alignment horizontal="center" vertical="bottom" textRotation="0" wrapText="false" indent="0" shrinkToFit="false"/>
      <protection locked="true" hidden="false"/>
    </xf>
    <xf numFmtId="164" fontId="28" fillId="0" borderId="0" xfId="20" applyFont="true" applyBorder="true" applyAlignment="true" applyProtection="false">
      <alignment horizontal="center" vertical="center" textRotation="0" wrapText="false" indent="0" shrinkToFit="false"/>
      <protection locked="true" hidden="false"/>
    </xf>
    <xf numFmtId="164" fontId="53" fillId="18" borderId="16" xfId="20" applyFont="true" applyBorder="true" applyAlignment="true" applyProtection="false">
      <alignment horizontal="center" vertical="bottom" textRotation="0" wrapText="false" indent="0" shrinkToFit="false"/>
      <protection locked="true" hidden="false"/>
    </xf>
    <xf numFmtId="164" fontId="53" fillId="0" borderId="0" xfId="20" applyFont="true" applyBorder="true" applyAlignment="true" applyProtection="false">
      <alignment horizontal="center" vertical="bottom" textRotation="0" wrapText="false" indent="0" shrinkToFit="false"/>
      <protection locked="true" hidden="false"/>
    </xf>
    <xf numFmtId="164" fontId="28" fillId="0" borderId="14" xfId="20" applyFont="true" applyBorder="true" applyAlignment="true" applyProtection="false">
      <alignment horizontal="center" vertical="bottom" textRotation="0" wrapText="true" indent="0" shrinkToFit="false"/>
      <protection locked="true" hidden="false"/>
    </xf>
    <xf numFmtId="164" fontId="28" fillId="0" borderId="15" xfId="20" applyFont="true" applyBorder="true" applyAlignment="true" applyProtection="false">
      <alignment horizontal="center" vertical="bottom" textRotation="0" wrapText="true" indent="0" shrinkToFit="false"/>
      <protection locked="true" hidden="false"/>
    </xf>
    <xf numFmtId="164" fontId="28" fillId="0" borderId="15" xfId="20" applyFont="true" applyBorder="true" applyAlignment="true" applyProtection="false">
      <alignment horizontal="center" vertical="bottom" textRotation="0" wrapText="false" indent="0" shrinkToFit="false"/>
      <protection locked="true" hidden="false"/>
    </xf>
    <xf numFmtId="164" fontId="28" fillId="0" borderId="15" xfId="20" applyFont="true" applyBorder="true" applyAlignment="true" applyProtection="false">
      <alignment horizontal="center" vertical="center" textRotation="0" wrapText="false" indent="0" shrinkToFit="false"/>
      <protection locked="true" hidden="false"/>
    </xf>
    <xf numFmtId="164" fontId="28" fillId="3" borderId="15" xfId="20" applyFont="true" applyBorder="true" applyAlignment="true" applyProtection="false">
      <alignment horizontal="center" vertical="bottom" textRotation="0" wrapText="false" indent="0" shrinkToFit="false"/>
      <protection locked="true" hidden="false"/>
    </xf>
    <xf numFmtId="164" fontId="28" fillId="0" borderId="23" xfId="20" applyFont="true" applyBorder="true" applyAlignment="true" applyProtection="false">
      <alignment horizontal="center" vertical="bottom" textRotation="0" wrapText="false" indent="0" shrinkToFit="false"/>
      <protection locked="true" hidden="false"/>
    </xf>
    <xf numFmtId="164" fontId="28" fillId="0" borderId="8" xfId="20" applyFont="true" applyBorder="true" applyAlignment="true" applyProtection="false">
      <alignment horizontal="center" vertical="bottom" textRotation="0" wrapText="false" indent="0" shrinkToFit="false"/>
      <protection locked="true" hidden="false"/>
    </xf>
    <xf numFmtId="164" fontId="28" fillId="0" borderId="9" xfId="20" applyFont="true" applyBorder="true" applyAlignment="true" applyProtection="false">
      <alignment horizontal="center" vertical="bottom" textRotation="0" wrapText="false" indent="0" shrinkToFit="false"/>
      <protection locked="true" hidden="false"/>
    </xf>
    <xf numFmtId="164" fontId="28" fillId="0" borderId="9" xfId="20" applyFont="true" applyBorder="true" applyAlignment="true" applyProtection="false">
      <alignment horizontal="center" vertical="center" textRotation="0" wrapText="false" indent="0" shrinkToFit="false"/>
      <protection locked="true" hidden="false"/>
    </xf>
    <xf numFmtId="164" fontId="28" fillId="3" borderId="9" xfId="20" applyFont="true" applyBorder="true" applyAlignment="true" applyProtection="false">
      <alignment horizontal="center" vertical="bottom" textRotation="0" wrapText="false" indent="0" shrinkToFit="false"/>
      <protection locked="true" hidden="false"/>
    </xf>
    <xf numFmtId="164" fontId="28" fillId="0" borderId="7" xfId="20" applyFont="true" applyBorder="true" applyAlignment="true" applyProtection="false">
      <alignment horizontal="center" vertical="bottom" textRotation="0" wrapText="false" indent="0" shrinkToFit="false"/>
      <protection locked="true" hidden="false"/>
    </xf>
    <xf numFmtId="164" fontId="28" fillId="0" borderId="9" xfId="20" applyFont="true" applyBorder="true" applyAlignment="true" applyProtection="false">
      <alignment horizontal="center" vertical="bottom" textRotation="0" wrapText="true" indent="0" shrinkToFit="false"/>
      <protection locked="true" hidden="false"/>
    </xf>
    <xf numFmtId="168" fontId="28" fillId="19" borderId="7" xfId="20" applyFont="true" applyBorder="true" applyAlignment="true" applyProtection="false">
      <alignment horizontal="center" vertical="bottom" textRotation="0" wrapText="false" indent="0" shrinkToFit="false"/>
      <protection locked="true" hidden="false"/>
    </xf>
    <xf numFmtId="164" fontId="28" fillId="0" borderId="0" xfId="20" applyFont="true" applyBorder="true" applyAlignment="true" applyProtection="false">
      <alignment horizontal="center" vertical="bottom" textRotation="0" wrapText="true" indent="0" shrinkToFit="false"/>
      <protection locked="true" hidden="false"/>
    </xf>
    <xf numFmtId="167" fontId="28" fillId="3" borderId="7" xfId="20" applyFont="true" applyBorder="true" applyAlignment="true" applyProtection="false">
      <alignment horizontal="center" vertical="bottom" textRotation="0" wrapText="false" indent="0" shrinkToFit="false"/>
      <protection locked="true" hidden="false"/>
    </xf>
    <xf numFmtId="164" fontId="51" fillId="0" borderId="0" xfId="20" applyFont="true" applyBorder="true" applyAlignment="true" applyProtection="false">
      <alignment horizontal="center" vertical="bottom" textRotation="0" wrapText="true" indent="0" shrinkToFit="false"/>
      <protection locked="true" hidden="false"/>
    </xf>
    <xf numFmtId="166" fontId="28" fillId="3" borderId="7" xfId="20" applyFont="true" applyBorder="true" applyAlignment="true" applyProtection="false">
      <alignment horizontal="center" vertical="bottom" textRotation="0" wrapText="false" indent="0" shrinkToFit="false"/>
      <protection locked="true" hidden="false"/>
    </xf>
    <xf numFmtId="164" fontId="28" fillId="0" borderId="24" xfId="20" applyFont="true" applyBorder="true" applyAlignment="true" applyProtection="false">
      <alignment horizontal="center" vertical="bottom" textRotation="0" wrapText="true" indent="0" shrinkToFit="false"/>
      <protection locked="true" hidden="false"/>
    </xf>
    <xf numFmtId="164" fontId="28" fillId="0" borderId="24" xfId="20" applyFont="true" applyBorder="true" applyAlignment="true" applyProtection="false">
      <alignment horizontal="center" vertical="center" textRotation="0" wrapText="false" indent="0" shrinkToFit="false"/>
      <protection locked="true" hidden="false"/>
    </xf>
    <xf numFmtId="164" fontId="28" fillId="0" borderId="24" xfId="20" applyFont="true" applyBorder="true" applyAlignment="true" applyProtection="false">
      <alignment horizontal="center" vertical="bottom" textRotation="0" wrapText="false" indent="0" shrinkToFit="false"/>
      <protection locked="true" hidden="false"/>
    </xf>
    <xf numFmtId="164" fontId="28" fillId="3" borderId="11" xfId="20" applyFont="true" applyBorder="true" applyAlignment="true" applyProtection="false">
      <alignment horizontal="center" vertical="bottom" textRotation="0" wrapText="false" indent="0" shrinkToFit="false"/>
      <protection locked="true" hidden="false"/>
    </xf>
    <xf numFmtId="164" fontId="28" fillId="19" borderId="0" xfId="20" applyFont="true" applyBorder="false" applyAlignment="true" applyProtection="false">
      <alignment horizontal="center" vertical="bottom" textRotation="0" wrapText="false" indent="0" shrinkToFit="false"/>
      <protection locked="true" hidden="false"/>
    </xf>
    <xf numFmtId="164" fontId="28" fillId="19" borderId="9" xfId="20" applyFont="true" applyBorder="true" applyAlignment="true" applyProtection="false">
      <alignment horizontal="center" vertical="bottom" textRotation="0" wrapText="false" indent="0" shrinkToFit="false"/>
      <protection locked="true" hidden="false"/>
    </xf>
    <xf numFmtId="164" fontId="28" fillId="19" borderId="7" xfId="20" applyFont="true" applyBorder="true" applyAlignment="true" applyProtection="false">
      <alignment horizontal="center" vertical="bottom" textRotation="0" wrapText="false" indent="0" shrinkToFit="false"/>
      <protection locked="true" hidden="false"/>
    </xf>
    <xf numFmtId="164" fontId="28" fillId="19" borderId="9" xfId="20" applyFont="true" applyBorder="true" applyAlignment="true" applyProtection="false">
      <alignment horizontal="center" vertical="center" textRotation="0" wrapText="false" indent="0" shrinkToFit="false"/>
      <protection locked="true" hidden="false"/>
    </xf>
    <xf numFmtId="168" fontId="28" fillId="19" borderId="9" xfId="20" applyFont="true" applyBorder="true" applyAlignment="true" applyProtection="false">
      <alignment horizontal="center" vertical="bottom" textRotation="0" wrapText="false" indent="0" shrinkToFit="false"/>
      <protection locked="true" hidden="false"/>
    </xf>
    <xf numFmtId="168" fontId="28" fillId="0" borderId="0" xfId="20" applyFont="true" applyBorder="true" applyAlignment="true" applyProtection="false">
      <alignment horizontal="center" vertical="bottom" textRotation="0" wrapText="false" indent="0" shrinkToFit="false"/>
      <protection locked="true" hidden="false"/>
    </xf>
    <xf numFmtId="166" fontId="28" fillId="19" borderId="9" xfId="20" applyFont="true" applyBorder="true" applyAlignment="true" applyProtection="false">
      <alignment horizontal="center" vertical="center" textRotation="0" wrapText="false" indent="0" shrinkToFit="false"/>
      <protection locked="true" hidden="false"/>
    </xf>
    <xf numFmtId="168" fontId="28" fillId="19" borderId="9" xfId="20" applyFont="true" applyBorder="true" applyAlignment="true" applyProtection="false">
      <alignment horizontal="center" vertical="center" textRotation="0" wrapText="false" indent="0" shrinkToFit="false"/>
      <protection locked="true" hidden="false"/>
    </xf>
    <xf numFmtId="168" fontId="28" fillId="19" borderId="7" xfId="20" applyFont="true" applyBorder="true" applyAlignment="true" applyProtection="false">
      <alignment horizontal="center" vertical="center" textRotation="0" wrapText="false" indent="0" shrinkToFit="false"/>
      <protection locked="true" hidden="false"/>
    </xf>
    <xf numFmtId="168" fontId="28" fillId="0" borderId="0" xfId="20" applyFont="true" applyBorder="true" applyAlignment="true" applyProtection="false">
      <alignment horizontal="center" vertical="center" textRotation="0" wrapText="false" indent="0" shrinkToFit="false"/>
      <protection locked="true" hidden="false"/>
    </xf>
    <xf numFmtId="167" fontId="28" fillId="19" borderId="9" xfId="20" applyFont="true" applyBorder="true" applyAlignment="true" applyProtection="false">
      <alignment horizontal="center" vertical="center" textRotation="0" wrapText="false" indent="0" shrinkToFit="false"/>
      <protection locked="true" hidden="false"/>
    </xf>
    <xf numFmtId="167" fontId="28" fillId="19" borderId="9" xfId="20" applyFont="true" applyBorder="true" applyAlignment="true" applyProtection="false">
      <alignment horizontal="center" vertical="bottom" textRotation="0" wrapText="false" indent="0" shrinkToFit="false"/>
      <protection locked="true" hidden="false"/>
    </xf>
    <xf numFmtId="167" fontId="28" fillId="19" borderId="7" xfId="20" applyFont="true" applyBorder="true" applyAlignment="true" applyProtection="false">
      <alignment horizontal="center" vertical="bottom" textRotation="0" wrapText="false" indent="0" shrinkToFit="false"/>
      <protection locked="true" hidden="false"/>
    </xf>
    <xf numFmtId="167" fontId="28" fillId="0" borderId="0" xfId="20" applyFont="true" applyBorder="true" applyAlignment="true" applyProtection="false">
      <alignment horizontal="center" vertical="bottom" textRotation="0" wrapText="false" indent="0" shrinkToFit="false"/>
      <protection locked="true" hidden="false"/>
    </xf>
    <xf numFmtId="165" fontId="28" fillId="0" borderId="24" xfId="20" applyFont="true" applyBorder="true" applyAlignment="true" applyProtection="false">
      <alignment horizontal="center" vertical="bottom" textRotation="0" wrapText="false" indent="0" shrinkToFit="false"/>
      <protection locked="true" hidden="false"/>
    </xf>
    <xf numFmtId="165" fontId="28" fillId="0" borderId="11" xfId="20" applyFont="true" applyBorder="true" applyAlignment="true" applyProtection="false">
      <alignment horizontal="center" vertical="bottom" textRotation="0" wrapText="false" indent="0" shrinkToFit="false"/>
      <protection locked="true" hidden="false"/>
    </xf>
    <xf numFmtId="165" fontId="28" fillId="0" borderId="0" xfId="20" applyFont="true" applyBorder="true" applyAlignment="true" applyProtection="false">
      <alignment horizontal="center" vertical="bottom" textRotation="0" wrapText="false" indent="0" shrinkToFit="false"/>
      <protection locked="true" hidden="false"/>
    </xf>
    <xf numFmtId="164" fontId="53" fillId="0" borderId="12" xfId="20" applyFont="true" applyBorder="true" applyAlignment="true" applyProtection="false">
      <alignment horizontal="center" vertical="bottom" textRotation="0" wrapText="true" indent="0" shrinkToFit="false"/>
      <protection locked="true" hidden="false"/>
    </xf>
    <xf numFmtId="164" fontId="53" fillId="0" borderId="0" xfId="20" applyFont="true" applyBorder="true" applyAlignment="true" applyProtection="false">
      <alignment horizontal="center" vertical="bottom" textRotation="0" wrapText="true" indent="0" shrinkToFit="false"/>
      <protection locked="true" hidden="false"/>
    </xf>
    <xf numFmtId="168" fontId="28" fillId="0" borderId="15" xfId="20" applyFont="true" applyBorder="true" applyAlignment="true" applyProtection="false">
      <alignment horizontal="center" vertical="bottom" textRotation="0" wrapText="false" indent="0" shrinkToFit="false"/>
      <protection locked="true" hidden="false"/>
    </xf>
    <xf numFmtId="168" fontId="28" fillId="0" borderId="16" xfId="20" applyFont="true" applyBorder="true" applyAlignment="true" applyProtection="false">
      <alignment horizontal="center" vertical="bottom" textRotation="0" wrapText="false" indent="0" shrinkToFit="false"/>
      <protection locked="true" hidden="false"/>
    </xf>
    <xf numFmtId="168" fontId="28" fillId="0" borderId="9" xfId="20" applyFont="true" applyBorder="true" applyAlignment="true" applyProtection="false">
      <alignment horizontal="center" vertical="bottom" textRotation="0" wrapText="false" indent="0" shrinkToFit="false"/>
      <protection locked="true" hidden="false"/>
    </xf>
    <xf numFmtId="168" fontId="28" fillId="0" borderId="63" xfId="20" applyFont="true" applyBorder="true" applyAlignment="true" applyProtection="false">
      <alignment horizontal="center" vertical="bottom" textRotation="0" wrapText="false" indent="0" shrinkToFit="false"/>
      <protection locked="true" hidden="false"/>
    </xf>
    <xf numFmtId="167" fontId="28" fillId="3" borderId="20" xfId="20" applyFont="true" applyBorder="true" applyAlignment="true" applyProtection="false">
      <alignment horizontal="center" vertical="bottom" textRotation="0" wrapText="false" indent="0" shrinkToFit="false"/>
      <protection locked="true" hidden="false"/>
    </xf>
    <xf numFmtId="167" fontId="28" fillId="20" borderId="12" xfId="20" applyFont="true" applyBorder="true" applyAlignment="true" applyProtection="false">
      <alignment horizontal="center" vertical="bottom" textRotation="0" wrapText="false" indent="0" shrinkToFit="false"/>
      <protection locked="true" hidden="false"/>
    </xf>
    <xf numFmtId="171" fontId="28" fillId="0" borderId="15" xfId="20" applyFont="true" applyBorder="true" applyAlignment="true" applyProtection="false">
      <alignment horizontal="center" vertical="bottom" textRotation="0" wrapText="false" indent="0" shrinkToFit="false"/>
      <protection locked="true" hidden="false"/>
    </xf>
    <xf numFmtId="171" fontId="28" fillId="0" borderId="23" xfId="20" applyFont="true" applyBorder="true" applyAlignment="true" applyProtection="false">
      <alignment horizontal="center" vertical="bottom" textRotation="0" wrapText="false" indent="0" shrinkToFit="false"/>
      <protection locked="true" hidden="false"/>
    </xf>
    <xf numFmtId="171" fontId="28" fillId="0" borderId="0" xfId="20" applyFont="true" applyBorder="true" applyAlignment="true" applyProtection="false">
      <alignment horizontal="center" vertical="bottom" textRotation="0" wrapText="false" indent="0" shrinkToFit="false"/>
      <protection locked="true" hidden="false"/>
    </xf>
    <xf numFmtId="173" fontId="28" fillId="0" borderId="9" xfId="20" applyFont="true" applyBorder="true" applyAlignment="true" applyProtection="false">
      <alignment horizontal="center" vertical="bottom" textRotation="0" wrapText="false" indent="0" shrinkToFit="false"/>
      <protection locked="true" hidden="false"/>
    </xf>
    <xf numFmtId="171" fontId="28" fillId="0" borderId="7" xfId="20" applyFont="true" applyBorder="true" applyAlignment="true" applyProtection="false">
      <alignment horizontal="center" vertical="bottom" textRotation="0" wrapText="false" indent="0" shrinkToFit="false"/>
      <protection locked="true" hidden="false"/>
    </xf>
    <xf numFmtId="164" fontId="50" fillId="0" borderId="9" xfId="20" applyFont="true" applyBorder="true" applyAlignment="true" applyProtection="false">
      <alignment horizontal="right" vertical="bottom" textRotation="0" wrapText="false" indent="0" shrinkToFit="false"/>
      <protection locked="true" hidden="false"/>
    </xf>
    <xf numFmtId="164" fontId="50" fillId="0" borderId="7" xfId="20" applyFont="true" applyBorder="true" applyAlignment="true" applyProtection="false">
      <alignment horizontal="center" vertical="bottom" textRotation="0" wrapText="false" indent="0" shrinkToFit="false"/>
      <protection locked="true" hidden="false"/>
    </xf>
    <xf numFmtId="164" fontId="50" fillId="0" borderId="0" xfId="20" applyFont="true" applyBorder="true" applyAlignment="true" applyProtection="false">
      <alignment horizontal="center" vertical="bottom" textRotation="0" wrapText="false" indent="0" shrinkToFit="false"/>
      <protection locked="true" hidden="false"/>
    </xf>
    <xf numFmtId="169" fontId="50" fillId="0" borderId="7" xfId="20" applyFont="true" applyBorder="true" applyAlignment="true" applyProtection="false">
      <alignment horizontal="center" vertical="bottom" textRotation="0" wrapText="false" indent="0" shrinkToFit="false"/>
      <protection locked="true" hidden="false"/>
    </xf>
    <xf numFmtId="169" fontId="50" fillId="0" borderId="0" xfId="20" applyFont="true" applyBorder="true" applyAlignment="true" applyProtection="false">
      <alignment horizontal="center" vertical="bottom" textRotation="0" wrapText="false" indent="0" shrinkToFit="false"/>
      <protection locked="true" hidden="false"/>
    </xf>
    <xf numFmtId="172" fontId="28" fillId="0" borderId="9" xfId="20" applyFont="true" applyBorder="true" applyAlignment="true" applyProtection="false">
      <alignment horizontal="center" vertical="bottom" textRotation="0" wrapText="false" indent="0" shrinkToFit="false"/>
      <protection locked="true" hidden="false"/>
    </xf>
    <xf numFmtId="172" fontId="28" fillId="0" borderId="63" xfId="20" applyFont="true" applyBorder="true" applyAlignment="true" applyProtection="false">
      <alignment horizontal="center" vertical="bottom" textRotation="0" wrapText="false" indent="0" shrinkToFit="false"/>
      <protection locked="true" hidden="false"/>
    </xf>
    <xf numFmtId="172" fontId="28" fillId="0" borderId="0" xfId="20" applyFont="true" applyBorder="true" applyAlignment="true" applyProtection="false">
      <alignment horizontal="center" vertical="bottom" textRotation="0" wrapText="false" indent="0" shrinkToFit="false"/>
      <protection locked="true" hidden="false"/>
    </xf>
    <xf numFmtId="164" fontId="28" fillId="0" borderId="43" xfId="20" applyFont="true" applyBorder="true" applyAlignment="true" applyProtection="false">
      <alignment horizontal="center" vertical="bottom" textRotation="0" wrapText="false" indent="0" shrinkToFit="false"/>
      <protection locked="true" hidden="false"/>
    </xf>
    <xf numFmtId="164" fontId="28" fillId="0" borderId="26" xfId="20" applyFont="true" applyBorder="true" applyAlignment="true" applyProtection="false">
      <alignment horizontal="center" vertical="bottom" textRotation="0" wrapText="false" indent="0" shrinkToFit="false"/>
      <protection locked="true" hidden="false"/>
    </xf>
    <xf numFmtId="167" fontId="28" fillId="3" borderId="63" xfId="20" applyFont="true" applyBorder="true" applyAlignment="true" applyProtection="false">
      <alignment horizontal="center" vertical="bottom" textRotation="0" wrapText="false" indent="0" shrinkToFit="false"/>
      <protection locked="true" hidden="false"/>
    </xf>
    <xf numFmtId="164" fontId="53" fillId="0" borderId="5" xfId="20" applyFont="true" applyBorder="true" applyAlignment="true" applyProtection="false">
      <alignment horizontal="center" vertical="bottom" textRotation="0" wrapText="true" indent="0" shrinkToFit="false"/>
      <protection locked="true" hidden="false"/>
    </xf>
    <xf numFmtId="164" fontId="28" fillId="0" borderId="44" xfId="20" applyFont="true" applyBorder="true" applyAlignment="true" applyProtection="false">
      <alignment horizontal="center" vertical="bottom" textRotation="0" wrapText="true" indent="0" shrinkToFit="false"/>
      <protection locked="true" hidden="false"/>
    </xf>
    <xf numFmtId="173" fontId="28" fillId="0" borderId="0" xfId="20" applyFont="true" applyBorder="false" applyAlignment="true" applyProtection="false">
      <alignment horizontal="center" vertical="bottom" textRotation="0" wrapText="false" indent="0" shrinkToFit="false"/>
      <protection locked="true" hidden="false"/>
    </xf>
    <xf numFmtId="164" fontId="28" fillId="0" borderId="16" xfId="20" applyFont="true" applyBorder="true" applyAlignment="true" applyProtection="false">
      <alignment horizontal="center" vertical="bottom" textRotation="0" wrapText="false" indent="0" shrinkToFit="false"/>
      <protection locked="true" hidden="false"/>
    </xf>
    <xf numFmtId="167" fontId="28" fillId="0" borderId="9" xfId="20" applyFont="true" applyBorder="true" applyAlignment="true" applyProtection="false">
      <alignment horizontal="center" vertical="bottom" textRotation="0" wrapText="false" indent="0" shrinkToFit="false"/>
      <protection locked="true" hidden="false"/>
    </xf>
    <xf numFmtId="169" fontId="28" fillId="0" borderId="9" xfId="20" applyFont="true" applyBorder="true" applyAlignment="true" applyProtection="false">
      <alignment horizontal="center" vertical="bottom" textRotation="0" wrapText="false" indent="0" shrinkToFit="false"/>
      <protection locked="true" hidden="false"/>
    </xf>
    <xf numFmtId="164" fontId="28" fillId="0" borderId="18" xfId="20" applyFont="true" applyBorder="true" applyAlignment="true" applyProtection="false">
      <alignment horizontal="center" vertical="bottom" textRotation="0" wrapText="false" indent="0" shrinkToFit="false"/>
      <protection locked="true" hidden="false"/>
    </xf>
    <xf numFmtId="169" fontId="28" fillId="20" borderId="9" xfId="20" applyFont="true" applyBorder="true" applyAlignment="true" applyProtection="false">
      <alignment horizontal="center" vertical="bottom" textRotation="0" wrapText="false" indent="0" shrinkToFit="false"/>
      <protection locked="true" hidden="false"/>
    </xf>
    <xf numFmtId="169" fontId="28" fillId="0" borderId="18" xfId="20" applyFont="true" applyBorder="true" applyAlignment="true" applyProtection="false">
      <alignment horizontal="center" vertical="bottom" textRotation="0" wrapText="false" indent="0" shrinkToFit="false"/>
      <protection locked="true" hidden="false"/>
    </xf>
    <xf numFmtId="169" fontId="28" fillId="0" borderId="0" xfId="20" applyFont="true" applyBorder="true" applyAlignment="true" applyProtection="false">
      <alignment horizontal="center" vertical="bottom" textRotation="0" wrapText="false" indent="0" shrinkToFit="false"/>
      <protection locked="true" hidden="false"/>
    </xf>
    <xf numFmtId="169" fontId="28" fillId="19" borderId="18" xfId="20" applyFont="true" applyBorder="true" applyAlignment="true" applyProtection="false">
      <alignment horizontal="center" vertical="bottom" textRotation="0" wrapText="false" indent="0" shrinkToFit="false"/>
      <protection locked="true" hidden="false"/>
    </xf>
    <xf numFmtId="172" fontId="28" fillId="0" borderId="7" xfId="20" applyFont="true" applyBorder="true" applyAlignment="true" applyProtection="false">
      <alignment horizontal="center" vertical="bottom" textRotation="0" wrapText="false" indent="0" shrinkToFit="false"/>
      <protection locked="true" hidden="false"/>
    </xf>
    <xf numFmtId="169" fontId="28" fillId="0" borderId="7" xfId="20" applyFont="true" applyBorder="true" applyAlignment="true" applyProtection="false">
      <alignment horizontal="center" vertical="bottom" textRotation="0" wrapText="false" indent="0" shrinkToFit="false"/>
      <protection locked="true" hidden="false"/>
    </xf>
    <xf numFmtId="167" fontId="28" fillId="0" borderId="7" xfId="20" applyFont="true" applyBorder="true" applyAlignment="true" applyProtection="false">
      <alignment horizontal="center" vertical="bottom" textRotation="0" wrapText="false" indent="0" shrinkToFit="false"/>
      <protection locked="true" hidden="false"/>
    </xf>
    <xf numFmtId="169" fontId="28" fillId="19" borderId="7" xfId="20" applyFont="true" applyBorder="true" applyAlignment="true" applyProtection="false">
      <alignment horizontal="center" vertical="bottom" textRotation="0" wrapText="false" indent="0" shrinkToFit="false"/>
      <protection locked="true" hidden="false"/>
    </xf>
    <xf numFmtId="164" fontId="28" fillId="0" borderId="9" xfId="20" applyFont="true" applyBorder="true" applyAlignment="true" applyProtection="false">
      <alignment horizontal="left" vertical="bottom" textRotation="0" wrapText="false" indent="0" shrinkToFit="false"/>
      <protection locked="true" hidden="false"/>
    </xf>
    <xf numFmtId="168" fontId="28" fillId="0" borderId="7" xfId="20" applyFont="true" applyBorder="true" applyAlignment="true" applyProtection="false">
      <alignment horizontal="center" vertical="bottom" textRotation="0" wrapText="false" indent="0" shrinkToFit="false"/>
      <protection locked="true" hidden="false"/>
    </xf>
    <xf numFmtId="164" fontId="28" fillId="0" borderId="10" xfId="20" applyFont="true" applyBorder="true" applyAlignment="true" applyProtection="false">
      <alignment horizontal="center" vertical="bottom" textRotation="0" wrapText="false" indent="0" shrinkToFit="false"/>
      <protection locked="true" hidden="false"/>
    </xf>
    <xf numFmtId="167" fontId="28" fillId="20" borderId="11" xfId="20" applyFont="true" applyBorder="true" applyAlignment="true" applyProtection="false">
      <alignment horizontal="center" vertical="bottom" textRotation="0" wrapText="false" indent="0" shrinkToFit="false"/>
      <protection locked="true" hidden="false"/>
    </xf>
    <xf numFmtId="164" fontId="28" fillId="0" borderId="0" xfId="20" applyFont="true" applyBorder="false" applyAlignment="true" applyProtection="false">
      <alignment horizontal="center" vertical="bottom" textRotation="0" wrapText="true" indent="0" shrinkToFit="false"/>
      <protection locked="true" hidden="false"/>
    </xf>
    <xf numFmtId="167" fontId="28" fillId="0" borderId="0" xfId="20" applyFont="true" applyBorder="false" applyAlignment="true" applyProtection="false">
      <alignment horizontal="center" vertical="bottom" textRotation="0" wrapText="false" indent="0" shrinkToFit="false"/>
      <protection locked="true" hidden="false"/>
    </xf>
    <xf numFmtId="164" fontId="28" fillId="0" borderId="0" xfId="20" applyFont="true" applyBorder="false" applyAlignment="true" applyProtection="false">
      <alignment horizontal="left" vertical="bottom" textRotation="0" wrapText="false" indent="0" shrinkToFit="false"/>
      <protection locked="true" hidden="false"/>
    </xf>
    <xf numFmtId="164" fontId="28" fillId="0" borderId="0" xfId="20" applyFont="true" applyBorder="false" applyAlignment="true" applyProtection="false">
      <alignment horizontal="left" vertical="bottom" textRotation="0" wrapText="true" indent="0" shrinkToFit="false"/>
      <protection locked="true" hidden="false"/>
    </xf>
    <xf numFmtId="164" fontId="28" fillId="0" borderId="5" xfId="20" applyFont="true" applyBorder="true" applyAlignment="true" applyProtection="false">
      <alignment horizontal="center" vertical="center" textRotation="0" wrapText="false" indent="0" shrinkToFit="false"/>
      <protection locked="true" hidden="false"/>
    </xf>
    <xf numFmtId="164" fontId="28" fillId="0" borderId="65" xfId="20" applyFont="true" applyBorder="true" applyAlignment="true" applyProtection="false">
      <alignment horizontal="center" vertical="center" textRotation="0" wrapText="false" indent="0" shrinkToFit="false"/>
      <protection locked="true" hidden="false"/>
    </xf>
    <xf numFmtId="164" fontId="28" fillId="0" borderId="25" xfId="20" applyFont="true" applyBorder="true" applyAlignment="true" applyProtection="false">
      <alignment horizontal="center" vertical="center" textRotation="0" wrapText="false" indent="0" shrinkToFit="false"/>
      <protection locked="true" hidden="false"/>
    </xf>
    <xf numFmtId="164" fontId="28" fillId="0" borderId="25" xfId="20" applyFont="true" applyBorder="true" applyAlignment="true" applyProtection="false">
      <alignment horizontal="center" vertical="center" textRotation="0" wrapText="true" indent="0" shrinkToFit="false"/>
      <protection locked="true" hidden="false"/>
    </xf>
    <xf numFmtId="164" fontId="55" fillId="0" borderId="25" xfId="20" applyFont="true" applyBorder="true" applyAlignment="true" applyProtection="false">
      <alignment horizontal="center" vertical="center" textRotation="0" wrapText="false" indent="0" shrinkToFit="false"/>
      <protection locked="true" hidden="false"/>
    </xf>
    <xf numFmtId="164" fontId="28" fillId="0" borderId="69" xfId="20" applyFont="true" applyBorder="true" applyAlignment="true" applyProtection="false">
      <alignment horizontal="center" vertical="center" textRotation="0" wrapText="false" indent="0" shrinkToFit="false"/>
      <protection locked="true" hidden="false"/>
    </xf>
    <xf numFmtId="164" fontId="28" fillId="0" borderId="70" xfId="20" applyFont="true" applyBorder="true" applyAlignment="true" applyProtection="false">
      <alignment horizontal="center" vertical="center" textRotation="0" wrapText="false" indent="0" shrinkToFit="false"/>
      <protection locked="true" hidden="false"/>
    </xf>
    <xf numFmtId="164" fontId="28" fillId="0" borderId="44" xfId="20" applyFont="true" applyBorder="true" applyAlignment="true" applyProtection="false">
      <alignment horizontal="center" vertical="center" textRotation="0" wrapText="false" indent="0" shrinkToFit="false"/>
      <protection locked="true" hidden="false"/>
    </xf>
    <xf numFmtId="164" fontId="28" fillId="0" borderId="14" xfId="20" applyFont="true" applyBorder="true" applyAlignment="true" applyProtection="false">
      <alignment horizontal="center" vertical="center" textRotation="0" wrapText="false" indent="0" shrinkToFit="false"/>
      <protection locked="true" hidden="false"/>
    </xf>
    <xf numFmtId="167" fontId="28" fillId="0" borderId="15" xfId="20" applyFont="true" applyBorder="true" applyAlignment="true" applyProtection="false">
      <alignment horizontal="center" vertical="bottom" textRotation="0" wrapText="false" indent="0" shrinkToFit="false"/>
      <protection locked="true" hidden="false"/>
    </xf>
    <xf numFmtId="164" fontId="28" fillId="0" borderId="16" xfId="20" applyFont="true" applyBorder="true" applyAlignment="true" applyProtection="false">
      <alignment horizontal="center" vertical="center" textRotation="0" wrapText="false" indent="0" shrinkToFit="false"/>
      <protection locked="true" hidden="false"/>
    </xf>
    <xf numFmtId="164" fontId="28" fillId="0" borderId="8" xfId="20" applyFont="true" applyBorder="true" applyAlignment="true" applyProtection="false">
      <alignment horizontal="center" vertical="center" textRotation="0" wrapText="false" indent="0" shrinkToFit="false"/>
      <protection locked="true" hidden="false"/>
    </xf>
    <xf numFmtId="164" fontId="28" fillId="0" borderId="18" xfId="20" applyFont="true" applyBorder="true" applyAlignment="true" applyProtection="false">
      <alignment horizontal="center" vertical="center" textRotation="0" wrapText="false" indent="0" shrinkToFit="false"/>
      <protection locked="true" hidden="false"/>
    </xf>
    <xf numFmtId="164" fontId="28" fillId="3" borderId="9" xfId="20" applyFont="true" applyBorder="true" applyAlignment="true" applyProtection="false">
      <alignment horizontal="center" vertical="center" textRotation="0" wrapText="false" indent="0" shrinkToFit="false"/>
      <protection locked="true" hidden="false"/>
    </xf>
    <xf numFmtId="166" fontId="28" fillId="0" borderId="9" xfId="20" applyFont="true" applyBorder="true" applyAlignment="true" applyProtection="false">
      <alignment horizontal="center" vertical="bottom" textRotation="0" wrapText="false" indent="0" shrinkToFit="false"/>
      <protection locked="true" hidden="false"/>
    </xf>
    <xf numFmtId="168" fontId="56" fillId="19" borderId="9" xfId="20" applyFont="true" applyBorder="true" applyAlignment="true" applyProtection="false">
      <alignment horizontal="center" vertical="bottom" textRotation="0" wrapText="false" indent="0" shrinkToFit="false"/>
      <protection locked="true" hidden="false"/>
    </xf>
    <xf numFmtId="166" fontId="56" fillId="0" borderId="9" xfId="20" applyFont="true" applyBorder="true" applyAlignment="true" applyProtection="false">
      <alignment horizontal="center" vertical="bottom" textRotation="0" wrapText="false" indent="0" shrinkToFit="false"/>
      <protection locked="true" hidden="false"/>
    </xf>
    <xf numFmtId="166" fontId="57" fillId="0" borderId="9" xfId="20" applyFont="true" applyBorder="true" applyAlignment="true" applyProtection="false">
      <alignment horizontal="center" vertical="bottom" textRotation="0" wrapText="false" indent="0" shrinkToFit="false"/>
      <protection locked="true" hidden="false"/>
    </xf>
    <xf numFmtId="164" fontId="57" fillId="0" borderId="18" xfId="20" applyFont="true" applyBorder="true" applyAlignment="true" applyProtection="false">
      <alignment horizontal="center" vertical="bottom" textRotation="0" wrapText="false" indent="0" shrinkToFit="false"/>
      <protection locked="true" hidden="false"/>
    </xf>
    <xf numFmtId="166" fontId="56" fillId="19" borderId="9" xfId="20" applyFont="true" applyBorder="true" applyAlignment="true" applyProtection="false">
      <alignment horizontal="center" vertical="bottom" textRotation="0" wrapText="false" indent="0" shrinkToFit="false"/>
      <protection locked="true" hidden="false"/>
    </xf>
    <xf numFmtId="168" fontId="57" fillId="0" borderId="9" xfId="20" applyFont="true" applyBorder="true" applyAlignment="true" applyProtection="false">
      <alignment horizontal="center" vertical="bottom" textRotation="0" wrapText="false" indent="0" shrinkToFit="false"/>
      <protection locked="true" hidden="false"/>
    </xf>
    <xf numFmtId="168" fontId="57" fillId="0" borderId="18" xfId="20" applyFont="true" applyBorder="true" applyAlignment="true" applyProtection="false">
      <alignment horizontal="center" vertical="bottom" textRotation="0" wrapText="false" indent="0" shrinkToFit="false"/>
      <protection locked="true" hidden="false"/>
    </xf>
    <xf numFmtId="164" fontId="28" fillId="3" borderId="26" xfId="20" applyFont="true" applyBorder="true" applyAlignment="true" applyProtection="false">
      <alignment horizontal="center" vertical="bottom" textRotation="0" wrapText="false" indent="0" shrinkToFit="false"/>
      <protection locked="true" hidden="false"/>
    </xf>
    <xf numFmtId="167" fontId="28" fillId="0" borderId="24" xfId="20" applyFont="true" applyBorder="true" applyAlignment="true" applyProtection="false">
      <alignment horizontal="center" vertical="bottom" textRotation="0" wrapText="false" indent="0" shrinkToFit="false"/>
      <protection locked="true" hidden="false"/>
    </xf>
    <xf numFmtId="164" fontId="56" fillId="19" borderId="24" xfId="20" applyFont="true" applyBorder="true" applyAlignment="true" applyProtection="false">
      <alignment horizontal="center" vertical="bottom" textRotation="0" wrapText="false" indent="0" shrinkToFit="false"/>
      <protection locked="true" hidden="false"/>
    </xf>
    <xf numFmtId="164" fontId="56" fillId="0" borderId="24" xfId="20" applyFont="true" applyBorder="true" applyAlignment="true" applyProtection="false">
      <alignment horizontal="center" vertical="bottom" textRotation="0" wrapText="false" indent="0" shrinkToFit="false"/>
      <protection locked="true" hidden="false"/>
    </xf>
    <xf numFmtId="164" fontId="57" fillId="0" borderId="24" xfId="20" applyFont="true" applyBorder="true" applyAlignment="true" applyProtection="false">
      <alignment horizontal="center" vertical="bottom" textRotation="0" wrapText="false" indent="0" shrinkToFit="false"/>
      <protection locked="true" hidden="false"/>
    </xf>
    <xf numFmtId="164" fontId="57" fillId="0" borderId="20" xfId="20" applyFont="true" applyBorder="true" applyAlignment="true" applyProtection="false">
      <alignment horizontal="center" vertical="bottom" textRotation="0" wrapText="false" indent="0" shrinkToFit="false"/>
      <protection locked="true" hidden="false"/>
    </xf>
    <xf numFmtId="164" fontId="28" fillId="0" borderId="11" xfId="20" applyFont="true" applyBorder="true" applyAlignment="true" applyProtection="false">
      <alignment horizontal="center" vertical="bottom" textRotation="0" wrapText="false" indent="0" shrinkToFit="false"/>
      <protection locked="true" hidden="false"/>
    </xf>
    <xf numFmtId="164" fontId="28" fillId="3" borderId="29" xfId="20" applyFont="true" applyBorder="true" applyAlignment="true" applyProtection="false">
      <alignment horizontal="center" vertical="bottom" textRotation="0" wrapText="false" indent="0" shrinkToFit="false"/>
      <protection locked="true" hidden="false"/>
    </xf>
    <xf numFmtId="164" fontId="28" fillId="0" borderId="46" xfId="20" applyFont="true" applyBorder="true" applyAlignment="true" applyProtection="false">
      <alignment horizontal="center" vertical="bottom" textRotation="0" wrapText="false" indent="0" shrinkToFit="false"/>
      <protection locked="true" hidden="false"/>
    </xf>
    <xf numFmtId="164" fontId="56" fillId="0" borderId="0" xfId="20" applyFont="true" applyBorder="false" applyAlignment="true" applyProtection="false">
      <alignment horizontal="center" vertical="bottom" textRotation="0" wrapText="false" indent="0" shrinkToFit="false"/>
      <protection locked="true" hidden="false"/>
    </xf>
    <xf numFmtId="164" fontId="56" fillId="3" borderId="0" xfId="20" applyFont="true" applyBorder="false" applyAlignment="true" applyProtection="false">
      <alignment horizontal="center" vertical="bottom" textRotation="0" wrapText="false" indent="0" shrinkToFit="false"/>
      <protection locked="true" hidden="false"/>
    </xf>
    <xf numFmtId="164" fontId="56" fillId="0" borderId="0" xfId="20" applyFont="true" applyBorder="true" applyAlignment="true" applyProtection="false">
      <alignment horizontal="center" vertical="bottom" textRotation="0" wrapText="false" indent="0" shrinkToFit="false"/>
      <protection locked="true" hidden="false"/>
    </xf>
    <xf numFmtId="164" fontId="57" fillId="0" borderId="0" xfId="20" applyFont="true" applyBorder="true" applyAlignment="true" applyProtection="false">
      <alignment horizontal="center" vertical="bottom" textRotation="0" wrapText="false" indent="0" shrinkToFit="false"/>
      <protection locked="true" hidden="false"/>
    </xf>
    <xf numFmtId="164" fontId="28" fillId="0" borderId="41" xfId="20" applyFont="true" applyBorder="true" applyAlignment="true" applyProtection="false">
      <alignment horizontal="center" vertical="bottom" textRotation="0" wrapText="false" indent="0" shrinkToFit="false"/>
      <protection locked="true" hidden="false"/>
    </xf>
    <xf numFmtId="164" fontId="56" fillId="19" borderId="0" xfId="20" applyFont="true" applyBorder="false" applyAlignment="true" applyProtection="false">
      <alignment horizontal="center" vertical="bottom" textRotation="0" wrapText="false" indent="0" shrinkToFit="false"/>
      <protection locked="true" hidden="false"/>
    </xf>
    <xf numFmtId="167" fontId="28" fillId="0" borderId="15" xfId="20" applyFont="true" applyBorder="true" applyAlignment="true" applyProtection="false">
      <alignment horizontal="left" vertical="bottom" textRotation="0" wrapText="false" indent="0" shrinkToFit="false"/>
      <protection locked="true" hidden="false"/>
    </xf>
    <xf numFmtId="167" fontId="28" fillId="0" borderId="23" xfId="20" applyFont="true" applyBorder="true" applyAlignment="true" applyProtection="false">
      <alignment horizontal="center" vertical="bottom" textRotation="0" wrapText="false" indent="0" shrinkToFit="false"/>
      <protection locked="true" hidden="false"/>
    </xf>
    <xf numFmtId="164" fontId="28" fillId="3" borderId="24" xfId="20" applyFont="true" applyBorder="true" applyAlignment="true" applyProtection="false">
      <alignment horizontal="center" vertical="bottom" textRotation="0" wrapText="false" indent="0" shrinkToFit="false"/>
      <protection locked="true" hidden="false"/>
    </xf>
    <xf numFmtId="167" fontId="28" fillId="0" borderId="24" xfId="20" applyFont="true" applyBorder="true" applyAlignment="true" applyProtection="false">
      <alignment horizontal="left" vertical="bottom" textRotation="0" wrapText="false" indent="0" shrinkToFit="false"/>
      <protection locked="true" hidden="false"/>
    </xf>
    <xf numFmtId="164" fontId="58" fillId="0" borderId="36" xfId="20" applyFont="true" applyBorder="true" applyAlignment="true" applyProtection="false">
      <alignment horizontal="left" vertical="bottom" textRotation="0" wrapText="false" indent="0" shrinkToFit="false"/>
      <protection locked="true" hidden="false"/>
    </xf>
    <xf numFmtId="164" fontId="58" fillId="0" borderId="22" xfId="20" applyFont="true" applyBorder="true" applyAlignment="true" applyProtection="false">
      <alignment horizontal="center" vertical="bottom" textRotation="0" wrapText="false" indent="0" shrinkToFit="false"/>
      <protection locked="true" hidden="false"/>
    </xf>
    <xf numFmtId="164" fontId="58" fillId="0" borderId="0" xfId="20" applyFont="true" applyBorder="true" applyAlignment="true" applyProtection="false">
      <alignment horizontal="left" vertical="bottom" textRotation="0" wrapText="false" indent="0" shrinkToFit="false"/>
      <protection locked="true" hidden="false"/>
    </xf>
    <xf numFmtId="164" fontId="58" fillId="0" borderId="0" xfId="20" applyFont="true" applyBorder="true" applyAlignment="true" applyProtection="false">
      <alignment horizontal="center" vertical="bottom" textRotation="0" wrapText="false" indent="0" shrinkToFit="false"/>
      <protection locked="true" hidden="false"/>
    </xf>
    <xf numFmtId="167" fontId="58" fillId="0" borderId="1" xfId="20" applyFont="true" applyBorder="true" applyAlignment="true" applyProtection="false">
      <alignment horizontal="center" vertical="bottom" textRotation="0" wrapText="false" indent="0" shrinkToFit="false"/>
      <protection locked="true" hidden="false"/>
    </xf>
    <xf numFmtId="167" fontId="58" fillId="0" borderId="0" xfId="20" applyFont="true" applyBorder="true" applyAlignment="true" applyProtection="false">
      <alignment horizontal="center" vertical="bottom" textRotation="0" wrapText="false" indent="0" shrinkToFit="false"/>
      <protection locked="true" hidden="false"/>
    </xf>
    <xf numFmtId="164" fontId="59" fillId="0" borderId="1" xfId="20" applyFont="true" applyBorder="true" applyAlignment="true" applyProtection="false">
      <alignment horizontal="center" vertical="bottom" textRotation="0" wrapText="false" indent="0" shrinkToFit="false"/>
      <protection locked="true" hidden="false"/>
    </xf>
    <xf numFmtId="164" fontId="28" fillId="19" borderId="36" xfId="20" applyFont="true" applyBorder="true" applyAlignment="true" applyProtection="false">
      <alignment horizontal="center" vertical="center" textRotation="0" wrapText="false" indent="0" shrinkToFit="false"/>
      <protection locked="true" hidden="false"/>
    </xf>
    <xf numFmtId="164" fontId="28" fillId="19" borderId="22" xfId="20" applyFont="true" applyBorder="true" applyAlignment="true" applyProtection="false">
      <alignment horizontal="center" vertical="bottom" textRotation="0" wrapText="false" indent="0" shrinkToFit="false"/>
      <protection locked="true" hidden="false"/>
    </xf>
    <xf numFmtId="164" fontId="28" fillId="19" borderId="27" xfId="20" applyFont="true" applyBorder="true" applyAlignment="true" applyProtection="false">
      <alignment horizontal="center" vertical="bottom" textRotation="0" wrapText="false" indent="0" shrinkToFit="false"/>
      <protection locked="true" hidden="false"/>
    </xf>
    <xf numFmtId="164" fontId="58" fillId="0" borderId="14" xfId="20" applyFont="true" applyBorder="true" applyAlignment="true" applyProtection="false">
      <alignment horizontal="left" vertical="bottom" textRotation="0" wrapText="false" indent="0" shrinkToFit="false"/>
      <protection locked="true" hidden="false"/>
    </xf>
    <xf numFmtId="169" fontId="28" fillId="0" borderId="30" xfId="20" applyFont="true" applyBorder="true" applyAlignment="true" applyProtection="false">
      <alignment horizontal="center" vertical="bottom" textRotation="0" wrapText="false" indent="0" shrinkToFit="false"/>
      <protection locked="true" hidden="false"/>
    </xf>
    <xf numFmtId="164" fontId="58" fillId="0" borderId="8" xfId="20" applyFont="true" applyBorder="true" applyAlignment="true" applyProtection="false">
      <alignment horizontal="left" vertical="bottom" textRotation="0" wrapText="false" indent="0" shrinkToFit="false"/>
      <protection locked="true" hidden="false"/>
    </xf>
    <xf numFmtId="167" fontId="58" fillId="0" borderId="8" xfId="20" applyFont="true" applyBorder="true" applyAlignment="true" applyProtection="false">
      <alignment horizontal="left" vertical="bottom" textRotation="0" wrapText="true" indent="0" shrinkToFit="false"/>
      <protection locked="true" hidden="false"/>
    </xf>
    <xf numFmtId="169" fontId="28" fillId="3" borderId="9" xfId="20" applyFont="true" applyBorder="true" applyAlignment="true" applyProtection="false">
      <alignment horizontal="center" vertical="bottom" textRotation="0" wrapText="false" indent="0" shrinkToFit="false"/>
      <protection locked="true" hidden="false"/>
    </xf>
    <xf numFmtId="164" fontId="58" fillId="0" borderId="8" xfId="20" applyFont="true" applyBorder="true" applyAlignment="true" applyProtection="false">
      <alignment horizontal="center" vertical="bottom" textRotation="0" wrapText="true" indent="0" shrinkToFit="false"/>
      <protection locked="true" hidden="false"/>
    </xf>
    <xf numFmtId="164" fontId="50" fillId="0" borderId="0" xfId="20" applyFont="true" applyBorder="false" applyAlignment="true" applyProtection="false">
      <alignment horizontal="center" vertical="bottom" textRotation="0" wrapText="true" indent="0" shrinkToFit="false"/>
      <protection locked="true" hidden="false"/>
    </xf>
    <xf numFmtId="167" fontId="50" fillId="0" borderId="9" xfId="20" applyFont="true" applyBorder="true" applyAlignment="true" applyProtection="false">
      <alignment horizontal="center" vertical="bottom" textRotation="0" wrapText="true" indent="0" shrinkToFit="false"/>
      <protection locked="true" hidden="false"/>
    </xf>
    <xf numFmtId="167" fontId="60" fillId="0" borderId="9" xfId="20" applyFont="true" applyBorder="true" applyAlignment="true" applyProtection="false">
      <alignment horizontal="center" vertical="bottom" textRotation="0" wrapText="false" indent="0" shrinkToFit="false"/>
      <protection locked="true" hidden="false"/>
    </xf>
    <xf numFmtId="164" fontId="61" fillId="0" borderId="8" xfId="20" applyFont="true" applyBorder="true" applyAlignment="true" applyProtection="false">
      <alignment horizontal="left" vertical="bottom" textRotation="0" wrapText="true" indent="0" shrinkToFit="false"/>
      <protection locked="true" hidden="false"/>
    </xf>
    <xf numFmtId="164" fontId="61" fillId="0" borderId="9" xfId="20" applyFont="true" applyBorder="true" applyAlignment="true" applyProtection="false">
      <alignment horizontal="left" vertical="bottom" textRotation="0" wrapText="true" indent="0" shrinkToFit="false"/>
      <protection locked="true" hidden="false"/>
    </xf>
    <xf numFmtId="164" fontId="50" fillId="0" borderId="26" xfId="20" applyFont="true" applyBorder="true" applyAlignment="true" applyProtection="false">
      <alignment horizontal="center" vertical="bottom" textRotation="0" wrapText="true" indent="0" shrinkToFit="false"/>
      <protection locked="true" hidden="false"/>
    </xf>
    <xf numFmtId="167" fontId="60" fillId="0" borderId="26" xfId="20" applyFont="true" applyBorder="true" applyAlignment="true" applyProtection="false">
      <alignment horizontal="center" vertical="bottom" textRotation="0" wrapText="true" indent="0" shrinkToFit="false"/>
      <protection locked="true" hidden="false"/>
    </xf>
    <xf numFmtId="164" fontId="50" fillId="0" borderId="0" xfId="20" applyFont="true" applyBorder="true" applyAlignment="true" applyProtection="false">
      <alignment horizontal="center" vertical="bottom" textRotation="0" wrapText="true" indent="0" shrinkToFit="false"/>
      <protection locked="true" hidden="false"/>
    </xf>
    <xf numFmtId="164" fontId="46" fillId="0" borderId="8" xfId="20" applyFont="true" applyBorder="true" applyAlignment="true" applyProtection="false">
      <alignment horizontal="left" vertical="bottom" textRotation="0" wrapText="true" indent="0" shrinkToFit="false"/>
      <protection locked="true" hidden="false"/>
    </xf>
    <xf numFmtId="169" fontId="50" fillId="0" borderId="14" xfId="20" applyFont="true" applyBorder="true" applyAlignment="true" applyProtection="false">
      <alignment horizontal="center" vertical="bottom" textRotation="0" wrapText="true" indent="0" shrinkToFit="false"/>
      <protection locked="true" hidden="false"/>
    </xf>
    <xf numFmtId="167" fontId="60" fillId="0" borderId="15" xfId="20" applyFont="true" applyBorder="true" applyAlignment="true" applyProtection="false">
      <alignment horizontal="center" vertical="bottom" textRotation="0" wrapText="true" indent="0" shrinkToFit="false"/>
      <protection locked="true" hidden="false"/>
    </xf>
    <xf numFmtId="164" fontId="50" fillId="0" borderId="23" xfId="20" applyFont="true" applyBorder="true" applyAlignment="true" applyProtection="false">
      <alignment horizontal="center" vertical="bottom" textRotation="0" wrapText="true" indent="0" shrinkToFit="false"/>
      <protection locked="true" hidden="false"/>
    </xf>
    <xf numFmtId="164" fontId="52" fillId="0" borderId="8" xfId="20" applyFont="true" applyBorder="true" applyAlignment="true" applyProtection="false">
      <alignment horizontal="left" vertical="bottom" textRotation="0" wrapText="true" indent="0" shrinkToFit="false"/>
      <protection locked="true" hidden="false"/>
    </xf>
    <xf numFmtId="164" fontId="50" fillId="0" borderId="8" xfId="20" applyFont="true" applyBorder="true" applyAlignment="true" applyProtection="false">
      <alignment horizontal="center" vertical="bottom" textRotation="0" wrapText="false" indent="0" shrinkToFit="false"/>
      <protection locked="true" hidden="false"/>
    </xf>
    <xf numFmtId="164" fontId="50" fillId="0" borderId="9" xfId="20" applyFont="true" applyBorder="true" applyAlignment="true" applyProtection="false">
      <alignment horizontal="center" vertical="bottom" textRotation="0" wrapText="false" indent="0" shrinkToFit="false"/>
      <protection locked="true" hidden="false"/>
    </xf>
    <xf numFmtId="164" fontId="52" fillId="0" borderId="35" xfId="20" applyFont="true" applyBorder="true" applyAlignment="true" applyProtection="false">
      <alignment horizontal="left" vertical="bottom" textRotation="0" wrapText="true" indent="0" shrinkToFit="false"/>
      <protection locked="true" hidden="false"/>
    </xf>
    <xf numFmtId="164" fontId="52" fillId="0" borderId="57" xfId="20" applyFont="true" applyBorder="true" applyAlignment="true" applyProtection="false">
      <alignment horizontal="left" vertical="bottom" textRotation="0" wrapText="true" indent="0" shrinkToFit="false"/>
      <protection locked="true" hidden="false"/>
    </xf>
    <xf numFmtId="164" fontId="52" fillId="0" borderId="47" xfId="20" applyFont="true" applyBorder="true" applyAlignment="true" applyProtection="false">
      <alignment horizontal="left" vertical="bottom" textRotation="0" wrapText="true" indent="0" shrinkToFit="false"/>
      <protection locked="true" hidden="false"/>
    </xf>
    <xf numFmtId="171" fontId="50" fillId="0" borderId="8" xfId="20" applyFont="true" applyBorder="true" applyAlignment="true" applyProtection="false">
      <alignment horizontal="center" vertical="bottom" textRotation="0" wrapText="false" indent="0" shrinkToFit="false"/>
      <protection locked="true" hidden="false"/>
    </xf>
    <xf numFmtId="167" fontId="50" fillId="0" borderId="9" xfId="20" applyFont="true" applyBorder="true" applyAlignment="true" applyProtection="false">
      <alignment horizontal="center" vertical="bottom" textRotation="0" wrapText="false" indent="0" shrinkToFit="false"/>
      <protection locked="true" hidden="false"/>
    </xf>
    <xf numFmtId="167" fontId="28" fillId="0" borderId="8" xfId="20" applyFont="true" applyBorder="true" applyAlignment="true" applyProtection="false">
      <alignment horizontal="center" vertical="bottom" textRotation="0" wrapText="false" indent="0" shrinkToFit="false"/>
      <protection locked="true" hidden="false"/>
    </xf>
    <xf numFmtId="164" fontId="58" fillId="0" borderId="8" xfId="20" applyFont="true" applyBorder="true" applyAlignment="true" applyProtection="false">
      <alignment horizontal="left" vertical="bottom" textRotation="0" wrapText="true" indent="0" shrinkToFit="false"/>
      <protection locked="true" hidden="false"/>
    </xf>
    <xf numFmtId="164" fontId="62" fillId="0" borderId="8" xfId="20" applyFont="true" applyBorder="true" applyAlignment="true" applyProtection="false">
      <alignment horizontal="center" vertical="bottom" textRotation="0" wrapText="true" indent="0" shrinkToFit="false"/>
      <protection locked="true" hidden="false"/>
    </xf>
    <xf numFmtId="164" fontId="58" fillId="0" borderId="10" xfId="20" applyFont="true" applyBorder="true" applyAlignment="true" applyProtection="false">
      <alignment horizontal="left" vertical="bottom" textRotation="0" wrapText="true" indent="0" shrinkToFit="false"/>
      <protection locked="true" hidden="false"/>
    </xf>
    <xf numFmtId="164" fontId="28" fillId="0" borderId="20" xfId="20" applyFont="true" applyBorder="true" applyAlignment="true" applyProtection="false">
      <alignment horizontal="center" vertical="bottom" textRotation="0" wrapText="false" indent="0" shrinkToFit="false"/>
      <protection locked="true" hidden="false"/>
    </xf>
    <xf numFmtId="167" fontId="28" fillId="0" borderId="10" xfId="20" applyFont="true" applyBorder="true" applyAlignment="true" applyProtection="false">
      <alignment horizontal="center" vertical="bottom" textRotation="0" wrapText="false" indent="0" shrinkToFit="false"/>
      <protection locked="true" hidden="false"/>
    </xf>
    <xf numFmtId="164" fontId="28" fillId="0" borderId="12" xfId="20" applyFont="true" applyBorder="true" applyAlignment="true" applyProtection="false">
      <alignment horizontal="left" vertical="bottom" textRotation="0" wrapText="false" indent="0" shrinkToFit="false"/>
      <protection locked="true" hidden="false"/>
    </xf>
    <xf numFmtId="164" fontId="28" fillId="0" borderId="1" xfId="2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7" fillId="17" borderId="6" xfId="0" applyFont="true" applyBorder="true" applyAlignment="true" applyProtection="false">
      <alignment horizontal="center" vertical="bottom" textRotation="0" wrapText="false" indent="0" shrinkToFit="false"/>
      <protection locked="true" hidden="false"/>
    </xf>
    <xf numFmtId="164" fontId="17" fillId="0" borderId="44" xfId="0" applyFont="true" applyBorder="true" applyAlignment="true" applyProtection="false">
      <alignment horizontal="center" vertical="bottom" textRotation="0" wrapText="false" indent="0" shrinkToFit="false"/>
      <protection locked="true" hidden="false"/>
    </xf>
    <xf numFmtId="164" fontId="17" fillId="0" borderId="52" xfId="0" applyFont="true" applyBorder="true" applyAlignment="true" applyProtection="false">
      <alignment horizontal="center" vertical="bottom" textRotation="0" wrapText="false" indent="0" shrinkToFit="false"/>
      <protection locked="true" hidden="false"/>
    </xf>
    <xf numFmtId="164" fontId="17" fillId="0" borderId="45" xfId="0" applyFont="true" applyBorder="true" applyAlignment="true" applyProtection="false">
      <alignment horizontal="center" vertical="bottom" textRotation="0" wrapText="false" indent="0" shrinkToFit="false"/>
      <protection locked="true" hidden="false"/>
    </xf>
    <xf numFmtId="164" fontId="17" fillId="0" borderId="42" xfId="0" applyFont="true" applyBorder="true" applyAlignment="true" applyProtection="false">
      <alignment horizontal="center" vertical="bottom" textRotation="0" wrapText="false" indent="0" shrinkToFit="false"/>
      <protection locked="true" hidden="false"/>
    </xf>
    <xf numFmtId="164" fontId="17" fillId="17" borderId="45" xfId="0" applyFont="true" applyBorder="true" applyAlignment="true" applyProtection="false">
      <alignment horizontal="center" vertical="bottom" textRotation="0" wrapText="false" indent="0" shrinkToFit="false"/>
      <protection locked="true" hidden="false"/>
    </xf>
    <xf numFmtId="164" fontId="17" fillId="0" borderId="53" xfId="0" applyFont="true" applyBorder="true" applyAlignment="true" applyProtection="false">
      <alignment horizontal="center" vertical="bottom" textRotation="0" wrapText="false" indent="0" shrinkToFit="false"/>
      <protection locked="true" hidden="false"/>
    </xf>
    <xf numFmtId="164" fontId="17"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center" vertical="bottom" textRotation="0" wrapText="true" indent="0" shrinkToFit="false"/>
      <protection locked="true" hidden="false"/>
    </xf>
    <xf numFmtId="164" fontId="0" fillId="0" borderId="47" xfId="0" applyFont="true" applyBorder="true" applyAlignment="true" applyProtection="false">
      <alignment horizontal="center" vertical="bottom" textRotation="0" wrapText="true" indent="0" shrinkToFit="false"/>
      <protection locked="true" hidden="false"/>
    </xf>
    <xf numFmtId="164" fontId="0" fillId="0" borderId="9" xfId="0" applyFont="true" applyBorder="true" applyAlignment="true" applyProtection="false">
      <alignment horizontal="center" vertical="bottom" textRotation="0" wrapText="true" indent="0" shrinkToFit="false"/>
      <protection locked="true" hidden="false"/>
    </xf>
    <xf numFmtId="164" fontId="0" fillId="17" borderId="0" xfId="0" applyFont="tru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true" applyProtection="false">
      <alignment horizontal="general" vertical="bottom" textRotation="0" wrapText="true" indent="0" shrinkToFit="false"/>
      <protection locked="true" hidden="false"/>
    </xf>
    <xf numFmtId="164" fontId="0" fillId="0" borderId="49" xfId="0" applyFont="true" applyBorder="true" applyAlignment="true" applyProtection="false">
      <alignment horizontal="center" vertical="bottom" textRotation="0" wrapText="true" indent="0" shrinkToFit="false"/>
      <protection locked="true" hidden="false"/>
    </xf>
    <xf numFmtId="164" fontId="0" fillId="0" borderId="3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4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8"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true" applyProtection="false">
      <alignment horizontal="general" vertical="center" textRotation="0" wrapText="false" indent="0" shrinkToFit="false"/>
      <protection locked="true" hidden="false"/>
    </xf>
    <xf numFmtId="164" fontId="67" fillId="0" borderId="0" xfId="0" applyFont="true" applyBorder="true" applyAlignment="false" applyProtection="false">
      <alignment horizontal="general" vertical="bottom" textRotation="0" wrapText="false" indent="0" shrinkToFit="false"/>
      <protection locked="true" hidden="false"/>
    </xf>
    <xf numFmtId="164" fontId="68" fillId="0" borderId="1" xfId="0" applyFont="true" applyBorder="true" applyAlignment="true" applyProtection="false">
      <alignment horizontal="center" vertical="center" textRotation="0" wrapText="true" indent="0" shrinkToFit="false"/>
      <protection locked="true" hidden="false"/>
    </xf>
    <xf numFmtId="164" fontId="68" fillId="0" borderId="0" xfId="0" applyFont="true" applyBorder="true" applyAlignment="true" applyProtection="false">
      <alignment horizontal="general" vertical="center" textRotation="0" wrapText="true" indent="0" shrinkToFit="false"/>
      <protection locked="true" hidden="false"/>
    </xf>
    <xf numFmtId="164" fontId="68" fillId="0" borderId="1" xfId="0" applyFont="true" applyBorder="true" applyAlignment="true" applyProtection="false">
      <alignment horizontal="general" vertical="center" textRotation="0" wrapText="false" indent="0" shrinkToFit="false"/>
      <protection locked="true" hidden="false"/>
    </xf>
    <xf numFmtId="164" fontId="68" fillId="0" borderId="1" xfId="0" applyFont="true" applyBorder="true" applyAlignment="true" applyProtection="false">
      <alignment horizontal="general" vertical="center" textRotation="0" wrapText="true" indent="0" shrinkToFit="false"/>
      <protection locked="true" hidden="false"/>
    </xf>
    <xf numFmtId="164" fontId="68" fillId="0" borderId="2" xfId="0" applyFont="true" applyBorder="true" applyAlignment="true" applyProtection="false">
      <alignment horizontal="center" vertical="center" textRotation="0" wrapText="true" indent="0" shrinkToFit="false"/>
      <protection locked="true" hidden="false"/>
    </xf>
    <xf numFmtId="164" fontId="67" fillId="0" borderId="1" xfId="0" applyFont="true" applyBorder="true" applyAlignment="false" applyProtection="false">
      <alignment horizontal="general" vertical="bottom" textRotation="0" wrapText="false" indent="0" shrinkToFit="false"/>
      <protection locked="true" hidden="false"/>
    </xf>
    <xf numFmtId="164" fontId="70" fillId="0" borderId="17" xfId="0" applyFont="true" applyBorder="true" applyAlignment="true" applyProtection="false">
      <alignment horizontal="general" vertical="center" textRotation="0" wrapText="false" indent="0" shrinkToFit="false"/>
      <protection locked="true" hidden="false"/>
    </xf>
    <xf numFmtId="164" fontId="70" fillId="0" borderId="31" xfId="0" applyFont="true" applyBorder="true" applyAlignment="true" applyProtection="false">
      <alignment horizontal="general" vertical="center" textRotation="0" wrapText="false" indent="0" shrinkToFit="false"/>
      <protection locked="true" hidden="false"/>
    </xf>
    <xf numFmtId="164" fontId="70" fillId="0" borderId="17" xfId="0" applyFont="true" applyBorder="true" applyAlignment="true" applyProtection="false">
      <alignment horizontal="center" vertical="center" textRotation="0" wrapText="false" indent="0" shrinkToFit="false"/>
      <protection locked="true" hidden="false"/>
    </xf>
    <xf numFmtId="164" fontId="70" fillId="0" borderId="61" xfId="0" applyFont="true" applyBorder="true" applyAlignment="true" applyProtection="false">
      <alignment horizontal="center" vertical="center" textRotation="0" wrapText="true" indent="0" shrinkToFit="false"/>
      <protection locked="true" hidden="false"/>
    </xf>
    <xf numFmtId="164" fontId="67" fillId="0" borderId="1" xfId="0" applyFont="true" applyBorder="true" applyAlignment="true" applyProtection="false">
      <alignment horizontal="general" vertical="bottom" textRotation="0" wrapText="true" indent="0" shrinkToFit="false"/>
      <protection locked="true" hidden="false"/>
    </xf>
    <xf numFmtId="164" fontId="68" fillId="0" borderId="52" xfId="0" applyFont="true" applyBorder="true" applyAlignment="true" applyProtection="false">
      <alignment horizontal="general" vertical="center" textRotation="0" wrapText="true" indent="0" shrinkToFit="false"/>
      <protection locked="true" hidden="false"/>
    </xf>
    <xf numFmtId="164" fontId="68" fillId="0" borderId="5" xfId="0" applyFont="true" applyBorder="true" applyAlignment="true" applyProtection="false">
      <alignment horizontal="general" vertical="center" textRotation="0" wrapText="true" indent="0" shrinkToFit="false"/>
      <protection locked="true" hidden="false"/>
    </xf>
    <xf numFmtId="164" fontId="68" fillId="0" borderId="52" xfId="0" applyFont="true" applyBorder="true" applyAlignment="true" applyProtection="false">
      <alignment horizontal="center" vertical="center" textRotation="0" wrapText="true" indent="0" shrinkToFit="false"/>
      <protection locked="true" hidden="false"/>
    </xf>
    <xf numFmtId="167" fontId="68" fillId="0" borderId="4" xfId="0" applyFont="true" applyBorder="true" applyAlignment="true" applyProtection="false">
      <alignment horizontal="center" vertical="center" textRotation="0" wrapText="true" indent="0" shrinkToFit="false"/>
      <protection locked="true" hidden="false"/>
    </xf>
    <xf numFmtId="164" fontId="70" fillId="0" borderId="39" xfId="0" applyFont="true" applyBorder="true" applyAlignment="true" applyProtection="false">
      <alignment horizontal="center" vertical="center" textRotation="0" wrapText="true" indent="0" shrinkToFit="false"/>
      <protection locked="true" hidden="false"/>
    </xf>
    <xf numFmtId="164" fontId="70" fillId="0" borderId="55" xfId="0" applyFont="true" applyBorder="true" applyAlignment="true" applyProtection="false">
      <alignment horizontal="center" vertical="center" textRotation="0" wrapText="true" indent="0" shrinkToFit="false"/>
      <protection locked="true" hidden="false"/>
    </xf>
    <xf numFmtId="164" fontId="67" fillId="0" borderId="45" xfId="0" applyFont="true" applyBorder="true" applyAlignment="false" applyProtection="false">
      <alignment horizontal="general" vertical="bottom" textRotation="0" wrapText="false" indent="0" shrinkToFit="false"/>
      <protection locked="true" hidden="false"/>
    </xf>
    <xf numFmtId="164" fontId="68" fillId="17" borderId="52" xfId="0" applyFont="true" applyBorder="true" applyAlignment="true" applyProtection="false">
      <alignment horizontal="general" vertical="center" textRotation="0" wrapText="false" indent="0" shrinkToFit="false"/>
      <protection locked="true" hidden="false"/>
    </xf>
    <xf numFmtId="164" fontId="68" fillId="17" borderId="5" xfId="0" applyFont="true" applyBorder="true" applyAlignment="true" applyProtection="false">
      <alignment horizontal="center" vertical="center" textRotation="0" wrapText="false" indent="0" shrinkToFit="false"/>
      <protection locked="true" hidden="false"/>
    </xf>
    <xf numFmtId="168" fontId="68" fillId="17" borderId="0" xfId="0" applyFont="true" applyBorder="true" applyAlignment="true" applyProtection="false">
      <alignment horizontal="center" vertical="center" textRotation="0" wrapText="false" indent="0" shrinkToFit="false"/>
      <protection locked="true" hidden="false"/>
    </xf>
    <xf numFmtId="167" fontId="68" fillId="17" borderId="0" xfId="0" applyFont="true" applyBorder="true" applyAlignment="true" applyProtection="false">
      <alignment horizontal="center" vertical="center" textRotation="0" wrapText="false" indent="0" shrinkToFit="false"/>
      <protection locked="true" hidden="false"/>
    </xf>
    <xf numFmtId="164" fontId="68" fillId="0" borderId="5" xfId="0" applyFont="true" applyBorder="true" applyAlignment="true" applyProtection="false">
      <alignment horizontal="center" vertical="center" textRotation="0" wrapText="true" indent="0" shrinkToFit="false"/>
      <protection locked="true" hidden="false"/>
    </xf>
    <xf numFmtId="164" fontId="68" fillId="0" borderId="12" xfId="0" applyFont="true" applyBorder="true" applyAlignment="true" applyProtection="false">
      <alignment horizontal="general" vertical="center" textRotation="0" wrapText="true" indent="0" shrinkToFit="false"/>
      <protection locked="true" hidden="false"/>
    </xf>
    <xf numFmtId="164" fontId="68" fillId="0" borderId="36" xfId="0" applyFont="true" applyBorder="true" applyAlignment="true" applyProtection="false">
      <alignment horizontal="center" vertical="center" textRotation="0" wrapText="true" indent="0" shrinkToFit="false"/>
      <protection locked="true" hidden="false"/>
    </xf>
    <xf numFmtId="164" fontId="68" fillId="0" borderId="52" xfId="0" applyFont="true" applyBorder="true" applyAlignment="true" applyProtection="false">
      <alignment horizontal="general" vertical="center" textRotation="0" wrapText="false" indent="0" shrinkToFit="false"/>
      <protection locked="true" hidden="false"/>
    </xf>
    <xf numFmtId="164" fontId="68" fillId="0" borderId="5" xfId="0" applyFont="true" applyBorder="true" applyAlignment="true" applyProtection="false">
      <alignment horizontal="center" vertical="center" textRotation="0" wrapText="false" indent="0" shrinkToFit="false"/>
      <protection locked="true" hidden="false"/>
    </xf>
    <xf numFmtId="168" fontId="68" fillId="0" borderId="0" xfId="0" applyFont="true" applyBorder="true" applyAlignment="true" applyProtection="false">
      <alignment horizontal="center" vertical="center" textRotation="0" wrapText="false" indent="0" shrinkToFit="false"/>
      <protection locked="true" hidden="false"/>
    </xf>
    <xf numFmtId="167" fontId="68" fillId="0" borderId="0" xfId="0" applyFont="true" applyBorder="true" applyAlignment="true" applyProtection="false">
      <alignment horizontal="center" vertical="center" textRotation="0" wrapText="false" indent="0" shrinkToFit="false"/>
      <protection locked="true" hidden="false"/>
    </xf>
    <xf numFmtId="167" fontId="67" fillId="0" borderId="0" xfId="0" applyFont="true" applyBorder="true" applyAlignment="false" applyProtection="false">
      <alignment horizontal="general" vertical="bottom" textRotation="0" wrapText="false" indent="0" shrinkToFit="false"/>
      <protection locked="true" hidden="false"/>
    </xf>
    <xf numFmtId="164" fontId="68" fillId="0" borderId="42" xfId="0" applyFont="true" applyBorder="true" applyAlignment="true" applyProtection="false">
      <alignment horizontal="general" vertical="center" textRotation="0" wrapText="true" indent="0" shrinkToFit="false"/>
      <protection locked="true" hidden="false"/>
    </xf>
    <xf numFmtId="164" fontId="68" fillId="0" borderId="40" xfId="0" applyFont="true" applyBorder="true" applyAlignment="true" applyProtection="false">
      <alignment horizontal="center" vertical="center" textRotation="0" wrapText="true" indent="0" shrinkToFit="false"/>
      <protection locked="true" hidden="false"/>
    </xf>
    <xf numFmtId="164" fontId="72" fillId="0" borderId="53" xfId="0" applyFont="true" applyBorder="true" applyAlignment="true" applyProtection="false">
      <alignment horizontal="general" vertical="center" textRotation="0" wrapText="true" indent="0" shrinkToFit="false"/>
      <protection locked="true" hidden="false"/>
    </xf>
    <xf numFmtId="164" fontId="70" fillId="0" borderId="44" xfId="0" applyFont="true" applyBorder="true" applyAlignment="true" applyProtection="false">
      <alignment horizontal="general" vertical="center" textRotation="0" wrapText="true" indent="0" shrinkToFit="false"/>
      <protection locked="true" hidden="false"/>
    </xf>
    <xf numFmtId="164" fontId="68" fillId="0" borderId="4" xfId="0" applyFont="true" applyBorder="true" applyAlignment="true" applyProtection="false">
      <alignment horizontal="general" vertical="center" textRotation="0" wrapText="true" indent="0" shrinkToFit="false"/>
      <protection locked="true" hidden="false"/>
    </xf>
    <xf numFmtId="164" fontId="68" fillId="0" borderId="3" xfId="0" applyFont="true" applyBorder="true" applyAlignment="true" applyProtection="false">
      <alignment horizontal="center" vertical="center" textRotation="0" wrapText="true" indent="0" shrinkToFit="false"/>
      <protection locked="true" hidden="false"/>
    </xf>
    <xf numFmtId="164" fontId="68" fillId="0" borderId="53" xfId="0" applyFont="true" applyBorder="true" applyAlignment="true" applyProtection="false">
      <alignment horizontal="general" vertical="center" textRotation="0" wrapText="true" indent="0" shrinkToFit="false"/>
      <protection locked="true" hidden="false"/>
    </xf>
    <xf numFmtId="164" fontId="68" fillId="17" borderId="6" xfId="0" applyFont="true" applyBorder="true" applyAlignment="true" applyProtection="false">
      <alignment horizontal="center" vertical="center" textRotation="0" wrapText="true" indent="0" shrinkToFit="false"/>
      <protection locked="true" hidden="false"/>
    </xf>
    <xf numFmtId="164" fontId="68" fillId="17" borderId="37" xfId="0" applyFont="true" applyBorder="true" applyAlignment="true" applyProtection="false">
      <alignment horizontal="center" vertical="center" textRotation="0" wrapText="true" indent="0" shrinkToFit="false"/>
      <protection locked="true" hidden="false"/>
    </xf>
    <xf numFmtId="164" fontId="68" fillId="0" borderId="6" xfId="0" applyFont="true" applyBorder="true" applyAlignment="true" applyProtection="false">
      <alignment horizontal="center" vertical="center" textRotation="0" wrapText="true" indent="0" shrinkToFit="false"/>
      <protection locked="true" hidden="false"/>
    </xf>
    <xf numFmtId="164" fontId="68" fillId="0" borderId="37" xfId="0" applyFont="true" applyBorder="true" applyAlignment="true" applyProtection="false">
      <alignment horizontal="center" vertical="center" textRotation="0" wrapText="true" indent="0" shrinkToFit="false"/>
      <protection locked="true" hidden="false"/>
    </xf>
    <xf numFmtId="164" fontId="68" fillId="0" borderId="4" xfId="0" applyFont="true" applyBorder="true" applyAlignment="true" applyProtection="false">
      <alignment horizontal="center" vertical="center" textRotation="0" wrapText="false" indent="0" shrinkToFit="false"/>
      <protection locked="true" hidden="false"/>
    </xf>
    <xf numFmtId="164" fontId="68" fillId="0" borderId="41" xfId="0" applyFont="true" applyBorder="true" applyAlignment="true" applyProtection="false">
      <alignment horizontal="center" vertical="center" textRotation="0" wrapText="true" indent="0" shrinkToFit="false"/>
      <protection locked="true" hidden="false"/>
    </xf>
    <xf numFmtId="164" fontId="68" fillId="17" borderId="5" xfId="0" applyFont="true" applyBorder="true" applyAlignment="true" applyProtection="false">
      <alignment horizontal="center" vertical="center" textRotation="0" wrapText="true" indent="0" shrinkToFit="false"/>
      <protection locked="true" hidden="false"/>
    </xf>
    <xf numFmtId="164" fontId="73" fillId="0" borderId="1" xfId="0" applyFont="true" applyBorder="true" applyAlignment="true" applyProtection="false">
      <alignment horizontal="center" vertical="center" textRotation="0" wrapText="true" indent="0" shrinkToFit="false"/>
      <protection locked="true" hidden="false"/>
    </xf>
    <xf numFmtId="164" fontId="73" fillId="0" borderId="2" xfId="0" applyFont="true" applyBorder="true" applyAlignment="true" applyProtection="false">
      <alignment horizontal="center" vertical="center" textRotation="0" wrapText="true" indent="0" shrinkToFit="false"/>
      <protection locked="true" hidden="false"/>
    </xf>
    <xf numFmtId="164" fontId="73" fillId="17" borderId="1" xfId="0" applyFont="true" applyBorder="true" applyAlignment="true" applyProtection="false">
      <alignment horizontal="center" vertical="center" textRotation="0" wrapText="true" indent="0" shrinkToFit="false"/>
      <protection locked="true" hidden="false"/>
    </xf>
    <xf numFmtId="164" fontId="73" fillId="17" borderId="2" xfId="0" applyFont="true" applyBorder="true" applyAlignment="true" applyProtection="false">
      <alignment horizontal="center" vertical="center" textRotation="0" wrapText="true" indent="0" shrinkToFit="false"/>
      <protection locked="true" hidden="false"/>
    </xf>
    <xf numFmtId="164" fontId="68" fillId="0" borderId="3" xfId="0" applyFont="true" applyBorder="true" applyAlignment="true" applyProtection="false">
      <alignment horizontal="general" vertical="center" textRotation="0" wrapText="true" indent="0" shrinkToFit="false"/>
      <protection locked="true" hidden="false"/>
    </xf>
    <xf numFmtId="164" fontId="67" fillId="0" borderId="53" xfId="0" applyFont="true" applyBorder="true" applyAlignment="false" applyProtection="false">
      <alignment horizontal="general" vertical="bottom" textRotation="0" wrapText="false" indent="0" shrinkToFit="false"/>
      <protection locked="true" hidden="false"/>
    </xf>
    <xf numFmtId="164" fontId="68" fillId="0" borderId="2" xfId="0" applyFont="true" applyBorder="true" applyAlignment="true" applyProtection="false">
      <alignment horizontal="general" vertical="center" textRotation="0" wrapText="false" indent="0" shrinkToFit="false"/>
      <protection locked="true" hidden="false"/>
    </xf>
    <xf numFmtId="164" fontId="68" fillId="0" borderId="1" xfId="0" applyFont="true" applyBorder="true" applyAlignment="true" applyProtection="false">
      <alignment horizontal="center" vertical="center" textRotation="0" wrapText="false" indent="0" shrinkToFit="false"/>
      <protection locked="true" hidden="false"/>
    </xf>
    <xf numFmtId="164" fontId="72" fillId="0" borderId="3" xfId="0" applyFont="true" applyBorder="true" applyAlignment="true" applyProtection="false">
      <alignment horizontal="general" vertical="center" textRotation="0" wrapText="true" indent="0" shrinkToFit="false"/>
      <protection locked="true" hidden="false"/>
    </xf>
    <xf numFmtId="164" fontId="73" fillId="0" borderId="3" xfId="0" applyFont="true" applyBorder="true" applyAlignment="true" applyProtection="false">
      <alignment horizontal="center" vertical="center" textRotation="0" wrapText="true" indent="0" shrinkToFit="false"/>
      <protection locked="true" hidden="false"/>
    </xf>
    <xf numFmtId="164" fontId="73" fillId="0" borderId="4" xfId="0" applyFont="true" applyBorder="true" applyAlignment="true" applyProtection="false">
      <alignment horizontal="center" vertical="center" textRotation="0" wrapText="true" indent="0" shrinkToFit="false"/>
      <protection locked="true" hidden="false"/>
    </xf>
    <xf numFmtId="164" fontId="68" fillId="0" borderId="40" xfId="0" applyFont="true" applyBorder="true" applyAlignment="true" applyProtection="false">
      <alignment horizontal="general" vertical="center" textRotation="0" wrapText="true" indent="0" shrinkToFit="false"/>
      <protection locked="true" hidden="false"/>
    </xf>
    <xf numFmtId="164" fontId="73" fillId="0" borderId="40" xfId="0" applyFont="true" applyBorder="true" applyAlignment="true" applyProtection="false">
      <alignment horizontal="center" vertical="center" textRotation="0" wrapText="true" indent="0" shrinkToFit="false"/>
      <protection locked="true" hidden="false"/>
    </xf>
    <xf numFmtId="164" fontId="73" fillId="0" borderId="42" xfId="0" applyFont="true" applyBorder="true" applyAlignment="true" applyProtection="false">
      <alignment horizontal="center" vertical="center" textRotation="0" wrapText="true" indent="0" shrinkToFit="false"/>
      <protection locked="true" hidden="false"/>
    </xf>
    <xf numFmtId="164" fontId="72" fillId="0" borderId="45" xfId="0" applyFont="true" applyBorder="true" applyAlignment="true" applyProtection="false">
      <alignment horizontal="general" vertical="center" textRotation="0" wrapText="true" indent="0" shrinkToFit="false"/>
      <protection locked="true" hidden="false"/>
    </xf>
    <xf numFmtId="164" fontId="70" fillId="0" borderId="0" xfId="0" applyFont="true" applyBorder="true" applyAlignment="true" applyProtection="false">
      <alignment horizontal="general" vertical="center" textRotation="0" wrapText="true" indent="0" shrinkToFit="false"/>
      <protection locked="true" hidden="false"/>
    </xf>
    <xf numFmtId="164" fontId="70" fillId="0" borderId="45" xfId="0" applyFont="true" applyBorder="true" applyAlignment="true" applyProtection="false">
      <alignment horizontal="center" vertical="center" textRotation="0" wrapText="true" indent="0" shrinkToFit="false"/>
      <protection locked="true" hidden="false"/>
    </xf>
    <xf numFmtId="164" fontId="68" fillId="17" borderId="6" xfId="0" applyFont="true" applyBorder="true" applyAlignment="true" applyProtection="false">
      <alignment horizontal="general" vertical="center" textRotation="0" wrapText="true" indent="0" shrinkToFit="false"/>
      <protection locked="true" hidden="false"/>
    </xf>
    <xf numFmtId="164" fontId="68" fillId="0" borderId="42" xfId="0" applyFont="true" applyBorder="true" applyAlignment="true" applyProtection="false">
      <alignment horizontal="center" vertical="center" textRotation="0" wrapText="true" indent="0" shrinkToFit="false"/>
      <protection locked="true" hidden="false"/>
    </xf>
    <xf numFmtId="164" fontId="72" fillId="0" borderId="4" xfId="0" applyFont="true" applyBorder="true" applyAlignment="true" applyProtection="false">
      <alignment horizontal="general" vertical="center" textRotation="0" wrapText="true" indent="0" shrinkToFit="false"/>
      <protection locked="true" hidden="false"/>
    </xf>
    <xf numFmtId="164" fontId="68" fillId="0" borderId="4" xfId="0" applyFont="true" applyBorder="true" applyAlignment="true" applyProtection="false">
      <alignment horizontal="center" vertical="center" textRotation="0" wrapText="true" indent="0" shrinkToFit="false"/>
      <protection locked="true" hidden="false"/>
    </xf>
    <xf numFmtId="164" fontId="68" fillId="17" borderId="12" xfId="0" applyFont="true" applyBorder="true" applyAlignment="true" applyProtection="false">
      <alignment horizontal="center" vertical="center" textRotation="0" wrapText="true" indent="0" shrinkToFit="false"/>
      <protection locked="true" hidden="false"/>
    </xf>
    <xf numFmtId="164" fontId="73" fillId="17" borderId="3" xfId="0" applyFont="true" applyBorder="true" applyAlignment="true" applyProtection="false">
      <alignment horizontal="center" vertical="center" textRotation="0" wrapText="true" indent="0" shrinkToFit="false"/>
      <protection locked="true" hidden="false"/>
    </xf>
    <xf numFmtId="164" fontId="73" fillId="17" borderId="4" xfId="0" applyFont="true" applyBorder="true" applyAlignment="true" applyProtection="false">
      <alignment horizontal="center" vertical="center" textRotation="0" wrapText="true" indent="0" shrinkToFit="false"/>
      <protection locked="true" hidden="false"/>
    </xf>
    <xf numFmtId="164" fontId="73" fillId="17" borderId="48" xfId="0" applyFont="true" applyBorder="true" applyAlignment="true" applyProtection="false">
      <alignment horizontal="center" vertical="center" textRotation="0" wrapText="true" indent="0" shrinkToFit="false"/>
      <protection locked="true" hidden="false"/>
    </xf>
    <xf numFmtId="164" fontId="73" fillId="0" borderId="48" xfId="0" applyFont="true" applyBorder="true" applyAlignment="true" applyProtection="false">
      <alignment horizontal="center" vertical="center" textRotation="0" wrapText="true" indent="0" shrinkToFit="false"/>
      <protection locked="true" hidden="false"/>
    </xf>
    <xf numFmtId="164" fontId="68" fillId="0" borderId="6" xfId="0" applyFont="true" applyBorder="true" applyAlignment="true" applyProtection="false">
      <alignment horizontal="general" vertical="center" textRotation="0" wrapText="true" indent="0" shrinkToFit="false"/>
      <protection locked="true" hidden="false"/>
    </xf>
    <xf numFmtId="164" fontId="68" fillId="3" borderId="4" xfId="0" applyFont="true" applyBorder="true" applyAlignment="true" applyProtection="false">
      <alignment horizontal="general" vertical="center" textRotation="0" wrapText="true" indent="0" shrinkToFit="false"/>
      <protection locked="true" hidden="false"/>
    </xf>
    <xf numFmtId="164" fontId="73" fillId="3" borderId="3" xfId="0" applyFont="true" applyBorder="true" applyAlignment="true" applyProtection="false">
      <alignment horizontal="center" vertical="center" textRotation="0" wrapText="true" indent="0" shrinkToFit="false"/>
      <protection locked="true" hidden="false"/>
    </xf>
    <xf numFmtId="164" fontId="73" fillId="3" borderId="4" xfId="0" applyFont="true" applyBorder="true" applyAlignment="true" applyProtection="false">
      <alignment horizontal="center" vertical="center" textRotation="0" wrapText="true" indent="0" shrinkToFit="false"/>
      <protection locked="true" hidden="false"/>
    </xf>
    <xf numFmtId="164" fontId="72" fillId="3" borderId="4" xfId="0" applyFont="true" applyBorder="true" applyAlignment="true" applyProtection="false">
      <alignment horizontal="general" vertical="center" textRotation="0" wrapText="true" indent="0" shrinkToFit="false"/>
      <protection locked="true" hidden="false"/>
    </xf>
    <xf numFmtId="164" fontId="67" fillId="0" borderId="42" xfId="0" applyFont="true" applyBorder="true" applyAlignment="true" applyProtection="false">
      <alignment horizontal="general" vertical="center" textRotation="0" wrapText="true" indent="0" shrinkToFit="false"/>
      <protection locked="true" hidden="false"/>
    </xf>
    <xf numFmtId="164" fontId="68" fillId="3" borderId="42" xfId="0" applyFont="true" applyBorder="true" applyAlignment="true" applyProtection="false">
      <alignment horizontal="general" vertical="center" textRotation="0" wrapText="true" indent="0" shrinkToFit="false"/>
      <protection locked="true" hidden="false"/>
    </xf>
    <xf numFmtId="164" fontId="68" fillId="17" borderId="1" xfId="0" applyFont="true" applyBorder="true" applyAlignment="true" applyProtection="false">
      <alignment horizontal="center" vertical="center" textRotation="0" wrapText="true" indent="0" shrinkToFit="false"/>
      <protection locked="true" hidden="false"/>
    </xf>
    <xf numFmtId="164" fontId="68" fillId="0" borderId="0" xfId="0" applyFont="true" applyBorder="true" applyAlignment="true" applyProtection="false">
      <alignment horizontal="center" vertical="center" textRotation="0" wrapText="true" indent="0" shrinkToFit="false"/>
      <protection locked="true" hidden="false"/>
    </xf>
    <xf numFmtId="164" fontId="73" fillId="17" borderId="0" xfId="0" applyFont="true" applyBorder="true" applyAlignment="true" applyProtection="false">
      <alignment horizontal="center" vertical="center" textRotation="0" wrapText="true" indent="0" shrinkToFit="false"/>
      <protection locked="true" hidden="false"/>
    </xf>
    <xf numFmtId="164" fontId="72" fillId="0" borderId="0" xfId="0" applyFont="true" applyBorder="true" applyAlignment="true" applyProtection="false">
      <alignment horizontal="general" vertical="center" textRotation="0" wrapText="true" indent="0" shrinkToFit="false"/>
      <protection locked="true" hidden="false"/>
    </xf>
    <xf numFmtId="164" fontId="74" fillId="0" borderId="48" xfId="0" applyFont="true" applyBorder="true" applyAlignment="true" applyProtection="false">
      <alignment horizontal="center" vertical="center" textRotation="0" wrapText="true" indent="0" shrinkToFit="false"/>
      <protection locked="true" hidden="false"/>
    </xf>
    <xf numFmtId="164" fontId="39" fillId="0" borderId="5" xfId="0" applyFont="true" applyBorder="true" applyAlignment="true" applyProtection="false">
      <alignment horizontal="center" vertical="bottom" textRotation="0" wrapText="false" indent="0" shrinkToFit="false"/>
      <protection locked="true" hidden="false"/>
    </xf>
    <xf numFmtId="164" fontId="39" fillId="0" borderId="52" xfId="0" applyFont="true" applyBorder="true" applyAlignment="true" applyProtection="false">
      <alignment horizontal="center" vertical="center" textRotation="0" wrapText="true" indent="0" shrinkToFit="false"/>
      <protection locked="true" hidden="false"/>
    </xf>
    <xf numFmtId="164" fontId="39" fillId="0" borderId="6" xfId="0" applyFont="true" applyBorder="true" applyAlignment="true" applyProtection="false">
      <alignment horizontal="center" vertical="center" textRotation="0" wrapText="true" indent="0" shrinkToFit="false"/>
      <protection locked="true" hidden="false"/>
    </xf>
    <xf numFmtId="164" fontId="39" fillId="0" borderId="40" xfId="0" applyFont="true" applyBorder="true" applyAlignment="true" applyProtection="false">
      <alignment horizontal="center" vertical="bottom" textRotation="0" wrapText="false" indent="0" shrinkToFit="false"/>
      <protection locked="true" hidden="false"/>
    </xf>
    <xf numFmtId="164" fontId="39" fillId="0" borderId="42" xfId="0" applyFont="true" applyBorder="true" applyAlignment="true" applyProtection="false">
      <alignment horizontal="center" vertical="center" textRotation="0" wrapText="true" indent="0" shrinkToFit="false"/>
      <protection locked="true" hidden="false"/>
    </xf>
    <xf numFmtId="164" fontId="39" fillId="0" borderId="53" xfId="0" applyFont="true" applyBorder="true" applyAlignment="true" applyProtection="false">
      <alignment horizontal="center" vertical="center" textRotation="0" wrapText="true" indent="0" shrinkToFit="false"/>
      <protection locked="true" hidden="false"/>
    </xf>
    <xf numFmtId="164" fontId="39" fillId="0" borderId="48" xfId="0" applyFont="true" applyBorder="true" applyAlignment="true" applyProtection="false">
      <alignment horizontal="center" vertical="center" textRotation="0" wrapText="true" indent="0" shrinkToFit="false"/>
      <protection locked="true" hidden="false"/>
    </xf>
    <xf numFmtId="164" fontId="39" fillId="0" borderId="4" xfId="0" applyFont="true" applyBorder="true" applyAlignment="true" applyProtection="false">
      <alignment horizontal="center" vertical="center" textRotation="0" wrapText="true" indent="0" shrinkToFit="false"/>
      <protection locked="true" hidden="false"/>
    </xf>
    <xf numFmtId="164" fontId="39" fillId="0" borderId="3" xfId="0" applyFont="true" applyBorder="true" applyAlignment="true" applyProtection="false">
      <alignment horizontal="center" vertical="bottom" textRotation="0" wrapText="false" indent="0" shrinkToFit="false"/>
      <protection locked="true" hidden="false"/>
    </xf>
    <xf numFmtId="164" fontId="39" fillId="0" borderId="9" xfId="0" applyFont="true" applyBorder="true" applyAlignment="true" applyProtection="false">
      <alignment horizontal="center" vertical="bottom" textRotation="0" wrapText="false" indent="0" shrinkToFit="false"/>
      <protection locked="true" hidden="false"/>
    </xf>
    <xf numFmtId="164" fontId="39" fillId="0" borderId="9" xfId="0" applyFont="true" applyBorder="true" applyAlignment="true" applyProtection="false">
      <alignment horizontal="general" vertical="center" textRotation="0" wrapText="true" indent="0" shrinkToFit="false"/>
      <protection locked="true" hidden="false"/>
    </xf>
    <xf numFmtId="164" fontId="39" fillId="0" borderId="9" xfId="0" applyFont="true" applyBorder="true" applyAlignment="true" applyProtection="false">
      <alignment horizontal="center" vertical="center" textRotation="0" wrapText="true" indent="0" shrinkToFit="false"/>
      <protection locked="true" hidden="false"/>
    </xf>
    <xf numFmtId="164" fontId="39" fillId="0" borderId="9" xfId="0" applyFont="true" applyBorder="true" applyAlignment="true" applyProtection="false">
      <alignment horizontal="left" vertical="center" textRotation="0" wrapText="true" indent="0" shrinkToFit="false"/>
      <protection locked="true" hidden="false"/>
    </xf>
    <xf numFmtId="164" fontId="39" fillId="0" borderId="26" xfId="0" applyFont="true" applyBorder="true" applyAlignment="true" applyProtection="false">
      <alignment horizontal="center" vertical="bottom" textRotation="0" wrapText="false" indent="0" shrinkToFit="false"/>
      <protection locked="true" hidden="false"/>
    </xf>
    <xf numFmtId="164" fontId="39" fillId="0" borderId="26" xfId="0" applyFont="true" applyBorder="true" applyAlignment="true" applyProtection="false">
      <alignment horizontal="left" vertical="center" textRotation="0" wrapText="true" indent="0" shrinkToFit="false"/>
      <protection locked="true" hidden="false"/>
    </xf>
    <xf numFmtId="164" fontId="39" fillId="0" borderId="26" xfId="0" applyFont="true" applyBorder="true" applyAlignment="true" applyProtection="false">
      <alignment horizontal="center" vertical="center" textRotation="0" wrapText="true" indent="0" shrinkToFit="false"/>
      <protection locked="true" hidden="false"/>
    </xf>
    <xf numFmtId="164" fontId="74" fillId="0" borderId="0" xfId="0" applyFont="true" applyBorder="true" applyAlignment="true" applyProtection="false">
      <alignment horizontal="center" vertical="center" textRotation="0" wrapText="true" indent="0" shrinkToFit="false"/>
      <protection locked="true" hidden="false"/>
    </xf>
    <xf numFmtId="164" fontId="41" fillId="0" borderId="1" xfId="0" applyFont="true" applyBorder="true" applyAlignment="true" applyProtection="false">
      <alignment horizontal="center" vertical="center" textRotation="0" wrapText="true" indent="0" shrinkToFit="false"/>
      <protection locked="true" hidden="false"/>
    </xf>
    <xf numFmtId="164" fontId="41" fillId="0" borderId="0" xfId="0" applyFont="true" applyBorder="true" applyAlignment="true" applyProtection="false">
      <alignment horizontal="center" vertical="center" textRotation="0" wrapText="true" indent="0" shrinkToFit="false"/>
      <protection locked="true" hidden="false"/>
    </xf>
    <xf numFmtId="164" fontId="41" fillId="0" borderId="2" xfId="0" applyFont="true" applyBorder="true" applyAlignment="true" applyProtection="false">
      <alignment horizontal="center" vertical="center" textRotation="0" wrapText="true" indent="0" shrinkToFit="false"/>
      <protection locked="true" hidden="false"/>
    </xf>
    <xf numFmtId="164" fontId="41" fillId="0" borderId="40" xfId="0" applyFont="true" applyBorder="true" applyAlignment="true" applyProtection="false">
      <alignment horizontal="general" vertical="bottom" textRotation="0" wrapText="true" indent="0" shrinkToFit="false"/>
      <protection locked="true" hidden="false"/>
    </xf>
    <xf numFmtId="164" fontId="41" fillId="0" borderId="40" xfId="0" applyFont="true" applyBorder="true" applyAlignment="true" applyProtection="false">
      <alignment horizontal="general" vertical="center" textRotation="0" wrapText="true" indent="0" shrinkToFit="false"/>
      <protection locked="true" hidden="false"/>
    </xf>
    <xf numFmtId="164" fontId="41" fillId="0" borderId="0" xfId="0" applyFont="true" applyBorder="true" applyAlignment="true" applyProtection="false">
      <alignment horizontal="center" vertical="center" textRotation="90" wrapText="true" indent="0" shrinkToFit="false"/>
      <protection locked="true" hidden="false"/>
    </xf>
    <xf numFmtId="164" fontId="41" fillId="0" borderId="45" xfId="0" applyFont="true" applyBorder="true" applyAlignment="true" applyProtection="false">
      <alignment horizontal="general" vertical="center" textRotation="0" wrapText="true" indent="0" shrinkToFit="false"/>
      <protection locked="true" hidden="false"/>
    </xf>
    <xf numFmtId="164" fontId="41" fillId="0" borderId="52" xfId="0" applyFont="true" applyBorder="true" applyAlignment="true" applyProtection="false">
      <alignment horizontal="general" vertical="center" textRotation="0" wrapText="true" indent="0" shrinkToFit="false"/>
      <protection locked="true" hidden="false"/>
    </xf>
    <xf numFmtId="164" fontId="41" fillId="0" borderId="5" xfId="0" applyFont="true" applyBorder="true" applyAlignment="true" applyProtection="false">
      <alignment horizontal="general" vertical="center" textRotation="0" wrapText="true" indent="0" shrinkToFit="false"/>
      <protection locked="true" hidden="false"/>
    </xf>
    <xf numFmtId="164" fontId="41" fillId="0" borderId="4" xfId="0" applyFont="true" applyBorder="true" applyAlignment="true" applyProtection="false">
      <alignment horizontal="center" vertical="center" textRotation="0" wrapText="true" indent="0" shrinkToFit="false"/>
      <protection locked="true" hidden="false"/>
    </xf>
    <xf numFmtId="164" fontId="41" fillId="0" borderId="48" xfId="0" applyFont="true" applyBorder="true" applyAlignment="true" applyProtection="false">
      <alignment horizontal="center" vertical="center" textRotation="0" wrapText="true" indent="0" shrinkToFit="false"/>
      <protection locked="true" hidden="false"/>
    </xf>
    <xf numFmtId="164" fontId="41" fillId="0" borderId="0" xfId="0" applyFont="true" applyBorder="true" applyAlignment="true" applyProtection="false">
      <alignment horizontal="general" vertical="center" textRotation="0" wrapText="true" indent="0" shrinkToFit="false"/>
      <protection locked="true" hidden="false"/>
    </xf>
    <xf numFmtId="164" fontId="41" fillId="0" borderId="2" xfId="0" applyFont="true" applyBorder="true" applyAlignment="false" applyProtection="false">
      <alignment horizontal="general" vertical="bottom" textRotation="0" wrapText="false" indent="0" shrinkToFit="false"/>
      <protection locked="true" hidden="false"/>
    </xf>
    <xf numFmtId="164" fontId="41" fillId="0" borderId="3" xfId="0" applyFont="true" applyBorder="true" applyAlignment="true" applyProtection="false">
      <alignment horizontal="general" vertical="center" textRotation="0" wrapText="true" indent="0" shrinkToFit="false"/>
      <protection locked="true" hidden="false"/>
    </xf>
    <xf numFmtId="164" fontId="41" fillId="0" borderId="4" xfId="0" applyFont="true" applyBorder="true" applyAlignment="true" applyProtection="false">
      <alignment horizontal="general" vertical="center" textRotation="0" wrapText="true" indent="0" shrinkToFit="false"/>
      <protection locked="true" hidden="false"/>
    </xf>
    <xf numFmtId="164" fontId="41" fillId="0" borderId="1" xfId="0" applyFont="true" applyBorder="true" applyAlignment="false" applyProtection="false">
      <alignment horizontal="general" vertical="bottom" textRotation="0" wrapText="false" indent="0" shrinkToFit="false"/>
      <protection locked="true" hidden="false"/>
    </xf>
    <xf numFmtId="164" fontId="41" fillId="0" borderId="2" xfId="0" applyFont="true" applyBorder="true" applyAlignment="true" applyProtection="false">
      <alignment horizontal="left" vertical="center" textRotation="0" wrapText="true" indent="0" shrinkToFit="false"/>
      <protection locked="true" hidden="false"/>
    </xf>
    <xf numFmtId="164" fontId="41" fillId="0" borderId="30" xfId="0" applyFont="true" applyBorder="true" applyAlignment="true" applyProtection="false">
      <alignment horizontal="center" vertical="center" textRotation="0" wrapText="true" indent="0" shrinkToFit="false"/>
      <protection locked="true" hidden="false"/>
    </xf>
    <xf numFmtId="164" fontId="41" fillId="0" borderId="12" xfId="0" applyFont="true" applyBorder="true" applyAlignment="false" applyProtection="false">
      <alignment horizontal="general" vertical="bottom" textRotation="0" wrapText="false" indent="0" shrinkToFit="false"/>
      <protection locked="true" hidden="false"/>
    </xf>
    <xf numFmtId="164" fontId="41" fillId="0" borderId="40" xfId="0" applyFont="true" applyBorder="true" applyAlignment="false" applyProtection="false">
      <alignment horizontal="general" vertical="bottom" textRotation="0" wrapText="false" indent="0" shrinkToFit="false"/>
      <protection locked="true" hidden="false"/>
    </xf>
    <xf numFmtId="164" fontId="41" fillId="0" borderId="4" xfId="0" applyFont="true" applyBorder="true" applyAlignment="true" applyProtection="false">
      <alignment horizontal="left" vertical="center" textRotation="0" wrapText="true" indent="0" shrinkToFit="false"/>
      <protection locked="true" hidden="false"/>
    </xf>
    <xf numFmtId="164" fontId="41" fillId="0" borderId="45" xfId="0" applyFont="true" applyBorder="true" applyAlignment="false" applyProtection="false">
      <alignment horizontal="general" vertical="bottom" textRotation="0" wrapText="false" indent="0" shrinkToFit="false"/>
      <protection locked="true" hidden="false"/>
    </xf>
    <xf numFmtId="164" fontId="41" fillId="0" borderId="0" xfId="0" applyFont="true" applyBorder="true" applyAlignment="false" applyProtection="false">
      <alignment horizontal="general" vertical="bottom" textRotation="0" wrapText="false" indent="0" shrinkToFit="false"/>
      <protection locked="true" hidden="false"/>
    </xf>
    <xf numFmtId="164" fontId="41" fillId="0" borderId="9" xfId="0" applyFont="true" applyBorder="true" applyAlignment="true" applyProtection="false">
      <alignment horizontal="center" vertical="center" textRotation="0" wrapText="true" indent="0" shrinkToFit="false"/>
      <protection locked="true" hidden="false"/>
    </xf>
    <xf numFmtId="164" fontId="41" fillId="0" borderId="52" xfId="0" applyFont="true" applyBorder="true" applyAlignment="false" applyProtection="false">
      <alignment horizontal="general" vertical="bottom" textRotation="0" wrapText="false" indent="0" shrinkToFit="false"/>
      <protection locked="true" hidden="false"/>
    </xf>
    <xf numFmtId="164" fontId="41" fillId="0" borderId="5" xfId="0" applyFont="true" applyBorder="true" applyAlignment="true" applyProtection="false">
      <alignment horizontal="center" vertical="center" textRotation="0" wrapText="true" indent="0" shrinkToFit="false"/>
      <protection locked="true" hidden="false"/>
    </xf>
    <xf numFmtId="164" fontId="41" fillId="0" borderId="6" xfId="0" applyFont="true" applyBorder="true" applyAlignment="true" applyProtection="false">
      <alignment horizontal="general" vertical="center" textRotation="0" wrapText="true" indent="0" shrinkToFit="false"/>
      <protection locked="true" hidden="false"/>
    </xf>
    <xf numFmtId="164" fontId="41" fillId="0" borderId="6" xfId="0" applyFont="true" applyBorder="true" applyAlignment="true" applyProtection="false">
      <alignment horizontal="center" vertical="center" textRotation="0" wrapText="true" indent="0" shrinkToFit="false"/>
      <protection locked="true" hidden="false"/>
    </xf>
    <xf numFmtId="164" fontId="41" fillId="0" borderId="40" xfId="0" applyFont="true" applyBorder="true" applyAlignment="true" applyProtection="false">
      <alignment horizontal="center" vertical="center" textRotation="0" wrapText="true" indent="0" shrinkToFit="false"/>
      <protection locked="true" hidden="false"/>
    </xf>
    <xf numFmtId="164" fontId="41" fillId="0" borderId="45"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5" fillId="3" borderId="0" xfId="0" applyFont="true" applyBorder="false" applyAlignment="true" applyProtection="false">
      <alignment horizontal="justify" vertical="center" textRotation="0" wrapText="true" indent="0" shrinkToFit="false"/>
      <protection locked="true" hidden="false"/>
    </xf>
    <xf numFmtId="164" fontId="78" fillId="0" borderId="5" xfId="0" applyFont="true" applyBorder="true" applyAlignment="true" applyProtection="false">
      <alignment horizontal="justify" vertical="center" textRotation="0" wrapText="true" indent="0" shrinkToFit="false"/>
      <protection locked="true" hidden="false"/>
    </xf>
    <xf numFmtId="164" fontId="79" fillId="0" borderId="3" xfId="0" applyFont="true" applyBorder="true" applyAlignment="true" applyProtection="false">
      <alignment horizontal="justify" vertical="center" textRotation="0" wrapText="true" indent="0" shrinkToFit="false"/>
      <protection locked="true" hidden="false"/>
    </xf>
    <xf numFmtId="164" fontId="41" fillId="0" borderId="5" xfId="0" applyFont="true" applyBorder="true" applyAlignment="false" applyProtection="false">
      <alignment horizontal="general" vertical="bottom" textRotation="0" wrapText="false" indent="0" shrinkToFit="false"/>
      <protection locked="true" hidden="false"/>
    </xf>
    <xf numFmtId="164" fontId="41" fillId="0" borderId="42" xfId="0" applyFont="true" applyBorder="true" applyAlignment="true" applyProtection="false">
      <alignment horizontal="general" vertical="center" textRotation="0" wrapText="true" indent="0" shrinkToFit="false"/>
      <protection locked="true" hidden="false"/>
    </xf>
    <xf numFmtId="164" fontId="41" fillId="0" borderId="42" xfId="0" applyFont="true" applyBorder="true" applyAlignment="true" applyProtection="false">
      <alignment horizontal="center" vertical="center" textRotation="0" wrapText="true" indent="0" shrinkToFit="false"/>
      <protection locked="true" hidden="false"/>
    </xf>
    <xf numFmtId="164" fontId="41" fillId="0" borderId="6" xfId="0" applyFont="true" applyBorder="true" applyAlignment="false" applyProtection="false">
      <alignment horizontal="general" vertical="bottom" textRotation="0" wrapText="false" indent="0" shrinkToFit="false"/>
      <protection locked="true" hidden="false"/>
    </xf>
    <xf numFmtId="164" fontId="41" fillId="0" borderId="9" xfId="0" applyFont="true" applyBorder="true" applyAlignment="false" applyProtection="false">
      <alignment horizontal="general" vertical="bottom" textRotation="0" wrapText="false" indent="0" shrinkToFit="false"/>
      <protection locked="true" hidden="false"/>
    </xf>
    <xf numFmtId="164" fontId="41" fillId="0" borderId="9" xfId="0" applyFont="true" applyBorder="true" applyAlignment="true" applyProtection="false">
      <alignment horizontal="general" vertical="center" textRotation="0" wrapText="true" indent="0" shrinkToFit="false"/>
      <protection locked="true" hidden="false"/>
    </xf>
    <xf numFmtId="164" fontId="41" fillId="0" borderId="26" xfId="0" applyFont="true" applyBorder="true" applyAlignment="true" applyProtection="false">
      <alignment horizontal="center" vertical="center" textRotation="0" wrapText="true" indent="0" shrinkToFit="false"/>
      <protection locked="true" hidden="false"/>
    </xf>
    <xf numFmtId="164" fontId="41" fillId="0" borderId="18" xfId="0" applyFont="true" applyBorder="true" applyAlignment="false" applyProtection="false">
      <alignment horizontal="general" vertical="bottom" textRotation="0" wrapText="false" indent="0" shrinkToFit="false"/>
      <protection locked="true" hidden="false"/>
    </xf>
    <xf numFmtId="164" fontId="41" fillId="0" borderId="26" xfId="0" applyFont="true" applyBorder="true" applyAlignment="false" applyProtection="false">
      <alignment horizontal="general" vertical="bottom" textRotation="0" wrapText="false" indent="0" shrinkToFit="false"/>
      <protection locked="true" hidden="false"/>
    </xf>
    <xf numFmtId="164" fontId="41" fillId="0" borderId="26" xfId="0" applyFont="true" applyBorder="true" applyAlignment="true" applyProtection="false">
      <alignment horizontal="general" vertical="center" textRotation="0" wrapText="true" indent="0" shrinkToFit="false"/>
      <protection locked="true" hidden="false"/>
    </xf>
    <xf numFmtId="164" fontId="41" fillId="0" borderId="2" xfId="0" applyFont="true" applyBorder="true" applyAlignment="true" applyProtection="false">
      <alignment horizontal="general" vertical="center" textRotation="0" wrapText="true" indent="0" shrinkToFit="false"/>
      <protection locked="true" hidden="false"/>
    </xf>
    <xf numFmtId="164" fontId="41" fillId="0" borderId="1" xfId="0" applyFont="true" applyBorder="true" applyAlignment="true" applyProtection="false">
      <alignment horizontal="general" vertical="center" textRotation="0" wrapText="true" indent="0" shrinkToFit="false"/>
      <protection locked="true" hidden="false"/>
    </xf>
    <xf numFmtId="164" fontId="41" fillId="0" borderId="12" xfId="0" applyFont="true" applyBorder="true" applyAlignment="true" applyProtection="false">
      <alignment horizontal="general" vertical="center"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0" fillId="0" borderId="45" xfId="0" applyFont="true" applyBorder="true" applyAlignment="true" applyProtection="false">
      <alignment horizontal="justify" vertical="center" textRotation="0" wrapText="true" indent="0" shrinkToFit="false"/>
      <protection locked="true" hidden="false"/>
    </xf>
    <xf numFmtId="164" fontId="40" fillId="0" borderId="0" xfId="0" applyFont="true" applyBorder="true" applyAlignment="true" applyProtection="false">
      <alignment horizontal="justify" vertical="center" textRotation="0" wrapText="true" indent="0" shrinkToFit="false"/>
      <protection locked="true" hidden="false"/>
    </xf>
    <xf numFmtId="164" fontId="40" fillId="0" borderId="42" xfId="0" applyFont="true" applyBorder="true" applyAlignment="true" applyProtection="false">
      <alignment horizontal="justify" vertical="center" textRotation="0" wrapText="true" indent="0" shrinkToFit="false"/>
      <protection locked="true" hidden="false"/>
    </xf>
    <xf numFmtId="164" fontId="78" fillId="0" borderId="0" xfId="0" applyFont="true" applyBorder="false" applyAlignment="true" applyProtection="false">
      <alignment horizontal="justify" vertical="center" textRotation="0" wrapText="false" indent="0" shrinkToFit="false"/>
      <protection locked="true" hidden="false"/>
    </xf>
    <xf numFmtId="164" fontId="40" fillId="0" borderId="3" xfId="0" applyFont="true" applyBorder="true" applyAlignment="true" applyProtection="false">
      <alignment horizontal="justify" vertical="center" textRotation="0" wrapText="true" indent="0" shrinkToFit="false"/>
      <protection locked="true" hidden="false"/>
    </xf>
    <xf numFmtId="164" fontId="41" fillId="0" borderId="1" xfId="0" applyFont="true" applyBorder="true" applyAlignment="true" applyProtection="false">
      <alignment horizontal="center" vertical="center" textRotation="90" wrapText="true" indent="0" shrinkToFit="false"/>
      <protection locked="true" hidden="false"/>
    </xf>
    <xf numFmtId="164" fontId="41" fillId="0" borderId="4" xfId="0" applyFont="true" applyBorder="true" applyAlignment="true" applyProtection="false">
      <alignment horizontal="center" vertical="center" textRotation="90" wrapText="true" indent="0" shrinkToFit="false"/>
      <protection locked="true" hidden="false"/>
    </xf>
    <xf numFmtId="164" fontId="41" fillId="0" borderId="48" xfId="0" applyFont="true" applyBorder="true" applyAlignment="true" applyProtection="false">
      <alignment horizontal="center" vertical="center" textRotation="90" wrapText="true" indent="0" shrinkToFit="false"/>
      <protection locked="true" hidden="false"/>
    </xf>
    <xf numFmtId="164" fontId="41" fillId="0" borderId="6" xfId="0" applyFont="true" applyBorder="true" applyAlignment="true" applyProtection="false">
      <alignment horizontal="center" vertical="bottom" textRotation="0" wrapText="false" indent="0" shrinkToFit="false"/>
      <protection locked="true" hidden="false"/>
    </xf>
    <xf numFmtId="164" fontId="41" fillId="0" borderId="1" xfId="0" applyFont="true" applyBorder="true" applyAlignment="true" applyProtection="false">
      <alignment horizontal="left" vertical="center" textRotation="0" wrapText="true" indent="0" shrinkToFit="false"/>
      <protection locked="true" hidden="false"/>
    </xf>
    <xf numFmtId="164" fontId="41" fillId="0" borderId="52" xfId="0" applyFont="true" applyBorder="true" applyAlignment="true" applyProtection="false">
      <alignment horizontal="center" vertical="center" textRotation="0" wrapText="true" indent="0" shrinkToFit="false"/>
      <protection locked="true" hidden="false"/>
    </xf>
    <xf numFmtId="164" fontId="41" fillId="0" borderId="44" xfId="0" applyFont="true" applyBorder="true" applyAlignment="true" applyProtection="false">
      <alignment horizontal="center" vertical="center" textRotation="0" wrapText="true" indent="0" shrinkToFit="false"/>
      <protection locked="true" hidden="false"/>
    </xf>
    <xf numFmtId="164" fontId="41" fillId="0" borderId="45" xfId="0" applyFont="true" applyBorder="true" applyAlignment="true" applyProtection="false">
      <alignment horizontal="center" vertical="bottom" textRotation="0" wrapText="false" indent="0" shrinkToFit="false"/>
      <protection locked="true" hidden="false"/>
    </xf>
    <xf numFmtId="164" fontId="41" fillId="0" borderId="53" xfId="0" applyFont="true" applyBorder="true" applyAlignment="true" applyProtection="false">
      <alignment horizontal="center" vertical="bottom" textRotation="0" wrapText="false" indent="0" shrinkToFit="false"/>
      <protection locked="true" hidden="false"/>
    </xf>
    <xf numFmtId="164" fontId="41" fillId="0" borderId="53" xfId="0" applyFont="true" applyBorder="true" applyAlignment="true" applyProtection="false">
      <alignment horizontal="center" vertical="center" textRotation="0" wrapText="true" indent="0" shrinkToFit="false"/>
      <protection locked="true" hidden="false"/>
    </xf>
    <xf numFmtId="164" fontId="41" fillId="0" borderId="3" xfId="0" applyFont="true" applyBorder="true" applyAlignment="true" applyProtection="false">
      <alignment horizontal="center" vertical="center" textRotation="0" wrapText="true" indent="0" shrinkToFit="false"/>
      <protection locked="true" hidden="false"/>
    </xf>
    <xf numFmtId="164" fontId="41" fillId="0" borderId="5" xfId="0" applyFont="true" applyBorder="true" applyAlignment="true" applyProtection="false">
      <alignment horizontal="center" vertical="bottom" textRotation="0" wrapText="false" indent="0" shrinkToFit="false"/>
      <protection locked="true" hidden="false"/>
    </xf>
    <xf numFmtId="164" fontId="41" fillId="0" borderId="40" xfId="0" applyFont="true" applyBorder="true" applyAlignment="true" applyProtection="false">
      <alignment horizontal="center" vertical="bottom" textRotation="0" wrapText="false" indent="0" shrinkToFit="false"/>
      <protection locked="true" hidden="false"/>
    </xf>
    <xf numFmtId="164" fontId="41" fillId="0" borderId="3" xfId="0" applyFont="true" applyBorder="true" applyAlignment="true" applyProtection="false">
      <alignment horizontal="center" vertical="bottom" textRotation="0" wrapText="false" indent="0" shrinkToFit="false"/>
      <protection locked="true" hidden="false"/>
    </xf>
    <xf numFmtId="164" fontId="41" fillId="0" borderId="12"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41" fillId="0" borderId="13" xfId="0" applyFont="true" applyBorder="true" applyAlignment="true" applyProtection="false">
      <alignment horizontal="center" vertical="center" textRotation="0" wrapText="true" indent="0" shrinkToFit="false"/>
      <protection locked="true" hidden="false"/>
    </xf>
    <xf numFmtId="164" fontId="41" fillId="0" borderId="44" xfId="0" applyFont="true" applyBorder="true" applyAlignment="true" applyProtection="false">
      <alignment horizontal="general" vertical="center" textRotation="0" wrapText="true" indent="0" shrinkToFit="false"/>
      <protection locked="true" hidden="false"/>
    </xf>
    <xf numFmtId="164" fontId="41" fillId="0" borderId="12"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41" fillId="0" borderId="0" xfId="0" applyFont="true" applyBorder="true" applyAlignment="true" applyProtection="false">
      <alignment horizontal="left" vertical="center" textRotation="0" wrapText="true" indent="0" shrinkToFit="false"/>
      <protection locked="true" hidden="false"/>
    </xf>
    <xf numFmtId="164" fontId="40" fillId="0" borderId="40" xfId="0" applyFont="true" applyBorder="true" applyAlignment="true" applyProtection="false">
      <alignment horizontal="justify" vertical="center" textRotation="0" wrapText="true" indent="0" shrinkToFit="false"/>
      <protection locked="true" hidden="false"/>
    </xf>
    <xf numFmtId="164" fontId="41" fillId="0" borderId="40" xfId="0" applyFont="true" applyBorder="true" applyAlignment="true" applyProtection="false">
      <alignment horizontal="justify" vertical="center" textRotation="0" wrapText="true" indent="0" shrinkToFit="false"/>
      <protection locked="true" hidden="false"/>
    </xf>
    <xf numFmtId="164" fontId="41" fillId="0" borderId="3" xfId="0" applyFont="true" applyBorder="true" applyAlignment="true" applyProtection="false">
      <alignment horizontal="justify" vertical="center" textRotation="0" wrapText="true" indent="0" shrinkToFit="false"/>
      <protection locked="true" hidden="false"/>
    </xf>
    <xf numFmtId="164" fontId="41" fillId="0" borderId="52" xfId="0" applyFont="true" applyBorder="true" applyAlignment="true" applyProtection="false">
      <alignment horizontal="general" vertical="center" textRotation="90" wrapText="true" indent="0" shrinkToFit="false"/>
      <protection locked="true" hidden="false"/>
    </xf>
    <xf numFmtId="164" fontId="41" fillId="0" borderId="12" xfId="0" applyFont="true" applyBorder="true" applyAlignment="true" applyProtection="false">
      <alignment horizontal="center" vertical="center" textRotation="90" wrapText="true" indent="0" shrinkToFit="false"/>
      <protection locked="true" hidden="false"/>
    </xf>
    <xf numFmtId="164" fontId="41" fillId="0" borderId="2" xfId="0" applyFont="true" applyBorder="true" applyAlignment="true" applyProtection="false">
      <alignment horizontal="center" vertical="center" textRotation="90" wrapText="true" indent="0" shrinkToFit="false"/>
      <protection locked="true" hidden="false"/>
    </xf>
    <xf numFmtId="164" fontId="41" fillId="0" borderId="2" xfId="0" applyFont="true" applyBorder="true" applyAlignment="true" applyProtection="false">
      <alignment horizontal="center" vertical="bottom" textRotation="0" wrapText="false" indent="0" shrinkToFit="false"/>
      <protection locked="true" hidden="false"/>
    </xf>
    <xf numFmtId="167" fontId="41" fillId="0" borderId="9" xfId="0" applyFont="true" applyBorder="true" applyAlignment="true" applyProtection="false">
      <alignment horizontal="center" vertical="center" textRotation="0" wrapText="true" indent="0" shrinkToFit="false"/>
      <protection locked="true" hidden="false"/>
    </xf>
    <xf numFmtId="164" fontId="41" fillId="0" borderId="42" xfId="0" applyFont="true" applyBorder="true" applyAlignment="true" applyProtection="false">
      <alignment horizontal="center" vertical="bottom" textRotation="0" wrapText="false" indent="0" shrinkToFit="false"/>
      <protection locked="true" hidden="false"/>
    </xf>
    <xf numFmtId="164" fontId="41" fillId="0" borderId="4"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1" fillId="0" borderId="13" xfId="0" applyFont="true" applyBorder="true" applyAlignment="true" applyProtection="false">
      <alignment horizontal="center" vertical="bottom" textRotation="0" wrapText="false" indent="0" shrinkToFit="false"/>
      <protection locked="true" hidden="false"/>
    </xf>
    <xf numFmtId="164" fontId="41" fillId="0" borderId="8" xfId="0" applyFont="true" applyBorder="true" applyAlignment="true" applyProtection="false">
      <alignment horizontal="general" vertical="center" textRotation="0" wrapText="true" indent="0" shrinkToFit="false"/>
      <protection locked="true" hidden="false"/>
    </xf>
    <xf numFmtId="164" fontId="41" fillId="0" borderId="48" xfId="0" applyFont="true" applyBorder="true" applyAlignment="true" applyProtection="false">
      <alignment horizontal="center" vertical="bottom" textRotation="0" wrapText="false" indent="0" shrinkToFit="false"/>
      <protection locked="true" hidden="false"/>
    </xf>
    <xf numFmtId="164" fontId="41" fillId="0" borderId="43" xfId="0" applyFont="true" applyBorder="true" applyAlignment="true" applyProtection="false">
      <alignment horizontal="general" vertical="center" textRotation="0" wrapText="true" indent="0" shrinkToFit="false"/>
      <protection locked="true" hidden="false"/>
    </xf>
    <xf numFmtId="164" fontId="41" fillId="0" borderId="0" xfId="0" applyFont="true" applyBorder="true" applyAlignment="true" applyProtection="false">
      <alignment horizontal="center" vertical="bottom"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1" fillId="17" borderId="22" xfId="0" applyFont="true" applyBorder="true" applyAlignment="true" applyProtection="false">
      <alignment horizontal="center" vertical="center" textRotation="0" wrapText="true" indent="0" shrinkToFit="false"/>
      <protection locked="true" hidden="false"/>
    </xf>
    <xf numFmtId="164" fontId="41" fillId="17" borderId="27" xfId="0" applyFont="true" applyBorder="true" applyAlignment="true" applyProtection="false">
      <alignment horizontal="center" vertical="center" textRotation="0" wrapText="true" indent="0" shrinkToFit="false"/>
      <protection locked="true" hidden="false"/>
    </xf>
    <xf numFmtId="167" fontId="41" fillId="17" borderId="24" xfId="0" applyFont="true" applyBorder="true" applyAlignment="true" applyProtection="false">
      <alignment horizontal="center" vertical="center"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2" xfId="0" applyFont="true" applyBorder="true" applyAlignment="true" applyProtection="false">
      <alignment horizontal="center" vertical="center" textRotation="0" wrapText="true" indent="0" shrinkToFit="false"/>
      <protection locked="true" hidden="false"/>
    </xf>
    <xf numFmtId="164" fontId="25" fillId="0" borderId="52" xfId="0" applyFont="true" applyBorder="true" applyAlignment="true" applyProtection="false">
      <alignment horizontal="justify" vertical="center" textRotation="0" wrapText="true" indent="0" shrinkToFit="false"/>
      <protection locked="true" hidden="false"/>
    </xf>
    <xf numFmtId="164" fontId="25" fillId="0" borderId="40" xfId="0" applyFont="true" applyBorder="true" applyAlignment="true" applyProtection="false">
      <alignment horizontal="general" vertical="center" textRotation="0" wrapText="true" indent="0" shrinkToFit="false"/>
      <protection locked="true" hidden="false"/>
    </xf>
    <xf numFmtId="164" fontId="25" fillId="0" borderId="42" xfId="0" applyFont="true" applyBorder="true" applyAlignment="true" applyProtection="false">
      <alignment horizontal="justify" vertical="center" textRotation="0" wrapText="tru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17" fillId="0" borderId="5" xfId="0" applyFont="true" applyBorder="true" applyAlignment="true" applyProtection="false">
      <alignment horizontal="center" vertical="bottom" textRotation="0" wrapText="false" indent="0" shrinkToFit="false"/>
      <protection locked="true" hidden="false"/>
    </xf>
    <xf numFmtId="164" fontId="17" fillId="0" borderId="45"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7" fillId="0" borderId="42"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4" fontId="17" fillId="0" borderId="45"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7" fillId="0" borderId="42"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7" fontId="17" fillId="0" borderId="0" xfId="0" applyFont="true" applyBorder="true" applyAlignment="true" applyProtection="false">
      <alignment horizontal="center" vertical="center" textRotation="0" wrapText="false" indent="0" shrinkToFit="false"/>
      <protection locked="true" hidden="false"/>
    </xf>
    <xf numFmtId="164" fontId="17" fillId="0" borderId="53" xfId="0" applyFont="true" applyBorder="true" applyAlignment="true" applyProtection="false">
      <alignment horizontal="center" vertical="center" textRotation="0" wrapText="false" indent="0" shrinkToFit="false"/>
      <protection locked="true" hidden="false"/>
    </xf>
    <xf numFmtId="164" fontId="17" fillId="0" borderId="48" xfId="0" applyFont="true" applyBorder="true" applyAlignment="true" applyProtection="false">
      <alignment horizontal="center" vertical="center" textRotation="0" wrapText="false" indent="0" shrinkToFit="false"/>
      <protection locked="true" hidden="false"/>
    </xf>
    <xf numFmtId="164" fontId="17" fillId="0" borderId="4" xfId="0" applyFont="true" applyBorder="true" applyAlignment="true" applyProtection="false">
      <alignment horizontal="center" vertical="center" textRotation="0" wrapText="false" indent="0" shrinkToFit="false"/>
      <protection locked="true" hidden="false"/>
    </xf>
    <xf numFmtId="164" fontId="30" fillId="0" borderId="1" xfId="0" applyFont="true" applyBorder="true" applyAlignment="true" applyProtection="false">
      <alignment horizontal="center" vertical="center" textRotation="0" wrapText="true" indent="0" shrinkToFit="false"/>
      <protection locked="true" hidden="false"/>
    </xf>
    <xf numFmtId="164" fontId="30" fillId="0" borderId="53" xfId="0" applyFont="true" applyBorder="true" applyAlignment="true" applyProtection="false">
      <alignment horizontal="center" vertical="center" textRotation="0" wrapText="true" indent="0" shrinkToFit="false"/>
      <protection locked="true" hidden="false"/>
    </xf>
    <xf numFmtId="164" fontId="39" fillId="0" borderId="2" xfId="0" applyFont="true" applyBorder="true" applyAlignment="true" applyProtection="false">
      <alignment horizontal="center" vertical="center" textRotation="0" wrapText="true" indent="0" shrinkToFit="false"/>
      <protection locked="true" hidden="false"/>
    </xf>
    <xf numFmtId="164" fontId="39" fillId="0" borderId="0" xfId="0" applyFont="true" applyBorder="true" applyAlignment="true" applyProtection="false">
      <alignment horizontal="center" vertical="center" textRotation="0" wrapText="true" indent="0" shrinkToFit="false"/>
      <protection locked="true" hidden="false"/>
    </xf>
    <xf numFmtId="164" fontId="74" fillId="0" borderId="0" xfId="0" applyFont="true" applyBorder="true" applyAlignment="true" applyProtection="false">
      <alignment horizontal="center" vertical="center" textRotation="0" wrapText="false" indent="0" shrinkToFit="false"/>
      <protection locked="true" hidden="false"/>
    </xf>
    <xf numFmtId="164" fontId="84" fillId="0" borderId="0" xfId="0" applyFont="true" applyBorder="false" applyAlignment="true" applyProtection="false">
      <alignment horizontal="justify"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true" indent="0" shrinkToFit="false"/>
      <protection locked="true" hidden="false"/>
    </xf>
    <xf numFmtId="164" fontId="39" fillId="0" borderId="42" xfId="0" applyFont="true" applyBorder="true" applyAlignment="true" applyProtection="false">
      <alignment horizontal="general" vertical="center" textRotation="0" wrapText="true" indent="0" shrinkToFit="false"/>
      <protection locked="true" hidden="false"/>
    </xf>
    <xf numFmtId="164" fontId="39" fillId="17" borderId="1" xfId="0" applyFont="true" applyBorder="true" applyAlignment="true" applyProtection="false">
      <alignment horizontal="center" vertical="center" textRotation="0" wrapText="true" indent="0" shrinkToFit="false"/>
      <protection locked="true" hidden="false"/>
    </xf>
    <xf numFmtId="164" fontId="39" fillId="0" borderId="3" xfId="0" applyFont="true" applyBorder="true" applyAlignment="true" applyProtection="false">
      <alignment horizontal="center" vertical="center" textRotation="0" wrapText="true" indent="0" shrinkToFit="false"/>
      <protection locked="true" hidden="false"/>
    </xf>
    <xf numFmtId="164" fontId="39" fillId="17" borderId="3" xfId="0" applyFont="true" applyBorder="true" applyAlignment="true" applyProtection="false">
      <alignment horizontal="center" vertical="center" textRotation="0" wrapText="true" indent="0" shrinkToFit="false"/>
      <protection locked="true" hidden="false"/>
    </xf>
    <xf numFmtId="164" fontId="39" fillId="0" borderId="0" xfId="0" applyFont="true" applyBorder="true" applyAlignment="true" applyProtection="false">
      <alignment horizontal="center" vertical="bottom" textRotation="0" wrapText="true" indent="0" shrinkToFit="false"/>
      <protection locked="true" hidden="false"/>
    </xf>
    <xf numFmtId="164" fontId="88" fillId="0" borderId="1" xfId="0" applyFont="true" applyBorder="true" applyAlignment="true" applyProtection="false">
      <alignment horizontal="center" vertical="center" textRotation="0" wrapText="true" indent="0" shrinkToFit="false"/>
      <protection locked="true" hidden="false"/>
    </xf>
    <xf numFmtId="164" fontId="39" fillId="0" borderId="1" xfId="0" applyFont="true" applyBorder="true" applyAlignment="true" applyProtection="false">
      <alignment horizontal="justify" vertical="center" textRotation="0" wrapText="true" indent="0" shrinkToFit="false"/>
      <protection locked="true" hidden="false"/>
    </xf>
    <xf numFmtId="164" fontId="39" fillId="0" borderId="53" xfId="0" applyFont="true" applyBorder="true" applyAlignment="true" applyProtection="false">
      <alignment horizontal="justify" vertical="center" textRotation="0" wrapText="true" indent="0" shrinkToFit="false"/>
      <protection locked="true" hidden="false"/>
    </xf>
    <xf numFmtId="164" fontId="74" fillId="0" borderId="0" xfId="0" applyFont="true" applyBorder="true" applyAlignment="true" applyProtection="false">
      <alignment horizontal="left" vertical="center" textRotation="0" wrapText="false" indent="0" shrinkToFit="false"/>
      <protection locked="true" hidden="false"/>
    </xf>
    <xf numFmtId="164" fontId="39" fillId="0" borderId="5" xfId="0" applyFont="true" applyBorder="true" applyAlignment="true" applyProtection="false">
      <alignment horizontal="center" vertical="center" textRotation="0" wrapText="true" indent="0" shrinkToFit="false"/>
      <protection locked="true" hidden="false"/>
    </xf>
    <xf numFmtId="164" fontId="17" fillId="0" borderId="7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center" vertical="bottom" textRotation="0" wrapText="false" indent="0" shrinkToFit="false"/>
      <protection locked="true" hidden="false"/>
    </xf>
    <xf numFmtId="164" fontId="39" fillId="0" borderId="40" xfId="0" applyFont="true" applyBorder="true" applyAlignment="true" applyProtection="false">
      <alignment horizontal="center" vertical="center" textRotation="0" wrapText="true" indent="0" shrinkToFit="false"/>
      <protection locked="true" hidden="false"/>
    </xf>
    <xf numFmtId="164" fontId="30" fillId="0" borderId="4" xfId="0" applyFont="true" applyBorder="true" applyAlignment="true" applyProtection="false">
      <alignment horizontal="center" vertical="center" textRotation="0" wrapText="true" indent="0" shrinkToFit="false"/>
      <protection locked="true" hidden="false"/>
    </xf>
    <xf numFmtId="164" fontId="30" fillId="0" borderId="48" xfId="0" applyFont="true" applyBorder="true" applyAlignment="true" applyProtection="false">
      <alignment horizontal="center" vertical="center" textRotation="0" wrapText="true" indent="0" shrinkToFit="false"/>
      <protection locked="true" hidden="false"/>
    </xf>
    <xf numFmtId="164" fontId="39" fillId="0" borderId="2" xfId="0" applyFont="true" applyBorder="true" applyAlignment="true" applyProtection="false">
      <alignment horizontal="justify" vertical="center" textRotation="0" wrapText="true" indent="0" shrinkToFit="false"/>
      <protection locked="true" hidden="false"/>
    </xf>
    <xf numFmtId="164" fontId="39" fillId="0" borderId="13" xfId="0" applyFont="true" applyBorder="true" applyAlignment="true" applyProtection="false">
      <alignment horizontal="center" vertical="center" textRotation="0" wrapText="true" indent="0" shrinkToFit="false"/>
      <protection locked="true" hidden="false"/>
    </xf>
    <xf numFmtId="164" fontId="39" fillId="0" borderId="42" xfId="0" applyFont="true" applyBorder="true" applyAlignment="true" applyProtection="false">
      <alignment horizontal="justify" vertical="center" textRotation="0" wrapText="true" indent="0" shrinkToFit="false"/>
      <protection locked="true" hidden="false"/>
    </xf>
    <xf numFmtId="164" fontId="39" fillId="0" borderId="4" xfId="0" applyFont="true" applyBorder="true" applyAlignment="true" applyProtection="false">
      <alignment horizontal="justify" vertical="center" textRotation="0" wrapText="tru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90" fillId="0" borderId="6" xfId="0" applyFont="true" applyBorder="true" applyAlignment="true" applyProtection="false">
      <alignment horizontal="general" vertical="bottom" textRotation="0" wrapText="true" indent="0" shrinkToFit="false"/>
      <protection locked="true" hidden="false"/>
    </xf>
    <xf numFmtId="164" fontId="90" fillId="0" borderId="44" xfId="0" applyFont="true" applyBorder="true" applyAlignment="true" applyProtection="false">
      <alignment horizontal="general" vertical="bottom" textRotation="0" wrapText="true" indent="0" shrinkToFit="false"/>
      <protection locked="true" hidden="false"/>
    </xf>
    <xf numFmtId="164" fontId="90" fillId="0" borderId="52" xfId="0" applyFont="true" applyBorder="true" applyAlignment="true" applyProtection="false">
      <alignment horizontal="general" vertical="bottom" textRotation="0" wrapText="true" indent="0" shrinkToFit="false"/>
      <protection locked="true" hidden="false"/>
    </xf>
    <xf numFmtId="164" fontId="17" fillId="17" borderId="39" xfId="0" applyFont="true" applyBorder="true" applyAlignment="true" applyProtection="false">
      <alignment horizontal="general" vertical="bottom" textRotation="0" wrapText="true" indent="0" shrinkToFit="false"/>
      <protection locked="true" hidden="false"/>
    </xf>
    <xf numFmtId="164" fontId="17" fillId="17" borderId="0" xfId="0" applyFont="true" applyBorder="true" applyAlignment="true" applyProtection="false">
      <alignment horizontal="general" vertical="bottom" textRotation="0" wrapText="true" indent="0" shrinkToFit="false"/>
      <protection locked="true" hidden="false"/>
    </xf>
    <xf numFmtId="164" fontId="17" fillId="17" borderId="54" xfId="0" applyFont="true" applyBorder="true" applyAlignment="true" applyProtection="false">
      <alignment horizontal="center" vertical="bottom" textRotation="0" wrapText="true" indent="0" shrinkToFit="false"/>
      <protection locked="true" hidden="false"/>
    </xf>
    <xf numFmtId="164" fontId="17" fillId="17" borderId="72" xfId="0" applyFont="true" applyBorder="true" applyAlignment="true" applyProtection="false">
      <alignment horizontal="center" vertical="bottom" textRotation="0" wrapText="true" indent="0" shrinkToFit="false"/>
      <protection locked="true" hidden="false"/>
    </xf>
    <xf numFmtId="164" fontId="17" fillId="17" borderId="45" xfId="0" applyFont="true" applyBorder="true" applyAlignment="true" applyProtection="false">
      <alignment horizontal="general" vertical="bottom" textRotation="0" wrapText="true" indent="0" shrinkToFit="false"/>
      <protection locked="true" hidden="false"/>
    </xf>
    <xf numFmtId="164" fontId="17" fillId="17" borderId="0" xfId="0" applyFont="true" applyBorder="true" applyAlignment="true" applyProtection="false">
      <alignment horizontal="center" vertical="bottom" textRotation="0" wrapText="true" indent="0" shrinkToFit="false"/>
      <protection locked="true" hidden="false"/>
    </xf>
    <xf numFmtId="164" fontId="17" fillId="17" borderId="42" xfId="0" applyFont="true" applyBorder="true" applyAlignment="true" applyProtection="false">
      <alignment horizontal="center" vertical="bottom" textRotation="0" wrapText="true" indent="0" shrinkToFit="false"/>
      <protection locked="true" hidden="false"/>
    </xf>
    <xf numFmtId="164" fontId="17" fillId="0" borderId="45" xfId="0" applyFont="true" applyBorder="true" applyAlignment="true" applyProtection="false">
      <alignment horizontal="general" vertical="bottom" textRotation="0" wrapText="true" indent="0" shrinkToFit="false"/>
      <protection locked="true" hidden="false"/>
    </xf>
    <xf numFmtId="164" fontId="17" fillId="0" borderId="42" xfId="0" applyFont="true" applyBorder="true" applyAlignment="true" applyProtection="false">
      <alignment horizontal="center" vertical="bottom" textRotation="0" wrapText="true" indent="0" shrinkToFit="false"/>
      <protection locked="true" hidden="false"/>
    </xf>
    <xf numFmtId="164" fontId="17" fillId="17" borderId="53" xfId="0" applyFont="true" applyBorder="true" applyAlignment="true" applyProtection="false">
      <alignment horizontal="general" vertical="bottom" textRotation="0" wrapText="true" indent="0" shrinkToFit="false"/>
      <protection locked="true" hidden="false"/>
    </xf>
    <xf numFmtId="164" fontId="17" fillId="17" borderId="48" xfId="0" applyFont="true" applyBorder="true" applyAlignment="true" applyProtection="false">
      <alignment horizontal="general" vertical="bottom" textRotation="0" wrapText="true" indent="0" shrinkToFit="false"/>
      <protection locked="true" hidden="false"/>
    </xf>
    <xf numFmtId="164" fontId="17" fillId="17" borderId="48" xfId="0" applyFont="true" applyBorder="true" applyAlignment="true" applyProtection="false">
      <alignment horizontal="center" vertical="bottom" textRotation="0" wrapText="true" indent="0" shrinkToFit="false"/>
      <protection locked="true" hidden="false"/>
    </xf>
    <xf numFmtId="164" fontId="17" fillId="17" borderId="4" xfId="0" applyFont="true" applyBorder="true" applyAlignment="true" applyProtection="false">
      <alignment horizontal="center" vertical="bottom" textRotation="0" wrapText="true" indent="0" shrinkToFit="false"/>
      <protection locked="true" hidden="false"/>
    </xf>
    <xf numFmtId="164" fontId="17" fillId="0" borderId="26" xfId="0" applyFont="true" applyBorder="true" applyAlignment="true" applyProtection="false">
      <alignment horizontal="center" vertical="bottom" textRotation="0" wrapText="false" indent="0" shrinkToFit="false"/>
      <protection locked="true" hidden="false"/>
    </xf>
    <xf numFmtId="164" fontId="17" fillId="0" borderId="14" xfId="0" applyFont="true" applyBorder="true" applyAlignment="false" applyProtection="false">
      <alignment horizontal="general" vertical="bottom" textRotation="0" wrapText="false" indent="0" shrinkToFit="false"/>
      <protection locked="true" hidden="false"/>
    </xf>
    <xf numFmtId="164" fontId="17" fillId="0" borderId="15" xfId="0" applyFont="true" applyBorder="true" applyAlignment="false" applyProtection="false">
      <alignment horizontal="general" vertical="bottom" textRotation="0" wrapText="false" indent="0" shrinkToFit="false"/>
      <protection locked="true" hidden="false"/>
    </xf>
    <xf numFmtId="164" fontId="17" fillId="0" borderId="15" xfId="0" applyFont="true" applyBorder="true" applyAlignment="true" applyProtection="false">
      <alignment horizontal="center" vertical="center" textRotation="0" wrapText="true" indent="0" shrinkToFit="false"/>
      <protection locked="true" hidden="false"/>
    </xf>
    <xf numFmtId="164" fontId="17" fillId="0" borderId="23"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73" xfId="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0" fillId="0" borderId="62"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false" applyProtection="false">
      <alignment horizontal="general" vertical="bottom" textRotation="0" wrapText="false" indent="0" shrinkToFit="false"/>
      <protection locked="true" hidden="false"/>
    </xf>
    <xf numFmtId="164" fontId="17" fillId="0" borderId="9" xfId="0" applyFont="true" applyBorder="true" applyAlignment="true" applyProtection="false">
      <alignment horizontal="general" vertical="bottom" textRotation="0" wrapText="true" indent="0" shrinkToFit="false"/>
      <protection locked="true" hidden="false"/>
    </xf>
    <xf numFmtId="164" fontId="17" fillId="0" borderId="9" xfId="0" applyFont="true" applyBorder="true" applyAlignment="true" applyProtection="false">
      <alignment horizontal="center" vertical="center" textRotation="0" wrapText="false" indent="0" shrinkToFit="false"/>
      <protection locked="true" hidden="false"/>
    </xf>
    <xf numFmtId="164" fontId="17" fillId="0" borderId="7"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47" xfId="0" applyFont="true" applyBorder="true" applyAlignment="true" applyProtection="false">
      <alignment horizontal="center" vertical="center" textRotation="0" wrapText="false" indent="0" shrinkToFit="false"/>
      <protection locked="true" hidden="false"/>
    </xf>
    <xf numFmtId="164" fontId="0" fillId="0" borderId="18" xfId="0" applyFont="fals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74" xfId="0" applyFont="true" applyBorder="true" applyAlignment="true" applyProtection="false">
      <alignment horizontal="center" vertical="center" textRotation="0" wrapText="false" indent="0" shrinkToFit="false"/>
      <protection locked="true" hidden="false"/>
    </xf>
    <xf numFmtId="164" fontId="0" fillId="0" borderId="26" xfId="0" applyFont="fals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64" fontId="0" fillId="0" borderId="63" xfId="0" applyFont="true" applyBorder="true" applyAlignment="true" applyProtection="false">
      <alignment horizontal="center" vertical="center" textRotation="0" wrapText="false" indent="0" shrinkToFit="false"/>
      <protection locked="true" hidden="false"/>
    </xf>
    <xf numFmtId="164" fontId="17" fillId="0" borderId="10" xfId="0" applyFont="true" applyBorder="true" applyAlignment="false" applyProtection="false">
      <alignment horizontal="general" vertical="bottom" textRotation="0" wrapText="false" indent="0" shrinkToFit="false"/>
      <protection locked="true" hidden="false"/>
    </xf>
    <xf numFmtId="164" fontId="17" fillId="0" borderId="24" xfId="0" applyFont="true" applyBorder="true" applyAlignment="true" applyProtection="false">
      <alignment horizontal="general" vertical="bottom" textRotation="0" wrapText="true" indent="0" shrinkToFit="false"/>
      <protection locked="true" hidden="false"/>
    </xf>
    <xf numFmtId="164" fontId="17" fillId="0" borderId="24" xfId="0" applyFont="true" applyBorder="true" applyAlignment="true" applyProtection="false">
      <alignment horizontal="center" vertical="center" textRotation="0" wrapText="false" indent="0" shrinkToFit="false"/>
      <protection locked="true" hidden="false"/>
    </xf>
    <xf numFmtId="164" fontId="17" fillId="0" borderId="11" xfId="0" applyFont="true" applyBorder="true" applyAlignment="true" applyProtection="false">
      <alignment horizontal="center" vertical="center" textRotation="0" wrapText="false" indent="0" shrinkToFit="false"/>
      <protection locked="true" hidden="false"/>
    </xf>
    <xf numFmtId="164" fontId="44" fillId="0" borderId="0" xfId="20" applyFont="true" applyBorder="false" applyAlignment="false" applyProtection="false">
      <alignment horizontal="general" vertical="bottom" textRotation="0" wrapText="false" indent="0" shrinkToFit="false"/>
      <protection locked="true" hidden="false"/>
    </xf>
    <xf numFmtId="164" fontId="91" fillId="0" borderId="0" xfId="20" applyFont="true" applyBorder="true" applyAlignment="true" applyProtection="false">
      <alignment horizontal="left" vertical="bottom" textRotation="0" wrapText="false" indent="0" shrinkToFit="false"/>
      <protection locked="true" hidden="false"/>
    </xf>
    <xf numFmtId="164" fontId="92" fillId="0" borderId="0" xfId="20" applyFont="true" applyBorder="fals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false">
      <alignment horizontal="center" vertical="bottom" textRotation="0" wrapText="true" indent="0" shrinkToFit="false"/>
      <protection locked="true" hidden="false"/>
    </xf>
    <xf numFmtId="164" fontId="26" fillId="0" borderId="1" xfId="20" applyFont="true" applyBorder="true" applyAlignment="true" applyProtection="false">
      <alignment horizontal="center" vertical="bottom" textRotation="0" wrapText="true" indent="0" shrinkToFit="false"/>
      <protection locked="true" hidden="false"/>
    </xf>
    <xf numFmtId="164" fontId="6" fillId="0" borderId="4" xfId="20" applyFont="true" applyBorder="true" applyAlignment="true" applyProtection="false">
      <alignment horizontal="center" vertical="bottom" textRotation="0" wrapText="true" indent="0" shrinkToFit="false"/>
      <protection locked="true" hidden="false"/>
    </xf>
    <xf numFmtId="164" fontId="6" fillId="0" borderId="3" xfId="20" applyFont="true" applyBorder="true" applyAlignment="true" applyProtection="false">
      <alignment horizontal="center" vertical="bottom" textRotation="0" wrapText="true" indent="0" shrinkToFit="false"/>
      <protection locked="true" hidden="false"/>
    </xf>
    <xf numFmtId="164" fontId="6" fillId="0" borderId="3" xfId="20" applyFont="true" applyBorder="true" applyAlignment="true" applyProtection="false">
      <alignment horizontal="general" vertical="bottom" textRotation="0" wrapText="true" indent="0" shrinkToFit="false"/>
      <protection locked="true" hidden="false"/>
    </xf>
    <xf numFmtId="164" fontId="6" fillId="0" borderId="4" xfId="20" applyFont="true" applyBorder="true" applyAlignment="true" applyProtection="false">
      <alignment horizontal="general" vertical="bottom" textRotation="0" wrapText="true" indent="0" shrinkToFit="false"/>
      <protection locked="true" hidden="false"/>
    </xf>
    <xf numFmtId="164" fontId="6" fillId="0" borderId="40" xfId="20" applyFont="true" applyBorder="true" applyAlignment="true" applyProtection="false">
      <alignment horizontal="center" vertical="bottom" textRotation="0" wrapText="true" indent="0" shrinkToFit="false"/>
      <protection locked="true" hidden="false"/>
    </xf>
    <xf numFmtId="164" fontId="6" fillId="0" borderId="42" xfId="20" applyFont="true" applyBorder="true" applyAlignment="true" applyProtection="false">
      <alignment horizontal="general" vertical="bottom" textRotation="0" wrapText="true" indent="0" shrinkToFit="false"/>
      <protection locked="true" hidden="false"/>
    </xf>
    <xf numFmtId="164" fontId="6" fillId="0" borderId="42" xfId="20" applyFont="true" applyBorder="true" applyAlignment="true" applyProtection="false">
      <alignment horizontal="center" vertical="bottom" textRotation="0" wrapText="true" indent="0" shrinkToFit="false"/>
      <protection locked="true" hidden="false"/>
    </xf>
    <xf numFmtId="164" fontId="6" fillId="0" borderId="2" xfId="20" applyFont="true" applyBorder="true" applyAlignment="true" applyProtection="false">
      <alignment horizontal="general" vertical="bottom" textRotation="0" wrapText="true" indent="0" shrinkToFit="false"/>
      <protection locked="true" hidden="false"/>
    </xf>
    <xf numFmtId="164" fontId="6" fillId="0" borderId="2" xfId="20" applyFont="true" applyBorder="true" applyAlignment="true" applyProtection="false">
      <alignment horizontal="center" vertical="bottom" textRotation="0" wrapText="true" indent="0" shrinkToFit="false"/>
      <protection locked="true" hidden="false"/>
    </xf>
    <xf numFmtId="164" fontId="6" fillId="3" borderId="5" xfId="20" applyFont="true" applyBorder="true" applyAlignment="true" applyProtection="false">
      <alignment horizontal="general" vertical="bottom" textRotation="0" wrapText="true" indent="0" shrinkToFit="false"/>
      <protection locked="true" hidden="false"/>
    </xf>
    <xf numFmtId="164" fontId="6" fillId="0" borderId="5" xfId="20" applyFont="true" applyBorder="true" applyAlignment="true" applyProtection="false">
      <alignment horizontal="center" vertical="bottom" textRotation="0" wrapText="true" indent="0" shrinkToFit="false"/>
      <protection locked="true" hidden="false"/>
    </xf>
    <xf numFmtId="164" fontId="6" fillId="0" borderId="5" xfId="20" applyFont="true" applyBorder="true" applyAlignment="true" applyProtection="false">
      <alignment horizontal="general" vertical="bottom" textRotation="0" wrapText="true" indent="0" shrinkToFit="false"/>
      <protection locked="true" hidden="false"/>
    </xf>
    <xf numFmtId="164" fontId="6" fillId="3" borderId="4" xfId="20" applyFont="true" applyBorder="true" applyAlignment="true" applyProtection="false">
      <alignment horizontal="center" vertical="bottom" textRotation="0" wrapText="true" indent="0" shrinkToFit="false"/>
      <protection locked="true" hidden="false"/>
    </xf>
    <xf numFmtId="164" fontId="6" fillId="0" borderId="5" xfId="20" applyFont="true" applyBorder="true" applyAlignment="true" applyProtection="false">
      <alignment horizontal="left" vertical="bottom" textRotation="0" wrapText="true" indent="0" shrinkToFit="false"/>
      <protection locked="true" hidden="false"/>
    </xf>
    <xf numFmtId="164" fontId="59" fillId="0" borderId="1" xfId="20" applyFont="true" applyBorder="true" applyAlignment="true" applyProtection="false">
      <alignment horizontal="justify" vertical="bottom" textRotation="0" wrapText="true" indent="0" shrinkToFit="false"/>
      <protection locked="true" hidden="false"/>
    </xf>
    <xf numFmtId="164" fontId="50" fillId="0" borderId="0" xfId="20" applyFont="true" applyBorder="true" applyAlignment="true" applyProtection="true">
      <alignment horizontal="general" vertical="top" textRotation="0" wrapText="false" indent="0" shrinkToFit="false"/>
      <protection locked="true" hidden="false"/>
    </xf>
    <xf numFmtId="164" fontId="95" fillId="0" borderId="0" xfId="20" applyFont="true" applyBorder="true" applyAlignment="true" applyProtection="true">
      <alignment horizontal="general" vertical="top" textRotation="0" wrapText="false" indent="0" shrinkToFit="false"/>
      <protection locked="true" hidden="false"/>
    </xf>
    <xf numFmtId="164" fontId="95" fillId="0" borderId="1" xfId="20" applyFont="true" applyBorder="true" applyAlignment="true" applyProtection="true">
      <alignment horizontal="center" vertical="top" textRotation="0" wrapText="false" indent="0" shrinkToFit="false"/>
      <protection locked="true" hidden="false"/>
    </xf>
    <xf numFmtId="164" fontId="95" fillId="0" borderId="36" xfId="20" applyFont="true" applyBorder="true" applyAlignment="true" applyProtection="true">
      <alignment horizontal="general" vertical="top" textRotation="0" wrapText="false" indent="0" shrinkToFit="false"/>
      <protection locked="true" hidden="false"/>
    </xf>
    <xf numFmtId="164" fontId="95" fillId="0" borderId="22" xfId="20" applyFont="true" applyBorder="true" applyAlignment="true" applyProtection="true">
      <alignment horizontal="general" vertical="top" textRotation="0" wrapText="false" indent="0" shrinkToFit="false"/>
      <protection locked="true" hidden="false"/>
    </xf>
    <xf numFmtId="164" fontId="95" fillId="0" borderId="27" xfId="20" applyFont="true" applyBorder="true" applyAlignment="true" applyProtection="true">
      <alignment horizontal="general" vertical="top" textRotation="0" wrapText="false" indent="0" shrinkToFit="false"/>
      <protection locked="true" hidden="false"/>
    </xf>
    <xf numFmtId="164" fontId="95" fillId="0" borderId="50" xfId="20" applyFont="true" applyBorder="true" applyAlignment="true" applyProtection="true">
      <alignment horizontal="general" vertical="top" textRotation="0" wrapText="false" indent="0" shrinkToFit="false"/>
      <protection locked="true" hidden="false"/>
    </xf>
    <xf numFmtId="164" fontId="95" fillId="0" borderId="30" xfId="20" applyFont="true" applyBorder="true" applyAlignment="true" applyProtection="true">
      <alignment horizontal="general" vertical="top" textRotation="0" wrapText="false" indent="0" shrinkToFit="false"/>
      <protection locked="true" hidden="false"/>
    </xf>
    <xf numFmtId="164" fontId="95" fillId="0" borderId="49" xfId="20" applyFont="true" applyBorder="true" applyAlignment="true" applyProtection="true">
      <alignment horizontal="general" vertical="top" textRotation="0" wrapText="false" indent="0" shrinkToFit="false"/>
      <protection locked="true" hidden="false"/>
    </xf>
    <xf numFmtId="169" fontId="50" fillId="0" borderId="0" xfId="20" applyFont="true" applyBorder="true" applyAlignment="true" applyProtection="true">
      <alignment horizontal="general" vertical="top" textRotation="0" wrapText="false" indent="0" shrinkToFit="false"/>
      <protection locked="true" hidden="false"/>
    </xf>
    <xf numFmtId="168" fontId="50" fillId="0" borderId="0" xfId="20" applyFont="true" applyBorder="true" applyAlignment="true" applyProtection="true">
      <alignment horizontal="general" vertical="top" textRotation="0" wrapText="false" indent="0" shrinkToFit="false"/>
      <protection locked="true" hidden="false"/>
    </xf>
    <xf numFmtId="164" fontId="95" fillId="0" borderId="8" xfId="20" applyFont="true" applyBorder="true" applyAlignment="true" applyProtection="true">
      <alignment horizontal="general" vertical="top" textRotation="0" wrapText="false" indent="0" shrinkToFit="false"/>
      <protection locked="true" hidden="false"/>
    </xf>
    <xf numFmtId="164" fontId="95" fillId="0" borderId="9" xfId="20" applyFont="true" applyBorder="true" applyAlignment="true" applyProtection="true">
      <alignment horizontal="general" vertical="top" textRotation="0" wrapText="false" indent="0" shrinkToFit="false"/>
      <protection locked="true" hidden="false"/>
    </xf>
    <xf numFmtId="164" fontId="95" fillId="0" borderId="7" xfId="20" applyFont="true" applyBorder="true" applyAlignment="true" applyProtection="true">
      <alignment horizontal="general" vertical="top" textRotation="0" wrapText="false" indent="0" shrinkToFit="false"/>
      <protection locked="true" hidden="false"/>
    </xf>
    <xf numFmtId="164" fontId="95" fillId="0" borderId="10" xfId="20" applyFont="true" applyBorder="true" applyAlignment="true" applyProtection="true">
      <alignment horizontal="general" vertical="top" textRotation="0" wrapText="false" indent="0" shrinkToFit="false"/>
      <protection locked="true" hidden="false"/>
    </xf>
    <xf numFmtId="164" fontId="95" fillId="0" borderId="24" xfId="20" applyFont="true" applyBorder="true" applyAlignment="true" applyProtection="true">
      <alignment horizontal="general" vertical="top" textRotation="0" wrapText="false" indent="0" shrinkToFit="false"/>
      <protection locked="true" hidden="false"/>
    </xf>
    <xf numFmtId="164" fontId="95" fillId="0" borderId="11" xfId="20" applyFont="true" applyBorder="true" applyAlignment="true" applyProtection="true">
      <alignment horizontal="general" vertical="top" textRotation="0" wrapText="false" indent="0" shrinkToFit="false"/>
      <protection locked="true" hidden="false"/>
    </xf>
    <xf numFmtId="164" fontId="7" fillId="0" borderId="0" xfId="20" applyFont="false" applyBorder="false" applyAlignment="false" applyProtection="false">
      <alignment horizontal="general" vertical="bottom" textRotation="0" wrapText="false" indent="0" shrinkToFit="false"/>
      <protection locked="true" hidden="false"/>
    </xf>
    <xf numFmtId="164" fontId="7" fillId="0" borderId="9" xfId="20" applyFont="true" applyBorder="true" applyAlignment="false" applyProtection="false">
      <alignment horizontal="general" vertical="bottom" textRotation="0" wrapText="false" indent="0" shrinkToFit="false"/>
      <protection locked="true" hidden="false"/>
    </xf>
    <xf numFmtId="167" fontId="7" fillId="0" borderId="9" xfId="20" applyFont="false" applyBorder="true" applyAlignment="false" applyProtection="false">
      <alignment horizontal="general" vertical="bottom" textRotation="0" wrapText="false" indent="0" shrinkToFit="false"/>
      <protection locked="true" hidden="false"/>
    </xf>
    <xf numFmtId="164" fontId="7" fillId="3" borderId="9" xfId="20" applyFont="fals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false">
      <alignment horizontal="general" vertical="center" textRotation="0" wrapText="true" indent="0" shrinkToFit="false"/>
      <protection locked="true" hidden="false"/>
    </xf>
    <xf numFmtId="164" fontId="4" fillId="0" borderId="5" xfId="20" applyFont="true" applyBorder="true" applyAlignment="true" applyProtection="false">
      <alignment horizontal="center" vertical="center" textRotation="0" wrapText="true" indent="0" shrinkToFit="false"/>
      <protection locked="true" hidden="false"/>
    </xf>
    <xf numFmtId="164" fontId="4" fillId="0" borderId="40" xfId="20" applyFont="true" applyBorder="true" applyAlignment="true" applyProtection="false">
      <alignment horizontal="center" vertical="center" textRotation="0" wrapText="true" indent="0" shrinkToFit="false"/>
      <protection locked="true" hidden="false"/>
    </xf>
    <xf numFmtId="164" fontId="4" fillId="0" borderId="3" xfId="20" applyFont="true" applyBorder="true" applyAlignment="true" applyProtection="false">
      <alignment horizontal="general" vertical="center" textRotation="0" wrapText="true" indent="0" shrinkToFit="false"/>
      <protection locked="true" hidden="false"/>
    </xf>
    <xf numFmtId="164" fontId="4" fillId="0" borderId="4" xfId="20" applyFont="true" applyBorder="true" applyAlignment="true" applyProtection="false">
      <alignment horizontal="center" vertical="center" textRotation="0" wrapText="true" indent="0" shrinkToFit="false"/>
      <protection locked="true" hidden="false"/>
    </xf>
    <xf numFmtId="169" fontId="4" fillId="0" borderId="42" xfId="20" applyFont="true" applyBorder="true" applyAlignment="true" applyProtection="false">
      <alignment horizontal="center" vertical="center" textRotation="0" wrapText="true" indent="0" shrinkToFit="false"/>
      <protection locked="true" hidden="false"/>
    </xf>
    <xf numFmtId="164" fontId="4" fillId="0" borderId="42" xfId="20" applyFont="true" applyBorder="true" applyAlignment="true" applyProtection="false">
      <alignment horizontal="center" vertical="center" textRotation="0" wrapText="true" indent="0" shrinkToFit="false"/>
      <protection locked="true" hidden="false"/>
    </xf>
    <xf numFmtId="164" fontId="4" fillId="0" borderId="3" xfId="20" applyFont="true" applyBorder="true" applyAlignment="true" applyProtection="false">
      <alignment horizontal="center" vertical="center" textRotation="0" wrapText="true" indent="0" shrinkToFit="false"/>
      <protection locked="true" hidden="false"/>
    </xf>
    <xf numFmtId="164" fontId="58" fillId="0" borderId="0" xfId="20" applyFont="true" applyBorder="false" applyAlignment="true" applyProtection="false">
      <alignment horizontal="general" vertical="bottom" textRotation="0" wrapText="true" indent="0" shrinkToFit="false"/>
      <protection locked="true" hidden="false"/>
    </xf>
    <xf numFmtId="167" fontId="50" fillId="0" borderId="24" xfId="20" applyFont="true" applyBorder="true" applyAlignment="false" applyProtection="false">
      <alignment horizontal="general" vertical="bottom" textRotation="0" wrapText="false" indent="0" shrinkToFit="false"/>
      <protection locked="true" hidden="false"/>
    </xf>
    <xf numFmtId="164" fontId="46" fillId="0" borderId="0" xfId="20" applyFont="true" applyBorder="true" applyAlignment="true" applyProtection="false">
      <alignment horizontal="general" vertical="bottom" textRotation="0" wrapText="true" indent="0" shrinkToFit="false"/>
      <protection locked="true" hidden="false"/>
    </xf>
    <xf numFmtId="166" fontId="50" fillId="0" borderId="0" xfId="20" applyFont="true" applyBorder="true" applyAlignment="false" applyProtection="false">
      <alignment horizontal="general" vertical="bottom" textRotation="0" wrapText="false" indent="0" shrinkToFit="false"/>
      <protection locked="true" hidden="false"/>
    </xf>
    <xf numFmtId="167" fontId="50" fillId="0" borderId="0" xfId="20" applyFont="true" applyBorder="true" applyAlignment="false" applyProtection="false">
      <alignment horizontal="general" vertical="bottom" textRotation="0" wrapText="false" indent="0" shrinkToFit="false"/>
      <protection locked="true" hidden="false"/>
    </xf>
    <xf numFmtId="164" fontId="58" fillId="0" borderId="0" xfId="20" applyFont="true" applyBorder="false" applyAlignment="false" applyProtection="false">
      <alignment horizontal="general" vertical="bottom" textRotation="0" wrapText="false" indent="0" shrinkToFit="false"/>
      <protection locked="true" hidden="false"/>
    </xf>
    <xf numFmtId="168" fontId="50" fillId="0" borderId="0" xfId="20" applyFont="true" applyBorder="false" applyAlignment="false" applyProtection="false">
      <alignment horizontal="general" vertical="bottom" textRotation="0" wrapText="false" indent="0" shrinkToFit="false"/>
      <protection locked="true" hidden="false"/>
    </xf>
    <xf numFmtId="169" fontId="50" fillId="0" borderId="0" xfId="20" applyFont="true" applyBorder="false" applyAlignment="false" applyProtection="false">
      <alignment horizontal="general" vertical="bottom" textRotation="0" wrapText="false" indent="0" shrinkToFit="false"/>
      <protection locked="true" hidden="false"/>
    </xf>
    <xf numFmtId="164" fontId="25" fillId="0" borderId="9" xfId="20" applyFont="true" applyBorder="true" applyAlignment="true" applyProtection="false">
      <alignment horizontal="left" vertical="top" textRotation="0" wrapText="true" indent="0" shrinkToFit="false"/>
      <protection locked="true" hidden="false"/>
    </xf>
    <xf numFmtId="167" fontId="50" fillId="0" borderId="0" xfId="20" applyFont="true" applyBorder="false" applyAlignment="false" applyProtection="false">
      <alignment horizontal="general" vertical="bottom" textRotation="0" wrapText="false" indent="0" shrinkToFit="false"/>
      <protection locked="true" hidden="false"/>
    </xf>
    <xf numFmtId="164" fontId="25" fillId="0" borderId="0" xfId="20" applyFont="true" applyBorder="false" applyAlignment="false" applyProtection="false">
      <alignment horizontal="general" vertical="bottom" textRotation="0" wrapText="false" indent="0" shrinkToFit="false"/>
      <protection locked="true" hidden="false"/>
    </xf>
    <xf numFmtId="164" fontId="25" fillId="0" borderId="75" xfId="20" applyFont="true" applyBorder="true" applyAlignment="true" applyProtection="false">
      <alignment horizontal="center" vertical="top" textRotation="0" wrapText="true" indent="0" shrinkToFit="false"/>
      <protection locked="true" hidden="false"/>
    </xf>
    <xf numFmtId="164" fontId="25" fillId="0" borderId="76" xfId="20" applyFont="true" applyBorder="true" applyAlignment="true" applyProtection="false">
      <alignment horizontal="center" vertical="top" textRotation="0" wrapText="true" indent="0" shrinkToFit="false"/>
      <protection locked="true" hidden="false"/>
    </xf>
    <xf numFmtId="164" fontId="25" fillId="0" borderId="77" xfId="20" applyFont="true" applyBorder="true" applyAlignment="true" applyProtection="false">
      <alignment horizontal="center" vertical="top" textRotation="0" wrapText="true" indent="0" shrinkToFit="false"/>
      <protection locked="true" hidden="false"/>
    </xf>
    <xf numFmtId="164" fontId="25" fillId="0" borderId="78" xfId="20" applyFont="true" applyBorder="true" applyAlignment="true" applyProtection="false">
      <alignment horizontal="center" vertical="top" textRotation="0" wrapText="true" indent="0" shrinkToFit="false"/>
      <protection locked="true" hidden="false"/>
    </xf>
    <xf numFmtId="164" fontId="25" fillId="0" borderId="4" xfId="20" applyFont="true" applyBorder="true" applyAlignment="true" applyProtection="false">
      <alignment horizontal="center" vertical="top" textRotation="0" wrapText="true" indent="0" shrinkToFit="false"/>
      <protection locked="true" hidden="false"/>
    </xf>
    <xf numFmtId="164" fontId="25" fillId="0" borderId="79" xfId="20" applyFont="true" applyBorder="true" applyAlignment="true" applyProtection="false">
      <alignment horizontal="center" vertical="top" textRotation="0" wrapText="true" indent="0" shrinkToFit="false"/>
      <protection locked="true" hidden="false"/>
    </xf>
    <xf numFmtId="164" fontId="25" fillId="0" borderId="80" xfId="20" applyFont="true" applyBorder="true" applyAlignment="true" applyProtection="false">
      <alignment horizontal="center" vertical="top" textRotation="0" wrapText="true" indent="0" shrinkToFit="false"/>
      <protection locked="true" hidden="false"/>
    </xf>
    <xf numFmtId="164" fontId="25" fillId="0" borderId="81" xfId="20" applyFont="true" applyBorder="true" applyAlignment="true" applyProtection="false">
      <alignment horizontal="center" vertical="top" textRotation="0" wrapText="true" indent="0" shrinkToFit="false"/>
      <protection locked="true" hidden="false"/>
    </xf>
    <xf numFmtId="164" fontId="25" fillId="0" borderId="82" xfId="20" applyFont="true" applyBorder="true" applyAlignment="true" applyProtection="false">
      <alignment horizontal="center" vertical="top" textRotation="0" wrapText="true" indent="0" shrinkToFit="false"/>
      <protection locked="true" hidden="false"/>
    </xf>
    <xf numFmtId="164" fontId="25" fillId="0" borderId="9" xfId="20" applyFont="true" applyBorder="true" applyAlignment="true" applyProtection="false">
      <alignment horizontal="center" vertical="top" textRotation="0" wrapText="true" indent="0" shrinkToFit="false"/>
      <protection locked="true" hidden="false"/>
    </xf>
    <xf numFmtId="167" fontId="27" fillId="0" borderId="0" xfId="20" applyFont="true" applyBorder="false" applyAlignment="false" applyProtection="false">
      <alignment horizontal="general" vertical="bottom" textRotation="0" wrapText="false" indent="0" shrinkToFit="false"/>
      <protection locked="true" hidden="false"/>
    </xf>
    <xf numFmtId="167" fontId="27" fillId="0" borderId="0" xfId="2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0">
    <dxf>
      <fill>
        <patternFill>
          <bgColor rgb="FFFF0000"/>
        </patternFill>
      </fill>
    </dxf>
    <dxf>
      <fill>
        <patternFill>
          <bgColor rgb="FF00B050"/>
        </patternFill>
      </fill>
    </dxf>
    <dxf>
      <font>
        <color rgb="FF006100"/>
      </font>
      <fill>
        <patternFill>
          <bgColor rgb="FFC6EFCE"/>
        </patternFill>
      </fill>
    </dxf>
    <dxf>
      <fill>
        <patternFill>
          <bgColor rgb="FFFF0000"/>
        </patternFill>
      </fill>
    </dxf>
    <dxf>
      <fill>
        <patternFill>
          <bgColor rgb="FF00B050"/>
        </patternFill>
      </fill>
    </dxf>
    <dxf>
      <font>
        <color rgb="FF006100"/>
      </font>
      <fill>
        <patternFill>
          <bgColor rgb="FFC6EFCE"/>
        </patternFill>
      </fill>
    </dxf>
    <dxf>
      <fill>
        <patternFill>
          <bgColor rgb="FFFF0000"/>
        </patternFill>
      </fill>
    </dxf>
    <dxf>
      <fill>
        <patternFill>
          <bgColor rgb="FF00B050"/>
        </patternFill>
      </fill>
    </dxf>
    <dxf>
      <font>
        <color rgb="FF006100"/>
      </font>
      <fill>
        <patternFill>
          <bgColor rgb="FFC6EFCE"/>
        </patternFill>
      </fill>
    </dxf>
    <dxf>
      <fill>
        <patternFill>
          <bgColor rgb="FFFF0000"/>
        </patternFill>
      </fill>
    </dxf>
    <dxf>
      <fill>
        <patternFill>
          <bgColor rgb="FF00B050"/>
        </patternFill>
      </fill>
    </dxf>
    <dxf>
      <font>
        <color rgb="FF006100"/>
      </font>
      <fill>
        <patternFill>
          <bgColor rgb="FFC6EFCE"/>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9900"/>
      <rgbColor rgb="FF000080"/>
      <rgbColor rgb="FF808000"/>
      <rgbColor rgb="FF800080"/>
      <rgbColor rgb="FF006600"/>
      <rgbColor rgb="FFBFBFC0"/>
      <rgbColor rgb="FF7F7F80"/>
      <rgbColor rgb="FF9DC3E6"/>
      <rgbColor rgb="FF7030A0"/>
      <rgbColor rgb="FFEFEFF0"/>
      <rgbColor rgb="FFCCFFFF"/>
      <rgbColor rgb="FF660066"/>
      <rgbColor rgb="FFFF8080"/>
      <rgbColor rgb="FF006699"/>
      <rgbColor rgb="FFBDD7EE"/>
      <rgbColor rgb="FF000080"/>
      <rgbColor rgb="FFFF00FF"/>
      <rgbColor rgb="FFFFFF00"/>
      <rgbColor rgb="FF00FFFF"/>
      <rgbColor rgb="FF800080"/>
      <rgbColor rgb="FF800000"/>
      <rgbColor rgb="FF008080"/>
      <rgbColor rgb="FF0000CC"/>
      <rgbColor rgb="FF00B0F0"/>
      <rgbColor rgb="FFDFDFE0"/>
      <rgbColor rgb="FFC6EFCE"/>
      <rgbColor rgb="FFEFE2C0"/>
      <rgbColor rgb="FF99CCFF"/>
      <rgbColor rgb="FFFF99CC"/>
      <rgbColor rgb="FFD9D9D9"/>
      <rgbColor rgb="FFFFD966"/>
      <rgbColor rgb="FF3366FF"/>
      <rgbColor rgb="FF33CCCC"/>
      <rgbColor rgb="FF92D050"/>
      <rgbColor rgb="FFFFCC00"/>
      <rgbColor rgb="FFFF9900"/>
      <rgbColor rgb="FFFF6600"/>
      <rgbColor rgb="FF666699"/>
      <rgbColor rgb="FF8B8B8B"/>
      <rgbColor rgb="FF003366"/>
      <rgbColor rgb="FF00B050"/>
      <rgbColor rgb="FF006100"/>
      <rgbColor rgb="FF333300"/>
      <rgbColor rgb="FF993300"/>
      <rgbColor rgb="FF993366"/>
      <rgbColor rgb="FF333399"/>
      <rgbColor rgb="FF3F3F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externalLink" Target="externalLinks/externalLink1.xml"/><Relationship Id="rId46" Type="http://schemas.openxmlformats.org/officeDocument/2006/relationships/externalLink" Target="externalLinks/externalLink2.xml"/><Relationship Id="rId4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Times New Roman"/>
                <a:ea typeface="Times New Roman"/>
              </a:defRPr>
            </a:pPr>
            <a:r>
              <a:rPr b="1" sz="1800" spc="-1" strike="noStrike">
                <a:solidFill>
                  <a:srgbClr val="000000"/>
                </a:solidFill>
                <a:uFill>
                  <a:solidFill>
                    <a:srgbClr val="ffffff"/>
                  </a:solidFill>
                </a:uFill>
                <a:latin typeface="Times New Roman"/>
                <a:ea typeface="Times New Roman"/>
              </a:rPr>
              <a:t>Зміна модуля пружності</a:t>
            </a:r>
          </a:p>
        </c:rich>
      </c:tx>
      <c:layout>
        <c:manualLayout>
          <c:xMode val="edge"/>
          <c:yMode val="edge"/>
          <c:x val="0.337489309987847"/>
          <c:y val="0.0191249312052834"/>
        </c:manualLayout>
      </c:layout>
      <c:overlay val="0"/>
    </c:title>
    <c:autoTitleDeleted val="0"/>
    <c:plotArea>
      <c:layout>
        <c:manualLayout>
          <c:layoutTarget val="inner"/>
          <c:xMode val="edge"/>
          <c:yMode val="edge"/>
          <c:x val="0.117477607237701"/>
          <c:y val="0.175701706108971"/>
          <c:w val="0.831390376738534"/>
          <c:h val="0.548981838194827"/>
        </c:manualLayout>
      </c:layout>
      <c:scatterChart>
        <c:scatterStyle val="lineMarker"/>
        <c:varyColors val="0"/>
        <c:ser>
          <c:idx val="0"/>
          <c:order val="0"/>
          <c:tx>
            <c:strRef>
              <c:f>Над_Езаг!$Z$64:$Z$64</c:f>
              <c:strCache>
                <c:ptCount val="1"/>
                <c:pt idx="0">
                  <c:v>М.М. Іванова</c:v>
                </c:pt>
              </c:strCache>
            </c:strRef>
          </c:tx>
          <c:spPr>
            <a:solidFill>
              <a:srgbClr val="000080"/>
            </a:solidFill>
            <a:ln w="12600">
              <a:solidFill>
                <a:srgbClr val="000080"/>
              </a:solidFill>
              <a:round/>
            </a:ln>
          </c:spPr>
          <c:marker>
            <c:symbol val="diamond"/>
            <c:size val="6"/>
            <c:spPr>
              <a:solidFill>
                <a:srgbClr val="000080"/>
              </a:solidFill>
            </c:spPr>
          </c:marker>
          <c:dLbls>
            <c:dLblPos val="r"/>
            <c:showLegendKey val="0"/>
            <c:showVal val="0"/>
            <c:showCatName val="0"/>
            <c:showSerName val="0"/>
            <c:showPercent val="0"/>
            <c:showLeaderLines val="0"/>
          </c:dLbls>
          <c:xVal>
            <c:numRef>
              <c:f>Над_Езаг!$B$66:$B$76</c:f>
              <c:numCache>
                <c:formatCode>General</c:formatCode>
                <c:ptCount val="8"/>
                <c:pt idx="0">
                  <c:v>7</c:v>
                </c:pt>
                <c:pt idx="1">
                  <c:v>6</c:v>
                </c:pt>
                <c:pt idx="2">
                  <c:v>5</c:v>
                </c:pt>
                <c:pt idx="3">
                  <c:v>4</c:v>
                </c:pt>
                <c:pt idx="4">
                  <c:v>3</c:v>
                </c:pt>
                <c:pt idx="5">
                  <c:v>2</c:v>
                </c:pt>
                <c:pt idx="6">
                  <c:v>1</c:v>
                </c:pt>
                <c:pt idx="7">
                  <c:v>0</c:v>
                </c:pt>
              </c:numCache>
            </c:numRef>
          </c:xVal>
          <c:yVal>
            <c:numRef>
              <c:f>Над_Езаг!$Z$66:$Z$76</c:f>
              <c:numCache>
                <c:formatCode>General</c:formatCode>
                <c:ptCount val="8"/>
                <c:pt idx="0">
                  <c:v/>
                </c:pt>
                <c:pt idx="1">
                  <c:v>512.625</c:v>
                </c:pt>
                <c:pt idx="2">
                  <c:v>512.625</c:v>
                </c:pt>
                <c:pt idx="3">
                  <c:v>400.125</c:v>
                </c:pt>
                <c:pt idx="4">
                  <c:v>242.625</c:v>
                </c:pt>
                <c:pt idx="5">
                  <c:v>197.625</c:v>
                </c:pt>
                <c:pt idx="6">
                  <c:v>79.5</c:v>
                </c:pt>
                <c:pt idx="7">
                  <c:v/>
                </c:pt>
              </c:numCache>
            </c:numRef>
          </c:yVal>
          <c:smooth val="0"/>
        </c:ser>
        <c:ser>
          <c:idx val="1"/>
          <c:order val="1"/>
          <c:tx>
            <c:strRef>
              <c:f>Над_Езаг!$Y$64:$Y$64</c:f>
              <c:strCache>
                <c:ptCount val="1"/>
                <c:pt idx="0">
                  <c:v>ВСН 46-83</c:v>
                </c:pt>
              </c:strCache>
            </c:strRef>
          </c:tx>
          <c:spPr>
            <a:solidFill>
              <a:srgbClr val="000000"/>
            </a:solidFill>
            <a:ln w="3240">
              <a:solidFill>
                <a:srgbClr val="000000"/>
              </a:solidFill>
              <a:round/>
            </a:ln>
          </c:spPr>
          <c:marker>
            <c:symbol val="square"/>
            <c:size val="3"/>
            <c:spPr>
              <a:solidFill>
                <a:srgbClr val="000000"/>
              </a:solidFill>
            </c:spPr>
          </c:marker>
          <c:dLbls>
            <c:dLblPos val="r"/>
            <c:showLegendKey val="0"/>
            <c:showVal val="0"/>
            <c:showCatName val="0"/>
            <c:showSerName val="0"/>
            <c:showPercent val="0"/>
            <c:showLeaderLines val="0"/>
          </c:dLbls>
          <c:xVal>
            <c:numRef>
              <c:f>Над_Езаг!$B$66:$B$76</c:f>
              <c:numCache>
                <c:formatCode>General</c:formatCode>
                <c:ptCount val="8"/>
                <c:pt idx="0">
                  <c:v>7</c:v>
                </c:pt>
                <c:pt idx="1">
                  <c:v>6</c:v>
                </c:pt>
                <c:pt idx="2">
                  <c:v>5</c:v>
                </c:pt>
                <c:pt idx="3">
                  <c:v>4</c:v>
                </c:pt>
                <c:pt idx="4">
                  <c:v>3</c:v>
                </c:pt>
                <c:pt idx="5">
                  <c:v>2</c:v>
                </c:pt>
                <c:pt idx="6">
                  <c:v>1</c:v>
                </c:pt>
                <c:pt idx="7">
                  <c:v>0</c:v>
                </c:pt>
              </c:numCache>
            </c:numRef>
          </c:xVal>
          <c:yVal>
            <c:numRef>
              <c:f>Над_Езаг!$Y$66:$Y$76</c:f>
              <c:numCache>
                <c:formatCode>General</c:formatCode>
                <c:ptCount val="8"/>
                <c:pt idx="0">
                  <c:v/>
                </c:pt>
                <c:pt idx="1">
                  <c:v/>
                </c:pt>
                <c:pt idx="2">
                  <c:v>460.80835120243</c:v>
                </c:pt>
                <c:pt idx="3">
                  <c:v>374.97117641002</c:v>
                </c:pt>
                <c:pt idx="4">
                  <c:v>236.51786125676</c:v>
                </c:pt>
                <c:pt idx="5">
                  <c:v>194.746598279118</c:v>
                </c:pt>
                <c:pt idx="6">
                  <c:v>79.4401591798366</c:v>
                </c:pt>
                <c:pt idx="7">
                  <c:v>42</c:v>
                </c:pt>
              </c:numCache>
            </c:numRef>
          </c:yVal>
          <c:smooth val="0"/>
        </c:ser>
        <c:ser>
          <c:idx val="2"/>
          <c:order val="2"/>
          <c:tx>
            <c:strRef>
              <c:f>Над_Езаг!$U$64:$U$64</c:f>
              <c:strCache>
                <c:ptCount val="1"/>
                <c:pt idx="0">
                  <c:v>Розрахунок за формулою</c:v>
                </c:pt>
              </c:strCache>
            </c:strRef>
          </c:tx>
          <c:spPr>
            <a:solidFill>
              <a:srgbClr val="000000"/>
            </a:solidFill>
            <a:ln w="3240">
              <a:solidFill>
                <a:srgbClr val="000000"/>
              </a:solidFill>
              <a:round/>
            </a:ln>
          </c:spPr>
          <c:marker>
            <c:symbol val="triangle"/>
            <c:size val="5"/>
            <c:spPr>
              <a:solidFill>
                <a:srgbClr val="000000"/>
              </a:solidFill>
            </c:spPr>
          </c:marker>
          <c:dLbls>
            <c:dLblPos val="r"/>
            <c:showLegendKey val="0"/>
            <c:showVal val="0"/>
            <c:showCatName val="0"/>
            <c:showSerName val="0"/>
            <c:showPercent val="0"/>
            <c:showLeaderLines val="0"/>
          </c:dLbls>
          <c:xVal>
            <c:numRef>
              <c:f>Над_Езаг!$B$66:$B$76</c:f>
              <c:numCache>
                <c:formatCode>General</c:formatCode>
                <c:ptCount val="8"/>
                <c:pt idx="0">
                  <c:v>7</c:v>
                </c:pt>
                <c:pt idx="1">
                  <c:v>6</c:v>
                </c:pt>
                <c:pt idx="2">
                  <c:v>5</c:v>
                </c:pt>
                <c:pt idx="3">
                  <c:v>4</c:v>
                </c:pt>
                <c:pt idx="4">
                  <c:v>3</c:v>
                </c:pt>
                <c:pt idx="5">
                  <c:v>2</c:v>
                </c:pt>
                <c:pt idx="6">
                  <c:v>1</c:v>
                </c:pt>
                <c:pt idx="7">
                  <c:v>0</c:v>
                </c:pt>
              </c:numCache>
            </c:numRef>
          </c:xVal>
          <c:yVal>
            <c:numRef>
              <c:f>Над_Езаг!$U$66:$U$76</c:f>
              <c:numCache>
                <c:formatCode>General</c:formatCode>
                <c:ptCount val="8"/>
                <c:pt idx="0">
                  <c:v/>
                </c:pt>
                <c:pt idx="1">
                  <c:v/>
                </c:pt>
                <c:pt idx="2">
                  <c:v>457.066341689785</c:v>
                </c:pt>
                <c:pt idx="3">
                  <c:v>380.81166292976</c:v>
                </c:pt>
                <c:pt idx="4">
                  <c:v>236.79511776936</c:v>
                </c:pt>
                <c:pt idx="5">
                  <c:v>193.412223128767</c:v>
                </c:pt>
                <c:pt idx="6">
                  <c:v>76.2744540493957</c:v>
                </c:pt>
                <c:pt idx="7">
                  <c:v>42</c:v>
                </c:pt>
              </c:numCache>
            </c:numRef>
          </c:yVal>
          <c:smooth val="0"/>
        </c:ser>
        <c:ser>
          <c:idx val="3"/>
          <c:order val="3"/>
          <c:tx>
            <c:strRef>
              <c:f>Над_Езаг!$V$64:$V$64</c:f>
              <c:strCache>
                <c:ptCount val="1"/>
                <c:pt idx="0">
                  <c:v>Е. Барбера</c:v>
                </c:pt>
              </c:strCache>
            </c:strRef>
          </c:tx>
          <c:spPr>
            <a:solidFill>
              <a:srgbClr val="000080"/>
            </a:solidFill>
            <a:ln w="3240">
              <a:solidFill>
                <a:srgbClr val="000080"/>
              </a:solidFill>
              <a:round/>
            </a:ln>
          </c:spPr>
          <c:marker>
            <c:symbol val="circle"/>
            <c:size val="6"/>
            <c:spPr>
              <a:solidFill>
                <a:srgbClr val="000080"/>
              </a:solidFill>
            </c:spPr>
          </c:marker>
          <c:dLbls>
            <c:dLblPos val="r"/>
            <c:showLegendKey val="0"/>
            <c:showVal val="0"/>
            <c:showCatName val="0"/>
            <c:showSerName val="0"/>
            <c:showPercent val="0"/>
            <c:showLeaderLines val="0"/>
          </c:dLbls>
          <c:xVal>
            <c:numRef>
              <c:f>Над_Езаг!$B$66:$B$76</c:f>
              <c:numCache>
                <c:formatCode>General</c:formatCode>
                <c:ptCount val="8"/>
                <c:pt idx="0">
                  <c:v>7</c:v>
                </c:pt>
                <c:pt idx="1">
                  <c:v>6</c:v>
                </c:pt>
                <c:pt idx="2">
                  <c:v>5</c:v>
                </c:pt>
                <c:pt idx="3">
                  <c:v>4</c:v>
                </c:pt>
                <c:pt idx="4">
                  <c:v>3</c:v>
                </c:pt>
                <c:pt idx="5">
                  <c:v>2</c:v>
                </c:pt>
                <c:pt idx="6">
                  <c:v>1</c:v>
                </c:pt>
                <c:pt idx="7">
                  <c:v>0</c:v>
                </c:pt>
              </c:numCache>
            </c:numRef>
          </c:xVal>
          <c:yVal>
            <c:numRef>
              <c:f>Над_Езаг!$V$66:$V$76</c:f>
              <c:numCache>
                <c:formatCode>General</c:formatCode>
                <c:ptCount val="8"/>
                <c:pt idx="0">
                  <c:v/>
                </c:pt>
                <c:pt idx="1">
                  <c:v>0</c:v>
                </c:pt>
                <c:pt idx="2">
                  <c:v>427.359970438251</c:v>
                </c:pt>
                <c:pt idx="3">
                  <c:v>357.079729098775</c:v>
                </c:pt>
                <c:pt idx="4">
                  <c:v>196.776177069928</c:v>
                </c:pt>
                <c:pt idx="5">
                  <c:v>184.159406768162</c:v>
                </c:pt>
                <c:pt idx="6">
                  <c:v>68.3210176545378</c:v>
                </c:pt>
                <c:pt idx="7">
                  <c:v>42</c:v>
                </c:pt>
              </c:numCache>
            </c:numRef>
          </c:yVal>
          <c:smooth val="0"/>
        </c:ser>
        <c:axId val="42121492"/>
        <c:axId val="74202930"/>
      </c:scatterChart>
      <c:valAx>
        <c:axId val="42121492"/>
        <c:scaling>
          <c:orientation val="minMax"/>
        </c:scaling>
        <c:delete val="0"/>
        <c:axPos val="b"/>
        <c:majorGridlines>
          <c:spPr>
            <a:ln w="3240">
              <a:solidFill>
                <a:srgbClr val="000000"/>
              </a:solidFill>
              <a:round/>
            </a:ln>
          </c:spPr>
        </c:majorGridlines>
        <c:minorGridlines>
          <c:spPr>
            <a:ln w="3240">
              <a:solidFill>
                <a:srgbClr val="000000"/>
              </a:solidFill>
              <a:round/>
            </a:ln>
          </c:spPr>
        </c:minorGridlines>
        <c:title>
          <c:tx>
            <c:rich>
              <a:bodyPr rot="0"/>
              <a:lstStyle/>
              <a:p>
                <a:pPr>
                  <a:defRPr b="0" sz="1200" spc="-1" strike="noStrike">
                    <a:solidFill>
                      <a:srgbClr val="000000"/>
                    </a:solidFill>
                    <a:uFill>
                      <a:solidFill>
                        <a:srgbClr val="ffffff"/>
                      </a:solidFill>
                    </a:uFill>
                    <a:latin typeface="Times New Roman"/>
                    <a:ea typeface="Times New Roman"/>
                  </a:defRPr>
                </a:pPr>
                <a:r>
                  <a:rPr b="0" sz="1200" spc="-1" strike="noStrike">
                    <a:solidFill>
                      <a:srgbClr val="000000"/>
                    </a:solidFill>
                    <a:uFill>
                      <a:solidFill>
                        <a:srgbClr val="ffffff"/>
                      </a:solidFill>
                    </a:uFill>
                    <a:latin typeface="Times New Roman"/>
                    <a:ea typeface="Times New Roman"/>
                  </a:rPr>
                  <a:t>шари</a:t>
                </a:r>
              </a:p>
            </c:rich>
          </c:tx>
          <c:layout>
            <c:manualLayout>
              <c:xMode val="edge"/>
              <c:yMode val="edge"/>
              <c:x val="0.910068866183553"/>
              <c:y val="0.819345074298294"/>
            </c:manualLayout>
          </c:layout>
          <c:overlay val="0"/>
        </c:title>
        <c:numFmt formatCode="General" sourceLinked="0"/>
        <c:majorTickMark val="out"/>
        <c:minorTickMark val="none"/>
        <c:tickLblPos val="nextTo"/>
        <c:spPr>
          <a:ln w="9360">
            <a:noFill/>
          </a:ln>
        </c:spPr>
        <c:txPr>
          <a:bodyPr/>
          <a:p>
            <a:pPr>
              <a:defRPr b="0" sz="1000" spc="-1" strike="noStrike">
                <a:solidFill>
                  <a:srgbClr val="000000"/>
                </a:solidFill>
                <a:uFill>
                  <a:solidFill>
                    <a:srgbClr val="ffffff"/>
                  </a:solidFill>
                </a:uFill>
                <a:latin typeface="Arial Cyr"/>
                <a:ea typeface="Arial Cyr"/>
              </a:defRPr>
            </a:pPr>
          </a:p>
        </c:txPr>
        <c:crossAx val="74202930"/>
        <c:crosses val="autoZero"/>
        <c:crossBetween val="midCat"/>
      </c:valAx>
      <c:valAx>
        <c:axId val="74202930"/>
        <c:scaling>
          <c:orientation val="minMax"/>
        </c:scaling>
        <c:delete val="0"/>
        <c:axPos val="l"/>
        <c:majorGridlines>
          <c:spPr>
            <a:ln w="3240">
              <a:solidFill>
                <a:srgbClr val="000000"/>
              </a:solidFill>
              <a:round/>
            </a:ln>
          </c:spPr>
        </c:majorGridlines>
        <c:title>
          <c:tx>
            <c:rich>
              <a:bodyPr rot="-5400000"/>
              <a:lstStyle/>
              <a:p>
                <a:pPr>
                  <a:defRPr b="0" sz="1200" spc="-1" strike="noStrike">
                    <a:solidFill>
                      <a:srgbClr val="000000"/>
                    </a:solidFill>
                    <a:uFill>
                      <a:solidFill>
                        <a:srgbClr val="ffffff"/>
                      </a:solidFill>
                    </a:uFill>
                    <a:latin typeface="Times New Roman"/>
                    <a:ea typeface="Times New Roman"/>
                  </a:defRPr>
                </a:pPr>
                <a:r>
                  <a:rPr b="0" sz="1200" spc="-1" strike="noStrike">
                    <a:solidFill>
                      <a:srgbClr val="000000"/>
                    </a:solidFill>
                    <a:uFill>
                      <a:solidFill>
                        <a:srgbClr val="ffffff"/>
                      </a:solidFill>
                    </a:uFill>
                    <a:latin typeface="Times New Roman"/>
                    <a:ea typeface="Times New Roman"/>
                  </a:rPr>
                  <a:t>Модуль пружності, МПа</a:t>
                </a:r>
              </a:p>
            </c:rich>
          </c:tx>
          <c:layout>
            <c:manualLayout>
              <c:xMode val="edge"/>
              <c:yMode val="edge"/>
              <c:x val="0.00954224242697034"/>
              <c:y val="0.202394056136489"/>
            </c:manualLayout>
          </c:layout>
          <c:overlay val="0"/>
        </c:title>
        <c:numFmt formatCode="General"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Arial Cyr"/>
                <a:ea typeface="Arial Cyr"/>
              </a:defRPr>
            </a:pPr>
          </a:p>
        </c:txPr>
        <c:crossAx val="42121492"/>
        <c:crosses val="autoZero"/>
        <c:crossBetween val="midCat"/>
      </c:valAx>
      <c:spPr>
        <a:solidFill>
          <a:srgbClr val="ffffff"/>
        </a:solidFill>
        <a:ln w="12600">
          <a:solidFill>
            <a:srgbClr val="000000"/>
          </a:solidFill>
          <a:round/>
        </a:ln>
      </c:spPr>
    </c:plotArea>
    <c:legend>
      <c:legendPos val="r"/>
      <c:layout>
        <c:manualLayout>
          <c:xMode val="edge"/>
          <c:yMode val="edge"/>
          <c:x val="0.193704727587018"/>
          <c:y val="0.87786419827292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967895524418447"/>
          <c:y val="0.0263170986518084"/>
          <c:w val="0.875323085294518"/>
          <c:h val="0.735137555345505"/>
        </c:manualLayout>
      </c:layout>
      <c:scatterChart>
        <c:scatterStyle val="lineMarker"/>
        <c:varyColors val="0"/>
        <c:ser>
          <c:idx val="0"/>
          <c:order val="0"/>
          <c:tx>
            <c:strRef>
              <c:f>Ном_Згин!$A$6:$A$6</c:f>
              <c:strCache>
                <c:ptCount val="1"/>
                <c:pt idx="0">
                  <c:v>5</c:v>
                </c:pt>
              </c:strCache>
            </c:strRef>
          </c:tx>
          <c:spPr>
            <a:solidFill>
              <a:srgbClr val="000080"/>
            </a:solidFill>
            <a:ln w="28440">
              <a:noFill/>
            </a:ln>
          </c:spPr>
          <c:marker>
            <c:symbol val="diamond"/>
            <c:size val="5"/>
            <c:spPr>
              <a:solidFill>
                <a:srgbClr val="000080"/>
              </a:solidFill>
            </c:spPr>
          </c:marker>
          <c:dLbls>
            <c:dLblPos val="r"/>
            <c:showLegendKey val="0"/>
            <c:showVal val="0"/>
            <c:showCatName val="0"/>
            <c:showSerName val="0"/>
            <c:showPercent val="0"/>
            <c:showLeaderLines val="0"/>
          </c:dLbls>
          <c:trendline>
            <c:name>R5</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Ном_Згин!$B$6:$K$6</c:f>
              <c:numCache>
                <c:formatCode>General</c:formatCode>
                <c:ptCount val="10"/>
                <c:pt idx="0">
                  <c:v>0.892</c:v>
                </c:pt>
                <c:pt idx="1">
                  <c:v>0.892</c:v>
                </c:pt>
                <c:pt idx="2">
                  <c:v>0.892</c:v>
                </c:pt>
                <c:pt idx="3">
                  <c:v>0.845</c:v>
                </c:pt>
                <c:pt idx="4">
                  <c:v>0.75</c:v>
                </c:pt>
                <c:pt idx="5">
                  <c:v>0.648</c:v>
                </c:pt>
                <c:pt idx="6">
                  <c:v>0.554</c:v>
                </c:pt>
                <c:pt idx="7">
                  <c:v>0.471</c:v>
                </c:pt>
                <c:pt idx="8">
                  <c:v>0.401</c:v>
                </c:pt>
                <c:pt idx="9">
                  <c:v>0.342</c:v>
                </c:pt>
              </c:numCache>
            </c:numRef>
          </c:yVal>
          <c:smooth val="0"/>
        </c:ser>
        <c:ser>
          <c:idx val="1"/>
          <c:order val="1"/>
          <c:tx>
            <c:strRef>
              <c:f>Ном_Згин!$A$7:$A$7</c:f>
              <c:strCache>
                <c:ptCount val="1"/>
                <c:pt idx="0">
                  <c:v>7</c:v>
                </c:pt>
              </c:strCache>
            </c:strRef>
          </c:tx>
          <c:spPr>
            <a:solidFill>
              <a:srgbClr val="ff00ff"/>
            </a:solidFill>
            <a:ln w="28440">
              <a:noFill/>
            </a:ln>
          </c:spPr>
          <c:marker>
            <c:symbol val="square"/>
            <c:size val="5"/>
            <c:spPr>
              <a:solidFill>
                <a:srgbClr val="ff00ff"/>
              </a:solidFill>
            </c:spPr>
          </c:marker>
          <c:dLbls>
            <c:dLblPos val="r"/>
            <c:showLegendKey val="0"/>
            <c:showVal val="0"/>
            <c:showCatName val="0"/>
            <c:showSerName val="0"/>
            <c:showPercent val="0"/>
            <c:showLeaderLines val="0"/>
          </c:dLbls>
          <c:trendline>
            <c:name>R7</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Ном_Згин!$B$7:$K$7</c:f>
              <c:numCache>
                <c:formatCode>General</c:formatCode>
                <c:ptCount val="10"/>
                <c:pt idx="0">
                  <c:v>1.248</c:v>
                </c:pt>
                <c:pt idx="1">
                  <c:v>1.248</c:v>
                </c:pt>
                <c:pt idx="2">
                  <c:v>1.248</c:v>
                </c:pt>
                <c:pt idx="3">
                  <c:v>1.126</c:v>
                </c:pt>
                <c:pt idx="4">
                  <c:v>0.964</c:v>
                </c:pt>
                <c:pt idx="5">
                  <c:v>0.815</c:v>
                </c:pt>
                <c:pt idx="6">
                  <c:v>0.689</c:v>
                </c:pt>
                <c:pt idx="7">
                  <c:v>0.58</c:v>
                </c:pt>
                <c:pt idx="8">
                  <c:v>0.491</c:v>
                </c:pt>
                <c:pt idx="9">
                  <c:v>0.419</c:v>
                </c:pt>
              </c:numCache>
            </c:numRef>
          </c:yVal>
          <c:smooth val="0"/>
        </c:ser>
        <c:ser>
          <c:idx val="2"/>
          <c:order val="2"/>
          <c:tx>
            <c:strRef>
              <c:f>Ном_Згин!$A$8:$A$8</c:f>
              <c:strCache>
                <c:ptCount val="1"/>
                <c:pt idx="0">
                  <c:v>10</c:v>
                </c:pt>
              </c:strCache>
            </c:strRef>
          </c:tx>
          <c:spPr>
            <a:solidFill>
              <a:srgbClr val="ffff00"/>
            </a:solidFill>
            <a:ln w="28440">
              <a:noFill/>
            </a:ln>
          </c:spPr>
          <c:marker>
            <c:symbol val="triangle"/>
            <c:size val="5"/>
            <c:spPr>
              <a:solidFill>
                <a:srgbClr val="ffff00"/>
              </a:solidFill>
            </c:spPr>
          </c:marker>
          <c:dLbls>
            <c:dLblPos val="r"/>
            <c:showLegendKey val="0"/>
            <c:showVal val="0"/>
            <c:showCatName val="0"/>
            <c:showSerName val="0"/>
            <c:showPercent val="0"/>
            <c:showLeaderLines val="0"/>
          </c:dLbls>
          <c:trendline>
            <c:name>R10</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Ном_Згин!$B$8:$K$8</c:f>
              <c:numCache>
                <c:formatCode>General</c:formatCode>
                <c:ptCount val="10"/>
                <c:pt idx="0">
                  <c:v>1.673</c:v>
                </c:pt>
                <c:pt idx="1">
                  <c:v>1.673</c:v>
                </c:pt>
                <c:pt idx="2">
                  <c:v>1.668</c:v>
                </c:pt>
                <c:pt idx="3">
                  <c:v>1.434</c:v>
                </c:pt>
                <c:pt idx="4">
                  <c:v>1.194</c:v>
                </c:pt>
                <c:pt idx="5">
                  <c:v>0.99</c:v>
                </c:pt>
                <c:pt idx="6">
                  <c:v>0.827</c:v>
                </c:pt>
                <c:pt idx="7">
                  <c:v>0.694</c:v>
                </c:pt>
                <c:pt idx="8">
                  <c:v>0.586</c:v>
                </c:pt>
                <c:pt idx="9">
                  <c:v>0.499</c:v>
                </c:pt>
              </c:numCache>
            </c:numRef>
          </c:yVal>
          <c:smooth val="0"/>
        </c:ser>
        <c:ser>
          <c:idx val="3"/>
          <c:order val="3"/>
          <c:tx>
            <c:strRef>
              <c:f>Ном_Згин!$A$9:$A$9</c:f>
              <c:strCache>
                <c:ptCount val="1"/>
                <c:pt idx="0">
                  <c:v>20</c:v>
                </c:pt>
              </c:strCache>
            </c:strRef>
          </c:tx>
          <c:spPr>
            <a:solidFill>
              <a:srgbClr val="ffffff"/>
            </a:solidFill>
            <a:ln w="28440">
              <a:noFill/>
            </a:ln>
          </c:spPr>
          <c:marker>
            <c:symbol val="x"/>
            <c:size val="5"/>
            <c:spPr>
              <a:noFill/>
            </c:spPr>
          </c:marker>
          <c:dLbls>
            <c:dLblPos val="r"/>
            <c:showLegendKey val="0"/>
            <c:showVal val="0"/>
            <c:showCatName val="0"/>
            <c:showSerName val="0"/>
            <c:showPercent val="0"/>
            <c:showLeaderLines val="0"/>
          </c:dLbls>
          <c:trendline>
            <c:name>R20</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Ном_Згин!$B$9:$K$9</c:f>
              <c:numCache>
                <c:formatCode>General</c:formatCode>
                <c:ptCount val="10"/>
                <c:pt idx="0">
                  <c:v>3.029</c:v>
                </c:pt>
                <c:pt idx="1">
                  <c:v>3.029</c:v>
                </c:pt>
                <c:pt idx="2">
                  <c:v>2.581</c:v>
                </c:pt>
                <c:pt idx="3">
                  <c:v>2.063</c:v>
                </c:pt>
                <c:pt idx="4">
                  <c:v>1.648</c:v>
                </c:pt>
                <c:pt idx="5">
                  <c:v>1.338</c:v>
                </c:pt>
                <c:pt idx="6">
                  <c:v>1.099</c:v>
                </c:pt>
                <c:pt idx="7">
                  <c:v>0.913</c:v>
                </c:pt>
                <c:pt idx="8">
                  <c:v>0.766</c:v>
                </c:pt>
                <c:pt idx="9">
                  <c:v>0.65</c:v>
                </c:pt>
              </c:numCache>
            </c:numRef>
          </c:yVal>
          <c:smooth val="0"/>
        </c:ser>
        <c:ser>
          <c:idx val="4"/>
          <c:order val="4"/>
          <c:tx>
            <c:strRef>
              <c:f>Ном_Згин!$A$10:$A$10</c:f>
              <c:strCache>
                <c:ptCount val="1"/>
                <c:pt idx="0">
                  <c:v>25</c:v>
                </c:pt>
              </c:strCache>
            </c:strRef>
          </c:tx>
          <c:spPr>
            <a:solidFill>
              <a:srgbClr val="ffffff"/>
            </a:solidFill>
            <a:ln w="28440">
              <a:noFill/>
            </a:ln>
          </c:spPr>
          <c:marker>
            <c:symbol val="square"/>
            <c:size val="5"/>
            <c:spPr>
              <a:noFill/>
            </c:spPr>
          </c:marker>
          <c:dLbls>
            <c:dLblPos val="r"/>
            <c:showLegendKey val="0"/>
            <c:showVal val="0"/>
            <c:showCatName val="0"/>
            <c:showSerName val="0"/>
            <c:showPercent val="0"/>
            <c:showLeaderLines val="0"/>
          </c:dLbls>
          <c:trendline>
            <c:name>R25</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Ном_Згин!$B$10:$K$10</c:f>
              <c:numCache>
                <c:formatCode>General</c:formatCode>
                <c:ptCount val="10"/>
                <c:pt idx="0">
                  <c:v>3.55</c:v>
                </c:pt>
                <c:pt idx="1">
                  <c:v>3.542</c:v>
                </c:pt>
                <c:pt idx="2">
                  <c:v>2.898</c:v>
                </c:pt>
                <c:pt idx="3">
                  <c:v>2.279</c:v>
                </c:pt>
                <c:pt idx="4">
                  <c:v>1.802</c:v>
                </c:pt>
                <c:pt idx="5">
                  <c:v>1.452</c:v>
                </c:pt>
                <c:pt idx="6">
                  <c:v>1.187</c:v>
                </c:pt>
                <c:pt idx="7">
                  <c:v>0.983</c:v>
                </c:pt>
                <c:pt idx="8">
                  <c:v>0.824</c:v>
                </c:pt>
                <c:pt idx="9">
                  <c:v>0.697</c:v>
                </c:pt>
              </c:numCache>
            </c:numRef>
          </c:yVal>
          <c:smooth val="0"/>
        </c:ser>
        <c:ser>
          <c:idx val="5"/>
          <c:order val="5"/>
          <c:tx>
            <c:strRef>
              <c:f>Ном_Згин!$A$11:$A$11</c:f>
              <c:strCache>
                <c:ptCount val="1"/>
                <c:pt idx="0">
                  <c:v>30</c:v>
                </c:pt>
              </c:strCache>
            </c:strRef>
          </c:tx>
          <c:spPr>
            <a:solidFill>
              <a:srgbClr val="800000"/>
            </a:solidFill>
            <a:ln w="28440">
              <a:noFill/>
            </a:ln>
          </c:spPr>
          <c:marker>
            <c:symbol val="circle"/>
            <c:size val="5"/>
            <c:spPr>
              <a:solidFill>
                <a:srgbClr val="800000"/>
              </a:solidFill>
            </c:spPr>
          </c:marker>
          <c:dLbls>
            <c:dLblPos val="r"/>
            <c:showLegendKey val="0"/>
            <c:showVal val="0"/>
            <c:showCatName val="0"/>
            <c:showSerName val="0"/>
            <c:showPercent val="0"/>
            <c:showLeaderLines val="0"/>
          </c:dLbls>
          <c:trendline>
            <c:name>R30</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Ном_Згин!$B$11:$K$11</c:f>
              <c:numCache>
                <c:formatCode>General</c:formatCode>
                <c:ptCount val="10"/>
                <c:pt idx="0">
                  <c:v>4.02</c:v>
                </c:pt>
                <c:pt idx="1">
                  <c:v>3.995</c:v>
                </c:pt>
                <c:pt idx="2">
                  <c:v>3.171</c:v>
                </c:pt>
                <c:pt idx="3">
                  <c:v>2.456</c:v>
                </c:pt>
                <c:pt idx="4">
                  <c:v>1.929</c:v>
                </c:pt>
                <c:pt idx="5">
                  <c:v>1.545</c:v>
                </c:pt>
                <c:pt idx="6">
                  <c:v>1.258</c:v>
                </c:pt>
                <c:pt idx="7">
                  <c:v>1.039</c:v>
                </c:pt>
                <c:pt idx="8">
                  <c:v>0.87</c:v>
                </c:pt>
                <c:pt idx="9">
                  <c:v>0.735</c:v>
                </c:pt>
              </c:numCache>
            </c:numRef>
          </c:yVal>
          <c:smooth val="0"/>
        </c:ser>
        <c:ser>
          <c:idx val="6"/>
          <c:order val="6"/>
          <c:tx>
            <c:strRef>
              <c:f>Ном_Згин!$A$12:$A$12</c:f>
              <c:strCache>
                <c:ptCount val="1"/>
                <c:pt idx="0">
                  <c:v>40</c:v>
                </c:pt>
              </c:strCache>
            </c:strRef>
          </c:tx>
          <c:spPr>
            <a:solidFill>
              <a:srgbClr val="ffffff"/>
            </a:solidFill>
            <a:ln w="28440">
              <a:noFill/>
            </a:ln>
          </c:spPr>
          <c:marker>
            <c:symbol val="plus"/>
            <c:size val="5"/>
            <c:spPr>
              <a:noFill/>
            </c:spPr>
          </c:marker>
          <c:dLbls>
            <c:dLblPos val="r"/>
            <c:showLegendKey val="0"/>
            <c:showVal val="0"/>
            <c:showCatName val="0"/>
            <c:showSerName val="0"/>
            <c:showPercent val="0"/>
            <c:showLeaderLines val="0"/>
          </c:dLbls>
          <c:trendline>
            <c:name>R40</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Ном_Згин!$B$12:$K$12</c:f>
              <c:numCache>
                <c:formatCode>General</c:formatCode>
                <c:ptCount val="10"/>
                <c:pt idx="0">
                  <c:v>4.86</c:v>
                </c:pt>
                <c:pt idx="1">
                  <c:v>4.769</c:v>
                </c:pt>
                <c:pt idx="2">
                  <c:v>3.62</c:v>
                </c:pt>
                <c:pt idx="3">
                  <c:v>2.743</c:v>
                </c:pt>
                <c:pt idx="4">
                  <c:v>2.131</c:v>
                </c:pt>
                <c:pt idx="5">
                  <c:v>1.691</c:v>
                </c:pt>
                <c:pt idx="6">
                  <c:v>1.37</c:v>
                </c:pt>
                <c:pt idx="7">
                  <c:v>1.127</c:v>
                </c:pt>
                <c:pt idx="8">
                  <c:v>0.94</c:v>
                </c:pt>
                <c:pt idx="9">
                  <c:v>0.792</c:v>
                </c:pt>
              </c:numCache>
            </c:numRef>
          </c:yVal>
          <c:smooth val="0"/>
        </c:ser>
        <c:ser>
          <c:idx val="7"/>
          <c:order val="7"/>
          <c:tx>
            <c:strRef>
              <c:f>Ном_Згин!$A$13:$A$13</c:f>
              <c:strCache>
                <c:ptCount val="1"/>
                <c:pt idx="0">
                  <c:v>50</c:v>
                </c:pt>
              </c:strCache>
            </c:strRef>
          </c:tx>
          <c:spPr>
            <a:solidFill>
              <a:srgbClr val="ffffff"/>
            </a:solidFill>
            <a:ln w="28440">
              <a:noFill/>
            </a:ln>
          </c:spPr>
          <c:marker>
            <c:symbol val="triangle"/>
            <c:size val="5"/>
            <c:spPr>
              <a:noFill/>
            </c:spPr>
          </c:marker>
          <c:dLbls>
            <c:dLblPos val="r"/>
            <c:showLegendKey val="0"/>
            <c:showVal val="0"/>
            <c:showCatName val="0"/>
            <c:showSerName val="0"/>
            <c:showPercent val="0"/>
            <c:showLeaderLines val="0"/>
          </c:dLbls>
          <c:trendline>
            <c:name>R50</c:name>
            <c:spPr>
              <a:ln w="25560">
                <a:solidFill>
                  <a:srgbClr val="000000"/>
                </a:solidFill>
                <a:round/>
              </a:ln>
            </c:spPr>
            <c:trendlineType val="poly"/>
            <c:order val="3"/>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Ном_Згин!$B$13:$K$13</c:f>
              <c:numCache>
                <c:formatCode>General</c:formatCode>
                <c:ptCount val="10"/>
                <c:pt idx="0">
                  <c:v>5.69</c:v>
                </c:pt>
                <c:pt idx="1">
                  <c:v>5.419</c:v>
                </c:pt>
                <c:pt idx="2">
                  <c:v>3.989</c:v>
                </c:pt>
                <c:pt idx="3">
                  <c:v>2.973</c:v>
                </c:pt>
                <c:pt idx="4">
                  <c:v>2.287</c:v>
                </c:pt>
                <c:pt idx="5">
                  <c:v>1.806</c:v>
                </c:pt>
                <c:pt idx="6">
                  <c:v>1.456</c:v>
                </c:pt>
                <c:pt idx="7">
                  <c:v>1.194</c:v>
                </c:pt>
                <c:pt idx="8">
                  <c:v>0.994</c:v>
                </c:pt>
                <c:pt idx="9">
                  <c:v>0.837</c:v>
                </c:pt>
              </c:numCache>
            </c:numRef>
          </c:yVal>
          <c:smooth val="0"/>
        </c:ser>
        <c:ser>
          <c:idx val="8"/>
          <c:order val="8"/>
          <c:tx>
            <c:strRef>
              <c:f>Ном_Згин!$A$14:$A$14</c:f>
              <c:strCache>
                <c:ptCount val="1"/>
                <c:pt idx="0">
                  <c:v>70</c:v>
                </c:pt>
              </c:strCache>
            </c:strRef>
          </c:tx>
          <c:spPr>
            <a:solidFill>
              <a:srgbClr val="ffffff"/>
            </a:solidFill>
            <a:ln w="28440">
              <a:noFill/>
            </a:ln>
          </c:spPr>
          <c:marker>
            <c:symbol val="square"/>
            <c:size val="5"/>
            <c:spPr>
              <a:noFill/>
            </c:spPr>
          </c:marker>
          <c:dLbls>
            <c:dLblPos val="r"/>
            <c:showLegendKey val="0"/>
            <c:showVal val="0"/>
            <c:showCatName val="0"/>
            <c:showSerName val="0"/>
            <c:showPercent val="0"/>
            <c:showLeaderLines val="0"/>
          </c:dLbls>
          <c:trendline>
            <c:name>R70</c:name>
            <c:spPr>
              <a:ln w="25560">
                <a:solidFill>
                  <a:srgbClr val="000000"/>
                </a:solidFill>
                <a:round/>
              </a:ln>
            </c:spPr>
            <c:trendlineType val="poly"/>
            <c:order val="4"/>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Ном_Згин!$B$14:$K$14</c:f>
              <c:numCache>
                <c:formatCode>General</c:formatCode>
                <c:ptCount val="10"/>
                <c:pt idx="0">
                  <c:v/>
                </c:pt>
                <c:pt idx="1">
                  <c:v>6.46</c:v>
                </c:pt>
                <c:pt idx="2">
                  <c:v>4.553</c:v>
                </c:pt>
                <c:pt idx="3">
                  <c:v>3.323</c:v>
                </c:pt>
                <c:pt idx="4">
                  <c:v>2.524</c:v>
                </c:pt>
                <c:pt idx="5">
                  <c:v>1.977</c:v>
                </c:pt>
                <c:pt idx="6">
                  <c:v>1.584</c:v>
                </c:pt>
                <c:pt idx="7">
                  <c:v>1.294</c:v>
                </c:pt>
                <c:pt idx="8">
                  <c:v>1.075</c:v>
                </c:pt>
                <c:pt idx="9">
                  <c:v>0.904</c:v>
                </c:pt>
              </c:numCache>
            </c:numRef>
          </c:yVal>
          <c:smooth val="0"/>
        </c:ser>
        <c:ser>
          <c:idx val="9"/>
          <c:order val="9"/>
          <c:tx>
            <c:strRef>
              <c:f>Ном_Згин!$A$15:$A$15</c:f>
              <c:strCache>
                <c:ptCount val="1"/>
                <c:pt idx="0">
                  <c:v>100</c:v>
                </c:pt>
              </c:strCache>
            </c:strRef>
          </c:tx>
          <c:spPr>
            <a:solidFill>
              <a:srgbClr val="ccffff"/>
            </a:solidFill>
            <a:ln w="28440">
              <a:noFill/>
            </a:ln>
          </c:spPr>
          <c:marker>
            <c:symbol val="diamond"/>
            <c:size val="5"/>
            <c:spPr>
              <a:solidFill>
                <a:srgbClr val="ccffff"/>
              </a:solidFill>
            </c:spPr>
          </c:marker>
          <c:dLbls>
            <c:dLblPos val="r"/>
            <c:showLegendKey val="0"/>
            <c:showVal val="0"/>
            <c:showCatName val="0"/>
            <c:showSerName val="0"/>
            <c:showPercent val="0"/>
            <c:showLeaderLines val="0"/>
          </c:dLbls>
          <c:trendline>
            <c:name>R100</c:name>
            <c:spPr>
              <a:ln w="25560">
                <a:solidFill>
                  <a:srgbClr val="000000"/>
                </a:solidFill>
                <a:round/>
              </a:ln>
            </c:spPr>
            <c:trendlineType val="poly"/>
            <c:order val="4"/>
            <c:forward val="0"/>
            <c:backward val="0"/>
            <c:dispRSqr val="1"/>
            <c:dispEq val="1"/>
          </c:trendline>
          <c:xVal>
            <c:numRef>
              <c:f>Ном_Згин!$B$5:$K$5</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Ном_Згин!$B$15:$K$15</c:f>
              <c:numCache>
                <c:formatCode>General</c:formatCode>
                <c:ptCount val="10"/>
                <c:pt idx="0">
                  <c:v/>
                </c:pt>
                <c:pt idx="1">
                  <c:v>7.628</c:v>
                </c:pt>
                <c:pt idx="2">
                  <c:v>5.169</c:v>
                </c:pt>
                <c:pt idx="3">
                  <c:v>3.698</c:v>
                </c:pt>
                <c:pt idx="4">
                  <c:v>2.773</c:v>
                </c:pt>
                <c:pt idx="5">
                  <c:v>2.153</c:v>
                </c:pt>
                <c:pt idx="6">
                  <c:v>1.717</c:v>
                </c:pt>
                <c:pt idx="7">
                  <c:v>1.398</c:v>
                </c:pt>
                <c:pt idx="8">
                  <c:v>1.157</c:v>
                </c:pt>
                <c:pt idx="9">
                  <c:v>0.971</c:v>
                </c:pt>
              </c:numCache>
            </c:numRef>
          </c:yVal>
          <c:smooth val="0"/>
        </c:ser>
        <c:axId val="14640332"/>
        <c:axId val="9416627"/>
      </c:scatterChart>
      <c:valAx>
        <c:axId val="14640332"/>
        <c:scaling>
          <c:orientation val="minMax"/>
          <c:max val="1"/>
        </c:scaling>
        <c:delete val="0"/>
        <c:axPos val="b"/>
        <c:numFmt formatCode="General" sourceLinked="0"/>
        <c:majorTickMark val="out"/>
        <c:minorTickMark val="none"/>
        <c:tickLblPos val="nextTo"/>
        <c:spPr>
          <a:ln w="3240">
            <a:solidFill>
              <a:srgbClr val="000000"/>
            </a:solidFill>
            <a:round/>
          </a:ln>
        </c:spPr>
        <c:txPr>
          <a:bodyPr/>
          <a:p>
            <a:pPr>
              <a:defRPr b="0" sz="900" spc="-1" strike="noStrike">
                <a:solidFill>
                  <a:srgbClr val="000000"/>
                </a:solidFill>
                <a:uFill>
                  <a:solidFill>
                    <a:srgbClr val="ffffff"/>
                  </a:solidFill>
                </a:uFill>
                <a:latin typeface="Arial Cyr"/>
                <a:ea typeface="Arial Cyr"/>
              </a:defRPr>
            </a:pPr>
          </a:p>
        </c:txPr>
        <c:crossAx val="9416627"/>
        <c:crosses val="autoZero"/>
        <c:crossBetween val="midCat"/>
      </c:valAx>
      <c:valAx>
        <c:axId val="9416627"/>
        <c:scaling>
          <c:orientation val="minMax"/>
        </c:scaling>
        <c:delete val="0"/>
        <c:axPos val="l"/>
        <c:majorGridlines>
          <c:spPr>
            <a:ln w="3240">
              <a:solidFill>
                <a:srgbClr val="000000"/>
              </a:solidFill>
              <a:round/>
            </a:ln>
          </c:spPr>
        </c:majorGridlines>
        <c:numFmt formatCode="General" sourceLinked="0"/>
        <c:majorTickMark val="out"/>
        <c:minorTickMark val="none"/>
        <c:tickLblPos val="nextTo"/>
        <c:spPr>
          <a:ln w="3240">
            <a:solidFill>
              <a:srgbClr val="000000"/>
            </a:solidFill>
            <a:round/>
          </a:ln>
        </c:spPr>
        <c:txPr>
          <a:bodyPr/>
          <a:p>
            <a:pPr>
              <a:defRPr b="0" sz="1075" spc="-1" strike="noStrike">
                <a:solidFill>
                  <a:srgbClr val="000000"/>
                </a:solidFill>
                <a:uFill>
                  <a:solidFill>
                    <a:srgbClr val="ffffff"/>
                  </a:solidFill>
                </a:uFill>
                <a:latin typeface="Arial Cyr"/>
                <a:ea typeface="Arial Cyr"/>
              </a:defRPr>
            </a:pPr>
          </a:p>
        </c:txPr>
        <c:crossAx val="14640332"/>
        <c:crosses val="autoZero"/>
        <c:crossBetween val="midCat"/>
      </c:valAx>
      <c:spPr>
        <a:solidFill>
          <a:srgbClr val="ffffff"/>
        </a:solidFill>
        <a:ln w="3240">
          <a:solidFill>
            <a:srgbClr val="000000"/>
          </a:solidFill>
          <a:round/>
        </a:ln>
      </c:spPr>
    </c:plotArea>
    <c:legend>
      <c:legendPos val="r"/>
      <c:layout>
        <c:manualLayout>
          <c:xMode val="edge"/>
          <c:yMode val="edge"/>
          <c:x val="0.0967183937774202"/>
          <c:y val="0.85142032942476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969465648854962"/>
          <c:y val="0.0481598192520364"/>
          <c:w val="0.867735368956743"/>
          <c:h val="0.684999108151495"/>
        </c:manualLayout>
      </c:layout>
      <c:scatterChart>
        <c:scatterStyle val="lineMarker"/>
        <c:varyColors val="0"/>
        <c:ser>
          <c:idx val="0"/>
          <c:order val="0"/>
          <c:tx>
            <c:strRef>
              <c:f>Ном_Згин!$B$58:$B$58</c:f>
              <c:strCache>
                <c:ptCount val="1"/>
                <c:pt idx="0">
                  <c:v>Куб</c:v>
                </c:pt>
              </c:strCache>
            </c:strRef>
          </c:tx>
          <c:spPr>
            <a:solidFill>
              <a:srgbClr val="000080"/>
            </a:solidFill>
            <a:ln w="28440">
              <a:noFill/>
            </a:ln>
          </c:spPr>
          <c:marker>
            <c:symbol val="diamond"/>
            <c:size val="5"/>
            <c:spPr>
              <a:solidFill>
                <a:srgbClr val="000080"/>
              </a:solidFill>
            </c:spPr>
          </c:marker>
          <c:dLbls>
            <c:dLblPos val="r"/>
            <c:showLegendKey val="0"/>
            <c:showVal val="0"/>
            <c:showCatName val="0"/>
            <c:showSerName val="0"/>
            <c:showPercent val="0"/>
            <c:showLeaderLines val="0"/>
          </c:dLbls>
          <c:trendline>
            <c:spPr>
              <a:ln w="25560">
                <a:solidFill>
                  <a:srgbClr val="000000"/>
                </a:solidFill>
                <a:round/>
              </a:ln>
            </c:spPr>
            <c:trendlineType val="poly"/>
            <c:order val="3"/>
            <c:forward val="0"/>
            <c:backward val="0"/>
            <c:dispRSqr val="1"/>
            <c:dispEq val="1"/>
          </c:trendline>
          <c:xVal>
            <c:numRef>
              <c:f>Ном_Згин!$A$59:$A$68</c:f>
              <c:numCache>
                <c:formatCode>General</c:formatCode>
                <c:ptCount val="10"/>
                <c:pt idx="0">
                  <c:v>5</c:v>
                </c:pt>
                <c:pt idx="1">
                  <c:v>7</c:v>
                </c:pt>
                <c:pt idx="2">
                  <c:v>10</c:v>
                </c:pt>
                <c:pt idx="3">
                  <c:v>20</c:v>
                </c:pt>
                <c:pt idx="4">
                  <c:v>25</c:v>
                </c:pt>
                <c:pt idx="5">
                  <c:v>30</c:v>
                </c:pt>
                <c:pt idx="6">
                  <c:v>40</c:v>
                </c:pt>
                <c:pt idx="7">
                  <c:v>50</c:v>
                </c:pt>
                <c:pt idx="8">
                  <c:v>70</c:v>
                </c:pt>
                <c:pt idx="9">
                  <c:v>100</c:v>
                </c:pt>
              </c:numCache>
            </c:numRef>
          </c:xVal>
          <c:yVal>
            <c:numRef>
              <c:f>Ном_Згин!$B$59:$B$68</c:f>
              <c:numCache>
                <c:formatCode>General</c:formatCode>
                <c:ptCount val="10"/>
                <c:pt idx="0">
                  <c:v>1.7005</c:v>
                </c:pt>
                <c:pt idx="1">
                  <c:v>2.8157</c:v>
                </c:pt>
                <c:pt idx="2">
                  <c:v>4.1307</c:v>
                </c:pt>
                <c:pt idx="3">
                  <c:v>4.6131</c:v>
                </c:pt>
                <c:pt idx="4">
                  <c:v>4.5266</c:v>
                </c:pt>
                <c:pt idx="5">
                  <c:v>4.3019</c:v>
                </c:pt>
                <c:pt idx="6">
                  <c:v>3.467</c:v>
                </c:pt>
                <c:pt idx="7">
                  <c:v>1.6993</c:v>
                </c:pt>
                <c:pt idx="8">
                  <c:v>-15.657</c:v>
                </c:pt>
                <c:pt idx="9">
                  <c:v>-21.641</c:v>
                </c:pt>
              </c:numCache>
            </c:numRef>
          </c:yVal>
          <c:smooth val="0"/>
        </c:ser>
        <c:ser>
          <c:idx val="1"/>
          <c:order val="1"/>
          <c:tx>
            <c:strRef>
              <c:f>Ном_Згин!$C$58:$C$58</c:f>
              <c:strCache>
                <c:ptCount val="1"/>
                <c:pt idx="0">
                  <c:v>Квадрат</c:v>
                </c:pt>
              </c:strCache>
            </c:strRef>
          </c:tx>
          <c:spPr>
            <a:solidFill>
              <a:srgbClr val="ff00ff"/>
            </a:solidFill>
            <a:ln w="28440">
              <a:noFill/>
            </a:ln>
          </c:spPr>
          <c:marker>
            <c:symbol val="square"/>
            <c:size val="5"/>
            <c:spPr>
              <a:solidFill>
                <a:srgbClr val="ff00ff"/>
              </a:solidFill>
            </c:spPr>
          </c:marker>
          <c:dLbls>
            <c:dLblPos val="r"/>
            <c:showLegendKey val="0"/>
            <c:showVal val="0"/>
            <c:showCatName val="0"/>
            <c:showSerName val="0"/>
            <c:showPercent val="0"/>
            <c:showLeaderLines val="0"/>
          </c:dLbls>
          <c:trendline>
            <c:spPr>
              <a:ln w="25560">
                <a:solidFill>
                  <a:srgbClr val="000000"/>
                </a:solidFill>
                <a:round/>
              </a:ln>
            </c:spPr>
            <c:trendlineType val="poly"/>
            <c:order val="3"/>
            <c:forward val="0"/>
            <c:backward val="0"/>
            <c:dispRSqr val="1"/>
            <c:dispEq val="1"/>
          </c:trendline>
          <c:xVal>
            <c:numRef>
              <c:f>Ном_Згин!$A$59:$A$68</c:f>
              <c:numCache>
                <c:formatCode>General</c:formatCode>
                <c:ptCount val="10"/>
                <c:pt idx="0">
                  <c:v>5</c:v>
                </c:pt>
                <c:pt idx="1">
                  <c:v>7</c:v>
                </c:pt>
                <c:pt idx="2">
                  <c:v>10</c:v>
                </c:pt>
                <c:pt idx="3">
                  <c:v>20</c:v>
                </c:pt>
                <c:pt idx="4">
                  <c:v>25</c:v>
                </c:pt>
                <c:pt idx="5">
                  <c:v>30</c:v>
                </c:pt>
                <c:pt idx="6">
                  <c:v>40</c:v>
                </c:pt>
                <c:pt idx="7">
                  <c:v>50</c:v>
                </c:pt>
                <c:pt idx="8">
                  <c:v>70</c:v>
                </c:pt>
                <c:pt idx="9">
                  <c:v>100</c:v>
                </c:pt>
              </c:numCache>
            </c:numRef>
          </c:xVal>
          <c:yVal>
            <c:numRef>
              <c:f>Ном_Згин!$C$59:$C$68</c:f>
              <c:numCache>
                <c:formatCode>General</c:formatCode>
                <c:ptCount val="10"/>
                <c:pt idx="0">
                  <c:v>-3.2459</c:v>
                </c:pt>
                <c:pt idx="1">
                  <c:v>-4.9902</c:v>
                </c:pt>
                <c:pt idx="2">
                  <c:v>-6.9411</c:v>
                </c:pt>
                <c:pt idx="3">
                  <c:v>-5.8161</c:v>
                </c:pt>
                <c:pt idx="4">
                  <c:v>-4.8481</c:v>
                </c:pt>
                <c:pt idx="5">
                  <c:v>-3.6844</c:v>
                </c:pt>
                <c:pt idx="6">
                  <c:v>-0.8129</c:v>
                </c:pt>
                <c:pt idx="7">
                  <c:v>3.6909</c:v>
                </c:pt>
                <c:pt idx="8">
                  <c:v>38.927</c:v>
                </c:pt>
                <c:pt idx="9">
                  <c:v>52.471</c:v>
                </c:pt>
              </c:numCache>
            </c:numRef>
          </c:yVal>
          <c:smooth val="0"/>
        </c:ser>
        <c:ser>
          <c:idx val="2"/>
          <c:order val="2"/>
          <c:tx>
            <c:strRef>
              <c:f>Ном_Згин!$D$58:$D$58</c:f>
              <c:strCache>
                <c:ptCount val="1"/>
                <c:pt idx="0">
                  <c:v>Лінійний</c:v>
                </c:pt>
              </c:strCache>
            </c:strRef>
          </c:tx>
          <c:spPr>
            <a:solidFill>
              <a:srgbClr val="000080"/>
            </a:solidFill>
            <a:ln w="3240">
              <a:solidFill>
                <a:srgbClr val="000080"/>
              </a:solidFill>
              <a:round/>
            </a:ln>
          </c:spPr>
          <c:marker>
            <c:symbol val="triangle"/>
            <c:size val="4"/>
            <c:spPr>
              <a:solidFill>
                <a:srgbClr val="000080"/>
              </a:solidFill>
            </c:spPr>
          </c:marker>
          <c:dLbls>
            <c:dLblPos val="r"/>
            <c:showLegendKey val="0"/>
            <c:showVal val="0"/>
            <c:showCatName val="0"/>
            <c:showSerName val="0"/>
            <c:showPercent val="0"/>
            <c:showLeaderLines val="0"/>
          </c:dLbls>
          <c:trendline>
            <c:spPr>
              <a:ln w="25560">
                <a:solidFill>
                  <a:srgbClr val="000000"/>
                </a:solidFill>
                <a:round/>
              </a:ln>
            </c:spPr>
            <c:trendlineType val="poly"/>
            <c:order val="3"/>
            <c:forward val="0"/>
            <c:backward val="0"/>
            <c:dispRSqr val="1"/>
            <c:dispEq val="1"/>
          </c:trendline>
          <c:xVal>
            <c:numRef>
              <c:f>Ном_Згин!$A$59:$A$68</c:f>
              <c:numCache>
                <c:formatCode>General</c:formatCode>
                <c:ptCount val="10"/>
                <c:pt idx="0">
                  <c:v>5</c:v>
                </c:pt>
                <c:pt idx="1">
                  <c:v>7</c:v>
                </c:pt>
                <c:pt idx="2">
                  <c:v>10</c:v>
                </c:pt>
                <c:pt idx="3">
                  <c:v>20</c:v>
                </c:pt>
                <c:pt idx="4">
                  <c:v>25</c:v>
                </c:pt>
                <c:pt idx="5">
                  <c:v>30</c:v>
                </c:pt>
                <c:pt idx="6">
                  <c:v>40</c:v>
                </c:pt>
                <c:pt idx="7">
                  <c:v>50</c:v>
                </c:pt>
                <c:pt idx="8">
                  <c:v>70</c:v>
                </c:pt>
                <c:pt idx="9">
                  <c:v>100</c:v>
                </c:pt>
              </c:numCache>
            </c:numRef>
          </c:xVal>
          <c:yVal>
            <c:numRef>
              <c:f>Ном_Згин!$D$59:$D$68</c:f>
              <c:numCache>
                <c:formatCode>General</c:formatCode>
                <c:ptCount val="10"/>
                <c:pt idx="0">
                  <c:v>1.0833</c:v>
                </c:pt>
                <c:pt idx="1">
                  <c:v>1.4572</c:v>
                </c:pt>
                <c:pt idx="2">
                  <c:v>1.762</c:v>
                </c:pt>
                <c:pt idx="3">
                  <c:v>-1.4217</c:v>
                </c:pt>
                <c:pt idx="4">
                  <c:v>-2.9475</c:v>
                </c:pt>
                <c:pt idx="5">
                  <c:v>-4.4486</c:v>
                </c:pt>
                <c:pt idx="6">
                  <c:v>-7.6351</c:v>
                </c:pt>
                <c:pt idx="7">
                  <c:v>-11.527</c:v>
                </c:pt>
                <c:pt idx="8">
                  <c:v>-34.231</c:v>
                </c:pt>
                <c:pt idx="9">
                  <c:v>-44.426</c:v>
                </c:pt>
              </c:numCache>
            </c:numRef>
          </c:yVal>
          <c:smooth val="0"/>
        </c:ser>
        <c:ser>
          <c:idx val="3"/>
          <c:order val="3"/>
          <c:tx>
            <c:strRef>
              <c:f>Ном_Згин!$E$58:$E$58</c:f>
              <c:strCache>
                <c:ptCount val="1"/>
                <c:pt idx="0">
                  <c:v>Вільний член</c:v>
                </c:pt>
              </c:strCache>
            </c:strRef>
          </c:tx>
          <c:spPr>
            <a:solidFill>
              <a:srgbClr val="ffffff"/>
            </a:solidFill>
            <a:ln w="28440">
              <a:noFill/>
            </a:ln>
          </c:spPr>
          <c:marker>
            <c:symbol val="x"/>
            <c:size val="5"/>
            <c:spPr>
              <a:noFill/>
            </c:spPr>
          </c:marker>
          <c:dLbls>
            <c:dLblPos val="r"/>
            <c:showLegendKey val="0"/>
            <c:showVal val="0"/>
            <c:showCatName val="0"/>
            <c:showSerName val="0"/>
            <c:showPercent val="0"/>
            <c:showLeaderLines val="0"/>
          </c:dLbls>
          <c:trendline>
            <c:spPr>
              <a:ln w="25560">
                <a:solidFill>
                  <a:srgbClr val="000000"/>
                </a:solidFill>
                <a:round/>
              </a:ln>
            </c:spPr>
            <c:trendlineType val="linear"/>
            <c:forward val="0"/>
            <c:backward val="0"/>
            <c:dispRSqr val="1"/>
            <c:dispEq val="1"/>
          </c:trendline>
          <c:xVal>
            <c:numRef>
              <c:f>Ном_Згин!$A$59:$A$68</c:f>
              <c:numCache>
                <c:formatCode>General</c:formatCode>
                <c:ptCount val="10"/>
                <c:pt idx="0">
                  <c:v>5</c:v>
                </c:pt>
                <c:pt idx="1">
                  <c:v>7</c:v>
                </c:pt>
                <c:pt idx="2">
                  <c:v>10</c:v>
                </c:pt>
                <c:pt idx="3">
                  <c:v>20</c:v>
                </c:pt>
                <c:pt idx="4">
                  <c:v>25</c:v>
                </c:pt>
                <c:pt idx="5">
                  <c:v>30</c:v>
                </c:pt>
                <c:pt idx="6">
                  <c:v>40</c:v>
                </c:pt>
                <c:pt idx="7">
                  <c:v>50</c:v>
                </c:pt>
                <c:pt idx="8">
                  <c:v>70</c:v>
                </c:pt>
                <c:pt idx="9">
                  <c:v>100</c:v>
                </c:pt>
              </c:numCache>
            </c:numRef>
          </c:xVal>
          <c:yVal>
            <c:numRef>
              <c:f>Ном_Згин!$E$59:$E$68</c:f>
              <c:numCache>
                <c:formatCode>General</c:formatCode>
                <c:ptCount val="10"/>
                <c:pt idx="0">
                  <c:v>0.8082</c:v>
                </c:pt>
                <c:pt idx="1">
                  <c:v>1.1508</c:v>
                </c:pt>
                <c:pt idx="2">
                  <c:v>1.5775</c:v>
                </c:pt>
                <c:pt idx="3">
                  <c:v>3.3373</c:v>
                </c:pt>
                <c:pt idx="4">
                  <c:v>4.0397</c:v>
                </c:pt>
                <c:pt idx="5">
                  <c:v>4.6863</c:v>
                </c:pt>
                <c:pt idx="6">
                  <c:v>5.8678</c:v>
                </c:pt>
                <c:pt idx="7">
                  <c:v>7.0695</c:v>
                </c:pt>
                <c:pt idx="8">
                  <c:v>11.823</c:v>
                </c:pt>
                <c:pt idx="9">
                  <c:v>14.502</c:v>
                </c:pt>
              </c:numCache>
            </c:numRef>
          </c:yVal>
          <c:smooth val="0"/>
        </c:ser>
        <c:axId val="72171280"/>
        <c:axId val="62265057"/>
      </c:scatterChart>
      <c:valAx>
        <c:axId val="72171280"/>
        <c:scaling>
          <c:orientation val="minMax"/>
        </c:scaling>
        <c:delete val="0"/>
        <c:axPos val="b"/>
        <c:title>
          <c:tx>
            <c:rich>
              <a:bodyPr rot="0"/>
              <a:lstStyle/>
              <a:p>
                <a:pPr>
                  <a:defRPr b="0" sz="1725" spc="-1" strike="noStrike">
                    <a:solidFill>
                      <a:srgbClr val="000000"/>
                    </a:solidFill>
                    <a:uFill>
                      <a:solidFill>
                        <a:srgbClr val="ffffff"/>
                      </a:solidFill>
                    </a:uFill>
                    <a:latin typeface="Arial Cyr"/>
                    <a:ea typeface="Arial Cyr"/>
                  </a:defRPr>
                </a:pPr>
                <a:r>
                  <a:rPr b="0" sz="1725" spc="-1" strike="noStrike">
                    <a:solidFill>
                      <a:srgbClr val="000000"/>
                    </a:solidFill>
                    <a:uFill>
                      <a:solidFill>
                        <a:srgbClr val="ffffff"/>
                      </a:solidFill>
                    </a:uFill>
                    <a:latin typeface="Arial Cyr"/>
                    <a:ea typeface="Arial Cyr"/>
                  </a:rPr>
                  <a:t>Відношення модулів, Е1/Е2</a:t>
                </a:r>
              </a:p>
            </c:rich>
          </c:tx>
          <c:layout>
            <c:manualLayout>
              <c:xMode val="edge"/>
              <c:yMode val="edge"/>
              <c:x val="0.330941475826972"/>
              <c:y val="0.753076877341102"/>
            </c:manualLayout>
          </c:layout>
          <c:overlay val="0"/>
        </c:title>
        <c:numFmt formatCode="General"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Arial Cyr"/>
                <a:ea typeface="Arial Cyr"/>
              </a:defRPr>
            </a:pPr>
          </a:p>
        </c:txPr>
        <c:crossAx val="62265057"/>
        <c:crosses val="autoZero"/>
        <c:crossBetween val="midCat"/>
      </c:valAx>
      <c:valAx>
        <c:axId val="62265057"/>
        <c:scaling>
          <c:orientation val="minMax"/>
        </c:scaling>
        <c:delete val="0"/>
        <c:axPos val="l"/>
        <c:majorGridlines>
          <c:spPr>
            <a:ln w="3240">
              <a:solidFill>
                <a:srgbClr val="000000"/>
              </a:solidFill>
              <a:round/>
            </a:ln>
          </c:spPr>
        </c:majorGridlines>
        <c:title>
          <c:tx>
            <c:rich>
              <a:bodyPr rot="-5400000"/>
              <a:lstStyle/>
              <a:p>
                <a:pPr>
                  <a:defRPr b="0" sz="1200" spc="-1" strike="noStrike">
                    <a:solidFill>
                      <a:srgbClr val="000000"/>
                    </a:solidFill>
                    <a:uFill>
                      <a:solidFill>
                        <a:srgbClr val="ffffff"/>
                      </a:solidFill>
                    </a:uFill>
                    <a:latin typeface="Arial Cyr"/>
                    <a:ea typeface="Arial Cyr"/>
                  </a:defRPr>
                </a:pPr>
                <a:r>
                  <a:rPr b="0" sz="1200" spc="-1" strike="noStrike">
                    <a:solidFill>
                      <a:srgbClr val="000000"/>
                    </a:solidFill>
                    <a:uFill>
                      <a:solidFill>
                        <a:srgbClr val="ffffff"/>
                      </a:solidFill>
                    </a:uFill>
                    <a:latin typeface="Arial Cyr"/>
                    <a:ea typeface="Arial Cyr"/>
                  </a:rPr>
                  <a:t>Значення коефіцієнтів</a:t>
                </a:r>
              </a:p>
            </c:rich>
          </c:tx>
          <c:layout>
            <c:manualLayout>
              <c:xMode val="edge"/>
              <c:yMode val="edge"/>
              <c:x val="0.0214758269720102"/>
              <c:y val="0.233367025387954"/>
            </c:manualLayout>
          </c:layout>
          <c:overlay val="0"/>
        </c:title>
        <c:numFmt formatCode="General" sourceLinked="0"/>
        <c:majorTickMark val="out"/>
        <c:minorTickMark val="none"/>
        <c:tickLblPos val="nextTo"/>
        <c:spPr>
          <a:ln w="3240">
            <a:solidFill>
              <a:srgbClr val="000000"/>
            </a:solidFill>
            <a:round/>
          </a:ln>
        </c:spPr>
        <c:txPr>
          <a:bodyPr/>
          <a:p>
            <a:pPr>
              <a:defRPr b="0" sz="1000" spc="-1" strike="noStrike">
                <a:solidFill>
                  <a:srgbClr val="000000"/>
                </a:solidFill>
                <a:uFill>
                  <a:solidFill>
                    <a:srgbClr val="ffffff"/>
                  </a:solidFill>
                </a:uFill>
                <a:latin typeface="Arial Cyr"/>
                <a:ea typeface="Arial Cyr"/>
              </a:defRPr>
            </a:pPr>
          </a:p>
        </c:txPr>
        <c:crossAx val="72171280"/>
        <c:crosses val="autoZero"/>
        <c:crossBetween val="midCat"/>
      </c:valAx>
      <c:spPr>
        <a:solidFill>
          <a:srgbClr val="ffffff"/>
        </a:solidFill>
        <a:ln w="12600">
          <a:solidFill>
            <a:srgbClr val="000000"/>
          </a:solidFill>
          <a:round/>
        </a:ln>
      </c:spPr>
    </c:plotArea>
    <c:legend>
      <c:legendPos val="r"/>
      <c:layout>
        <c:manualLayout>
          <c:xMode val="edge"/>
          <c:yMode val="edge"/>
          <c:x val="0.014805269126016"/>
          <c:y val="0.850026052299018"/>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tx>
            <c:strRef>
              <c:f>Ном_Езаг!$B$13:$B$13</c:f>
              <c:strCache>
                <c:ptCount val="1"/>
                <c:pt idx="0">
                  <c:v>0,85</c:v>
                </c:pt>
              </c:strCache>
            </c:strRef>
          </c:tx>
          <c:spPr>
            <a:solidFill>
              <a:srgbClr val="000000"/>
            </a:solidFill>
            <a:ln w="28440">
              <a:solidFill>
                <a:srgbClr val="000000"/>
              </a:solidFill>
              <a:round/>
            </a:ln>
          </c:spPr>
          <c:marker>
            <c:symbol val="diamond"/>
            <c:size val="5"/>
            <c:spPr>
              <a:solidFill>
                <a:srgbClr val="000000"/>
              </a:solidFill>
            </c:spPr>
          </c:marker>
          <c:dLbls>
            <c:dLblPos val="r"/>
            <c:showLegendKey val="0"/>
            <c:showVal val="0"/>
            <c:showCatName val="0"/>
            <c:showSerName val="0"/>
            <c:showPercent val="0"/>
            <c:showLeaderLines val="0"/>
          </c:dLbls>
          <c:xVal>
            <c:numRef>
              <c:f>Ном_Езаг!$C$12:$J$12</c:f>
              <c:numCache>
                <c:formatCode>General</c:formatCode>
                <c:ptCount val="8"/>
                <c:pt idx="0">
                  <c:v>0</c:v>
                </c:pt>
                <c:pt idx="1">
                  <c:v>0.1</c:v>
                </c:pt>
                <c:pt idx="2">
                  <c:v>0.2</c:v>
                </c:pt>
                <c:pt idx="3">
                  <c:v>0.3</c:v>
                </c:pt>
                <c:pt idx="4">
                  <c:v>0.4</c:v>
                </c:pt>
                <c:pt idx="5">
                  <c:v>0.5</c:v>
                </c:pt>
                <c:pt idx="6">
                  <c:v>0.6</c:v>
                </c:pt>
                <c:pt idx="7">
                  <c:v>0.7</c:v>
                </c:pt>
              </c:numCache>
            </c:numRef>
          </c:xVal>
          <c:yVal>
            <c:numRef>
              <c:f>Ном_Езаг!$C$13:$J$13</c:f>
              <c:numCache>
                <c:formatCode>General</c:formatCode>
                <c:ptCount val="8"/>
                <c:pt idx="0">
                  <c:v>0.85</c:v>
                </c:pt>
                <c:pt idx="1">
                  <c:v>0.852</c:v>
                </c:pt>
                <c:pt idx="2">
                  <c:v>0.856</c:v>
                </c:pt>
                <c:pt idx="3">
                  <c:v>0.867</c:v>
                </c:pt>
                <c:pt idx="4">
                  <c:v>0.878</c:v>
                </c:pt>
                <c:pt idx="5">
                  <c:v>0.888</c:v>
                </c:pt>
                <c:pt idx="6">
                  <c:v>0.898</c:v>
                </c:pt>
                <c:pt idx="7">
                  <c:v>0.905</c:v>
                </c:pt>
              </c:numCache>
            </c:numRef>
          </c:yVal>
          <c:smooth val="0"/>
        </c:ser>
        <c:ser>
          <c:idx val="1"/>
          <c:order val="1"/>
          <c:tx>
            <c:strRef>
              <c:f>Ном_Езаг!$B$14:$B$14</c:f>
              <c:strCache>
                <c:ptCount val="1"/>
                <c:pt idx="0">
                  <c:v>0,8</c:v>
                </c:pt>
              </c:strCache>
            </c:strRef>
          </c:tx>
          <c:spPr>
            <a:solidFill>
              <a:srgbClr val="000000"/>
            </a:solidFill>
            <a:ln w="28440">
              <a:solidFill>
                <a:srgbClr val="000000"/>
              </a:solidFill>
              <a:round/>
            </a:ln>
          </c:spPr>
          <c:marker>
            <c:symbol val="square"/>
            <c:size val="5"/>
            <c:spPr>
              <a:solidFill>
                <a:srgbClr val="000000"/>
              </a:solidFill>
            </c:spPr>
          </c:marker>
          <c:dLbls>
            <c:dLblPos val="r"/>
            <c:showLegendKey val="0"/>
            <c:showVal val="0"/>
            <c:showCatName val="0"/>
            <c:showSerName val="0"/>
            <c:showPercent val="0"/>
            <c:showLeaderLines val="0"/>
          </c:dLbls>
          <c:xVal>
            <c:numRef>
              <c:f>Ном_Езаг!$C$12:$M$12</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Ном_Езаг!$C$14:$M$14</c:f>
              <c:numCache>
                <c:formatCode>General</c:formatCode>
                <c:ptCount val="11"/>
                <c:pt idx="0">
                  <c:v>0.8</c:v>
                </c:pt>
                <c:pt idx="1">
                  <c:v>0.805</c:v>
                </c:pt>
                <c:pt idx="2">
                  <c:v>0.816</c:v>
                </c:pt>
                <c:pt idx="3">
                  <c:v>0.829</c:v>
                </c:pt>
                <c:pt idx="4">
                  <c:v>0.845</c:v>
                </c:pt>
                <c:pt idx="5">
                  <c:v>0.859</c:v>
                </c:pt>
                <c:pt idx="6">
                  <c:v>0.872</c:v>
                </c:pt>
                <c:pt idx="7">
                  <c:v>0.882</c:v>
                </c:pt>
                <c:pt idx="8">
                  <c:v>0.891</c:v>
                </c:pt>
                <c:pt idx="9">
                  <c:v>0.898</c:v>
                </c:pt>
                <c:pt idx="10">
                  <c:v>0.904</c:v>
                </c:pt>
              </c:numCache>
            </c:numRef>
          </c:yVal>
          <c:smooth val="0"/>
        </c:ser>
        <c:ser>
          <c:idx val="2"/>
          <c:order val="2"/>
          <c:tx>
            <c:strRef>
              <c:f>Ном_Езаг!$B$15:$B$15</c:f>
              <c:strCache>
                <c:ptCount val="1"/>
                <c:pt idx="0">
                  <c:v>0,75</c:v>
                </c:pt>
              </c:strCache>
            </c:strRef>
          </c:tx>
          <c:spPr>
            <a:solidFill>
              <a:srgbClr val="000000"/>
            </a:solidFill>
            <a:ln w="28440">
              <a:solidFill>
                <a:srgbClr val="000000"/>
              </a:solidFill>
              <a:round/>
            </a:ln>
          </c:spPr>
          <c:marker>
            <c:symbol val="triangle"/>
            <c:size val="5"/>
            <c:spPr>
              <a:solidFill>
                <a:srgbClr val="000000"/>
              </a:solidFill>
            </c:spPr>
          </c:marker>
          <c:dLbls>
            <c:dLblPos val="r"/>
            <c:showLegendKey val="0"/>
            <c:showVal val="0"/>
            <c:showCatName val="0"/>
            <c:showSerName val="0"/>
            <c:showPercent val="0"/>
            <c:showLeaderLines val="0"/>
          </c:dLbls>
          <c:xVal>
            <c:numRef>
              <c:f>Ном_Езаг!$C$12:$P$12</c:f>
              <c:numCache>
                <c:formatCode>General</c:formatCode>
                <c:ptCount val="14"/>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numCache>
            </c:numRef>
          </c:xVal>
          <c:yVal>
            <c:numRef>
              <c:f>Ном_Езаг!$C$15:$P$15</c:f>
              <c:numCache>
                <c:formatCode>General</c:formatCode>
                <c:ptCount val="14"/>
                <c:pt idx="0">
                  <c:v>0.75</c:v>
                </c:pt>
                <c:pt idx="1">
                  <c:v>0.758</c:v>
                </c:pt>
                <c:pt idx="2">
                  <c:v>0.772</c:v>
                </c:pt>
                <c:pt idx="3">
                  <c:v>0.791</c:v>
                </c:pt>
                <c:pt idx="4">
                  <c:v>0.811</c:v>
                </c:pt>
                <c:pt idx="5">
                  <c:v>0.829</c:v>
                </c:pt>
                <c:pt idx="6">
                  <c:v>0.844</c:v>
                </c:pt>
                <c:pt idx="7">
                  <c:v>0.857</c:v>
                </c:pt>
                <c:pt idx="8">
                  <c:v>0.868</c:v>
                </c:pt>
                <c:pt idx="9">
                  <c:v>0.877</c:v>
                </c:pt>
                <c:pt idx="10">
                  <c:v>0.885</c:v>
                </c:pt>
                <c:pt idx="11">
                  <c:v>0.892</c:v>
                </c:pt>
                <c:pt idx="12">
                  <c:v>0.897</c:v>
                </c:pt>
                <c:pt idx="13">
                  <c:v>0.902</c:v>
                </c:pt>
              </c:numCache>
            </c:numRef>
          </c:yVal>
          <c:smooth val="0"/>
        </c:ser>
        <c:ser>
          <c:idx val="3"/>
          <c:order val="3"/>
          <c:tx>
            <c:strRef>
              <c:f>Ном_Езаг!$B$16:$B$16</c:f>
              <c:strCache>
                <c:ptCount val="1"/>
                <c:pt idx="0">
                  <c:v>0,7</c:v>
                </c:pt>
              </c:strCache>
            </c:strRef>
          </c:tx>
          <c:spPr>
            <a:solidFill>
              <a:srgbClr val="000000"/>
            </a:solidFill>
            <a:ln w="28440">
              <a:solidFill>
                <a:srgbClr val="000000"/>
              </a:solidFill>
              <a:round/>
            </a:ln>
          </c:spPr>
          <c:marker>
            <c:symbol val="square"/>
            <c:size val="5"/>
            <c:spPr>
              <a:solidFill>
                <a:srgbClr val="000000"/>
              </a:solidFill>
            </c:spPr>
          </c:marker>
          <c:dLbls>
            <c:dLblPos val="r"/>
            <c:showLegendKey val="0"/>
            <c:showVal val="0"/>
            <c:showCatName val="0"/>
            <c:showSerName val="0"/>
            <c:showPercent val="0"/>
            <c:showLeaderLines val="0"/>
          </c:dLbls>
          <c:xVal>
            <c:numRef>
              <c:f>Ном_Езаг!$C$12:$S$12</c:f>
              <c:numCache>
                <c:formatCode>General</c:formatCode>
                <c:ptCount val="17"/>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numCache>
            </c:numRef>
          </c:xVal>
          <c:yVal>
            <c:numRef>
              <c:f>Ном_Езаг!$C$16:$S$16</c:f>
              <c:numCache>
                <c:formatCode>General</c:formatCode>
                <c:ptCount val="17"/>
                <c:pt idx="0">
                  <c:v>0.7</c:v>
                </c:pt>
                <c:pt idx="1">
                  <c:v>0.711</c:v>
                </c:pt>
                <c:pt idx="2">
                  <c:v>0.728</c:v>
                </c:pt>
                <c:pt idx="3">
                  <c:v>0.751</c:v>
                </c:pt>
                <c:pt idx="4">
                  <c:v>0.776</c:v>
                </c:pt>
                <c:pt idx="5">
                  <c:v>0.797</c:v>
                </c:pt>
                <c:pt idx="6">
                  <c:v>0.816</c:v>
                </c:pt>
                <c:pt idx="7">
                  <c:v>0.831</c:v>
                </c:pt>
                <c:pt idx="8">
                  <c:v>0.844</c:v>
                </c:pt>
                <c:pt idx="9">
                  <c:v>0.855</c:v>
                </c:pt>
                <c:pt idx="10">
                  <c:v>0.864</c:v>
                </c:pt>
                <c:pt idx="11">
                  <c:v>0.872</c:v>
                </c:pt>
                <c:pt idx="12">
                  <c:v>0.88</c:v>
                </c:pt>
                <c:pt idx="13">
                  <c:v>0.886</c:v>
                </c:pt>
                <c:pt idx="14">
                  <c:v>0.891</c:v>
                </c:pt>
                <c:pt idx="15">
                  <c:v>0.896</c:v>
                </c:pt>
                <c:pt idx="16">
                  <c:v>0.9</c:v>
                </c:pt>
              </c:numCache>
            </c:numRef>
          </c:yVal>
          <c:smooth val="0"/>
        </c:ser>
        <c:ser>
          <c:idx val="4"/>
          <c:order val="4"/>
          <c:tx>
            <c:strRef>
              <c:f>Ном_Езаг!$B$17:$B$17</c:f>
              <c:strCache>
                <c:ptCount val="1"/>
                <c:pt idx="0">
                  <c:v>0,65</c:v>
                </c:pt>
              </c:strCache>
            </c:strRef>
          </c:tx>
          <c:spPr>
            <a:solidFill>
              <a:srgbClr val="000000"/>
            </a:solidFill>
            <a:ln w="28440">
              <a:solidFill>
                <a:srgbClr val="000000"/>
              </a:solidFill>
              <a:round/>
            </a:ln>
          </c:spPr>
          <c:marker>
            <c:symbol val="squar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Ном_Езаг!$C$17:$W$17</c:f>
              <c:numCache>
                <c:formatCode>General</c:formatCode>
                <c:ptCount val="21"/>
                <c:pt idx="0">
                  <c:v>0.65</c:v>
                </c:pt>
                <c:pt idx="1">
                  <c:v>0.662</c:v>
                </c:pt>
                <c:pt idx="2">
                  <c:v>0.683</c:v>
                </c:pt>
                <c:pt idx="3">
                  <c:v>0.711</c:v>
                </c:pt>
                <c:pt idx="4">
                  <c:v>0.739</c:v>
                </c:pt>
                <c:pt idx="5">
                  <c:v>0.764</c:v>
                </c:pt>
                <c:pt idx="6">
                  <c:v>0.785</c:v>
                </c:pt>
                <c:pt idx="7">
                  <c:v>0.803</c:v>
                </c:pt>
                <c:pt idx="8">
                  <c:v>0.818</c:v>
                </c:pt>
                <c:pt idx="9">
                  <c:v>0.831</c:v>
                </c:pt>
                <c:pt idx="10">
                  <c:v>0.842</c:v>
                </c:pt>
                <c:pt idx="11">
                  <c:v>0.852</c:v>
                </c:pt>
                <c:pt idx="12">
                  <c:v>0.86</c:v>
                </c:pt>
                <c:pt idx="13">
                  <c:v>0.867</c:v>
                </c:pt>
                <c:pt idx="14">
                  <c:v>0.874</c:v>
                </c:pt>
                <c:pt idx="15">
                  <c:v>0.879</c:v>
                </c:pt>
                <c:pt idx="16">
                  <c:v>0.884</c:v>
                </c:pt>
                <c:pt idx="17">
                  <c:v>0.889</c:v>
                </c:pt>
                <c:pt idx="18">
                  <c:v>0.893</c:v>
                </c:pt>
                <c:pt idx="19">
                  <c:v>0.896</c:v>
                </c:pt>
                <c:pt idx="20">
                  <c:v>0.9</c:v>
                </c:pt>
              </c:numCache>
            </c:numRef>
          </c:yVal>
          <c:smooth val="0"/>
        </c:ser>
        <c:ser>
          <c:idx val="5"/>
          <c:order val="5"/>
          <c:tx>
            <c:strRef>
              <c:f>Ном_Езаг!$B$18:$B$18</c:f>
              <c:strCache>
                <c:ptCount val="1"/>
                <c:pt idx="0">
                  <c:v>0,6</c:v>
                </c:pt>
              </c:strCache>
            </c:strRef>
          </c:tx>
          <c:spPr>
            <a:solidFill>
              <a:srgbClr val="000000"/>
            </a:solidFill>
            <a:ln w="28440">
              <a:solidFill>
                <a:srgbClr val="000000"/>
              </a:solidFill>
              <a:round/>
            </a:ln>
          </c:spPr>
          <c:marker>
            <c:symbol val="circl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Ном_Езаг!$C$18:$W$18</c:f>
              <c:numCache>
                <c:formatCode>General</c:formatCode>
                <c:ptCount val="21"/>
                <c:pt idx="0">
                  <c:v>0.6</c:v>
                </c:pt>
                <c:pt idx="1">
                  <c:v>0.614</c:v>
                </c:pt>
                <c:pt idx="2">
                  <c:v>0.638</c:v>
                </c:pt>
                <c:pt idx="3">
                  <c:v>0.669</c:v>
                </c:pt>
                <c:pt idx="4">
                  <c:v>0.7</c:v>
                </c:pt>
                <c:pt idx="5">
                  <c:v>0.729</c:v>
                </c:pt>
                <c:pt idx="6">
                  <c:v>0.753</c:v>
                </c:pt>
                <c:pt idx="7">
                  <c:v>0.773</c:v>
                </c:pt>
                <c:pt idx="8">
                  <c:v>0.791</c:v>
                </c:pt>
                <c:pt idx="9">
                  <c:v>0.806</c:v>
                </c:pt>
                <c:pt idx="10">
                  <c:v>0.818</c:v>
                </c:pt>
                <c:pt idx="11">
                  <c:v>0.829</c:v>
                </c:pt>
                <c:pt idx="12">
                  <c:v>0.839</c:v>
                </c:pt>
                <c:pt idx="13">
                  <c:v>0.847</c:v>
                </c:pt>
                <c:pt idx="14">
                  <c:v>0.855</c:v>
                </c:pt>
                <c:pt idx="15">
                  <c:v>0.861</c:v>
                </c:pt>
                <c:pt idx="16">
                  <c:v>0.867</c:v>
                </c:pt>
                <c:pt idx="17">
                  <c:v>0.872</c:v>
                </c:pt>
                <c:pt idx="18">
                  <c:v>0.877</c:v>
                </c:pt>
                <c:pt idx="19">
                  <c:v>0.882</c:v>
                </c:pt>
                <c:pt idx="20">
                  <c:v>0.886</c:v>
                </c:pt>
              </c:numCache>
            </c:numRef>
          </c:yVal>
          <c:smooth val="0"/>
        </c:ser>
        <c:ser>
          <c:idx val="6"/>
          <c:order val="6"/>
          <c:tx>
            <c:strRef>
              <c:f>Ном_Езаг!$B$19:$B$19</c:f>
              <c:strCache>
                <c:ptCount val="1"/>
                <c:pt idx="0">
                  <c:v>0,55</c:v>
                </c:pt>
              </c:strCache>
            </c:strRef>
          </c:tx>
          <c:spPr>
            <a:solidFill>
              <a:srgbClr val="000000"/>
            </a:solidFill>
            <a:ln w="28440">
              <a:solidFill>
                <a:srgbClr val="000000"/>
              </a:solidFill>
              <a:round/>
            </a:ln>
          </c:spPr>
          <c:marker>
            <c:symbol val="squar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Ном_Езаг!$C$19:$W$19</c:f>
              <c:numCache>
                <c:formatCode>General</c:formatCode>
                <c:ptCount val="21"/>
                <c:pt idx="0">
                  <c:v>0.55</c:v>
                </c:pt>
                <c:pt idx="1">
                  <c:v>0.564</c:v>
                </c:pt>
                <c:pt idx="2">
                  <c:v>0.592</c:v>
                </c:pt>
                <c:pt idx="3">
                  <c:v>0.626</c:v>
                </c:pt>
                <c:pt idx="4">
                  <c:v>0.66</c:v>
                </c:pt>
                <c:pt idx="5">
                  <c:v>0.692</c:v>
                </c:pt>
                <c:pt idx="6">
                  <c:v>0.718</c:v>
                </c:pt>
                <c:pt idx="7">
                  <c:v>0.741</c:v>
                </c:pt>
                <c:pt idx="8">
                  <c:v>0.761</c:v>
                </c:pt>
                <c:pt idx="9">
                  <c:v>0.778</c:v>
                </c:pt>
                <c:pt idx="10">
                  <c:v>0.792</c:v>
                </c:pt>
                <c:pt idx="11">
                  <c:v>0.804</c:v>
                </c:pt>
                <c:pt idx="12">
                  <c:v>0.815</c:v>
                </c:pt>
                <c:pt idx="13">
                  <c:v>0.825</c:v>
                </c:pt>
                <c:pt idx="14">
                  <c:v>0.834</c:v>
                </c:pt>
                <c:pt idx="15">
                  <c:v>0.841</c:v>
                </c:pt>
                <c:pt idx="16">
                  <c:v>0.848</c:v>
                </c:pt>
                <c:pt idx="17">
                  <c:v>0.854</c:v>
                </c:pt>
                <c:pt idx="18">
                  <c:v>0.86</c:v>
                </c:pt>
                <c:pt idx="19">
                  <c:v>0.865</c:v>
                </c:pt>
                <c:pt idx="20">
                  <c:v>0.87</c:v>
                </c:pt>
              </c:numCache>
            </c:numRef>
          </c:yVal>
          <c:smooth val="0"/>
        </c:ser>
        <c:ser>
          <c:idx val="7"/>
          <c:order val="7"/>
          <c:tx>
            <c:strRef>
              <c:f>Ном_Езаг!$B$20:$B$20</c:f>
              <c:strCache>
                <c:ptCount val="1"/>
                <c:pt idx="0">
                  <c:v>0,5</c:v>
                </c:pt>
              </c:strCache>
            </c:strRef>
          </c:tx>
          <c:spPr>
            <a:solidFill>
              <a:srgbClr val="000000"/>
            </a:solidFill>
            <a:ln w="28440">
              <a:solidFill>
                <a:srgbClr val="000000"/>
              </a:solidFill>
              <a:round/>
            </a:ln>
          </c:spPr>
          <c:marker>
            <c:symbol val="squar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Ном_Езаг!$C$20:$W$20</c:f>
              <c:numCache>
                <c:formatCode>General</c:formatCode>
                <c:ptCount val="21"/>
                <c:pt idx="0">
                  <c:v>0.5</c:v>
                </c:pt>
                <c:pt idx="1">
                  <c:v>0.514</c:v>
                </c:pt>
                <c:pt idx="2">
                  <c:v>0.544</c:v>
                </c:pt>
                <c:pt idx="3">
                  <c:v>0.581</c:v>
                </c:pt>
                <c:pt idx="4">
                  <c:v>0.619</c:v>
                </c:pt>
                <c:pt idx="5">
                  <c:v>0.652</c:v>
                </c:pt>
                <c:pt idx="6">
                  <c:v>0.682</c:v>
                </c:pt>
                <c:pt idx="7">
                  <c:v>0.707</c:v>
                </c:pt>
                <c:pt idx="8">
                  <c:v>0.728</c:v>
                </c:pt>
                <c:pt idx="9">
                  <c:v>0.747</c:v>
                </c:pt>
                <c:pt idx="10">
                  <c:v>0.763</c:v>
                </c:pt>
                <c:pt idx="11">
                  <c:v>0.777</c:v>
                </c:pt>
                <c:pt idx="12">
                  <c:v>0.79</c:v>
                </c:pt>
                <c:pt idx="13">
                  <c:v>0.8</c:v>
                </c:pt>
                <c:pt idx="14">
                  <c:v>0.81</c:v>
                </c:pt>
                <c:pt idx="15">
                  <c:v>0.819</c:v>
                </c:pt>
                <c:pt idx="16">
                  <c:v>0.827</c:v>
                </c:pt>
                <c:pt idx="17">
                  <c:v>0.834</c:v>
                </c:pt>
                <c:pt idx="18">
                  <c:v>0.84</c:v>
                </c:pt>
                <c:pt idx="19">
                  <c:v>0.846</c:v>
                </c:pt>
                <c:pt idx="20">
                  <c:v>0.851</c:v>
                </c:pt>
              </c:numCache>
            </c:numRef>
          </c:yVal>
          <c:smooth val="0"/>
        </c:ser>
        <c:ser>
          <c:idx val="8"/>
          <c:order val="8"/>
          <c:tx>
            <c:strRef>
              <c:f>Ном_Езаг!$B$21:$B$21</c:f>
              <c:strCache>
                <c:ptCount val="1"/>
                <c:pt idx="0">
                  <c:v>0,45</c:v>
                </c:pt>
              </c:strCache>
            </c:strRef>
          </c:tx>
          <c:spPr>
            <a:solidFill>
              <a:srgbClr val="000000"/>
            </a:solidFill>
            <a:ln w="28440">
              <a:solidFill>
                <a:srgbClr val="000000"/>
              </a:solidFill>
              <a:round/>
            </a:ln>
          </c:spPr>
          <c:marker>
            <c:symbol val="dash"/>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Ном_Езаг!$C$21:$W$21</c:f>
              <c:numCache>
                <c:formatCode>General</c:formatCode>
                <c:ptCount val="21"/>
                <c:pt idx="0">
                  <c:v>0.45</c:v>
                </c:pt>
                <c:pt idx="1">
                  <c:v>0.464</c:v>
                </c:pt>
                <c:pt idx="2">
                  <c:v>0.496</c:v>
                </c:pt>
                <c:pt idx="3">
                  <c:v>0.536</c:v>
                </c:pt>
                <c:pt idx="4">
                  <c:v>0.575</c:v>
                </c:pt>
                <c:pt idx="5">
                  <c:v>0.611</c:v>
                </c:pt>
                <c:pt idx="6">
                  <c:v>0.642</c:v>
                </c:pt>
                <c:pt idx="7">
                  <c:v>0.67</c:v>
                </c:pt>
                <c:pt idx="8">
                  <c:v>0.693</c:v>
                </c:pt>
                <c:pt idx="9">
                  <c:v>0.714</c:v>
                </c:pt>
                <c:pt idx="10">
                  <c:v>0.731</c:v>
                </c:pt>
                <c:pt idx="11">
                  <c:v>0.747</c:v>
                </c:pt>
                <c:pt idx="12">
                  <c:v>0.761</c:v>
                </c:pt>
                <c:pt idx="13">
                  <c:v>0.773</c:v>
                </c:pt>
                <c:pt idx="14">
                  <c:v>0.784</c:v>
                </c:pt>
                <c:pt idx="15">
                  <c:v>0.794</c:v>
                </c:pt>
                <c:pt idx="16">
                  <c:v>0.802</c:v>
                </c:pt>
                <c:pt idx="17">
                  <c:v>0.811</c:v>
                </c:pt>
                <c:pt idx="18">
                  <c:v>0.818</c:v>
                </c:pt>
                <c:pt idx="19">
                  <c:v>0.824</c:v>
                </c:pt>
                <c:pt idx="20">
                  <c:v>0.831</c:v>
                </c:pt>
              </c:numCache>
            </c:numRef>
          </c:yVal>
          <c:smooth val="0"/>
        </c:ser>
        <c:ser>
          <c:idx val="9"/>
          <c:order val="9"/>
          <c:tx>
            <c:strRef>
              <c:f>Ном_Езаг!$B$22:$B$22</c:f>
              <c:strCache>
                <c:ptCount val="1"/>
                <c:pt idx="0">
                  <c:v>0,4</c:v>
                </c:pt>
              </c:strCache>
            </c:strRef>
          </c:tx>
          <c:spPr>
            <a:solidFill>
              <a:srgbClr val="000000"/>
            </a:solidFill>
            <a:ln w="28440">
              <a:solidFill>
                <a:srgbClr val="000000"/>
              </a:solidFill>
              <a:round/>
            </a:ln>
          </c:spPr>
          <c:marker>
            <c:symbol val="diamond"/>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Ном_Езаг!$C$22:$W$22</c:f>
              <c:numCache>
                <c:formatCode>General</c:formatCode>
                <c:ptCount val="21"/>
                <c:pt idx="0">
                  <c:v>0.4</c:v>
                </c:pt>
                <c:pt idx="1">
                  <c:v>0.414</c:v>
                </c:pt>
                <c:pt idx="2">
                  <c:v>0.448</c:v>
                </c:pt>
                <c:pt idx="3">
                  <c:v>0.488</c:v>
                </c:pt>
                <c:pt idx="4">
                  <c:v>0.529</c:v>
                </c:pt>
                <c:pt idx="5">
                  <c:v>0.567</c:v>
                </c:pt>
                <c:pt idx="6">
                  <c:v>0.6</c:v>
                </c:pt>
                <c:pt idx="7">
                  <c:v>0.628</c:v>
                </c:pt>
                <c:pt idx="8">
                  <c:v>0.654</c:v>
                </c:pt>
                <c:pt idx="9">
                  <c:v>0.677</c:v>
                </c:pt>
                <c:pt idx="10">
                  <c:v>0.696</c:v>
                </c:pt>
                <c:pt idx="11">
                  <c:v>0.713</c:v>
                </c:pt>
                <c:pt idx="12">
                  <c:v>0.728</c:v>
                </c:pt>
                <c:pt idx="13">
                  <c:v>0.742</c:v>
                </c:pt>
                <c:pt idx="14">
                  <c:v>0.754</c:v>
                </c:pt>
                <c:pt idx="15">
                  <c:v>0.765</c:v>
                </c:pt>
                <c:pt idx="16">
                  <c:v>0.775</c:v>
                </c:pt>
                <c:pt idx="17">
                  <c:v>0.784</c:v>
                </c:pt>
                <c:pt idx="18">
                  <c:v>0.792</c:v>
                </c:pt>
                <c:pt idx="19">
                  <c:v>0.8</c:v>
                </c:pt>
                <c:pt idx="20">
                  <c:v>0.807</c:v>
                </c:pt>
              </c:numCache>
            </c:numRef>
          </c:yVal>
          <c:smooth val="0"/>
        </c:ser>
        <c:ser>
          <c:idx val="10"/>
          <c:order val="10"/>
          <c:tx>
            <c:strRef>
              <c:f>Ном_Езаг!$B$23:$B$23</c:f>
              <c:strCache>
                <c:ptCount val="1"/>
                <c:pt idx="0">
                  <c:v>0,35</c:v>
                </c:pt>
              </c:strCache>
            </c:strRef>
          </c:tx>
          <c:spPr>
            <a:solidFill>
              <a:srgbClr val="000000"/>
            </a:solidFill>
            <a:ln w="28440">
              <a:solidFill>
                <a:srgbClr val="000000"/>
              </a:solidFill>
              <a:round/>
            </a:ln>
          </c:spPr>
          <c:marker>
            <c:symbol val="squar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Ном_Езаг!$C$23:$W$23</c:f>
              <c:numCache>
                <c:formatCode>General</c:formatCode>
                <c:ptCount val="21"/>
                <c:pt idx="0">
                  <c:v>0.35</c:v>
                </c:pt>
                <c:pt idx="1">
                  <c:v>0.364</c:v>
                </c:pt>
                <c:pt idx="2">
                  <c:v>0.398</c:v>
                </c:pt>
                <c:pt idx="3">
                  <c:v>0.439</c:v>
                </c:pt>
                <c:pt idx="4">
                  <c:v>0.481</c:v>
                </c:pt>
                <c:pt idx="5">
                  <c:v>0.52</c:v>
                </c:pt>
                <c:pt idx="6">
                  <c:v>0.554</c:v>
                </c:pt>
                <c:pt idx="7">
                  <c:v>0.585</c:v>
                </c:pt>
                <c:pt idx="8">
                  <c:v>0.612</c:v>
                </c:pt>
                <c:pt idx="9">
                  <c:v>0.636</c:v>
                </c:pt>
                <c:pt idx="10">
                  <c:v>0.656</c:v>
                </c:pt>
                <c:pt idx="11">
                  <c:v>0.675</c:v>
                </c:pt>
                <c:pt idx="12">
                  <c:v>0.692</c:v>
                </c:pt>
                <c:pt idx="13">
                  <c:v>0.707</c:v>
                </c:pt>
                <c:pt idx="14">
                  <c:v>0.72</c:v>
                </c:pt>
                <c:pt idx="15">
                  <c:v>0.732</c:v>
                </c:pt>
                <c:pt idx="16">
                  <c:v>0.743</c:v>
                </c:pt>
                <c:pt idx="17">
                  <c:v>0.753</c:v>
                </c:pt>
                <c:pt idx="18">
                  <c:v>0.763</c:v>
                </c:pt>
                <c:pt idx="19">
                  <c:v>0.771</c:v>
                </c:pt>
                <c:pt idx="20">
                  <c:v>0.779</c:v>
                </c:pt>
              </c:numCache>
            </c:numRef>
          </c:yVal>
          <c:smooth val="0"/>
        </c:ser>
        <c:ser>
          <c:idx val="11"/>
          <c:order val="11"/>
          <c:tx>
            <c:strRef>
              <c:f>Ном_Езаг!$B$24:$B$24</c:f>
              <c:strCache>
                <c:ptCount val="1"/>
                <c:pt idx="0">
                  <c:v>0,3</c:v>
                </c:pt>
              </c:strCache>
            </c:strRef>
          </c:tx>
          <c:spPr>
            <a:solidFill>
              <a:srgbClr val="000000"/>
            </a:solidFill>
            <a:ln w="28440">
              <a:solidFill>
                <a:srgbClr val="000000"/>
              </a:solidFill>
              <a:round/>
            </a:ln>
          </c:spPr>
          <c:marker>
            <c:symbol val="triangl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Ном_Езаг!$C$24:$W$24</c:f>
              <c:numCache>
                <c:formatCode>General</c:formatCode>
                <c:ptCount val="21"/>
                <c:pt idx="0">
                  <c:v>0.3</c:v>
                </c:pt>
                <c:pt idx="1">
                  <c:v>0.313</c:v>
                </c:pt>
                <c:pt idx="2">
                  <c:v>0.347</c:v>
                </c:pt>
                <c:pt idx="3">
                  <c:v>0.388</c:v>
                </c:pt>
                <c:pt idx="4">
                  <c:v>0.43</c:v>
                </c:pt>
                <c:pt idx="5">
                  <c:v>0.47</c:v>
                </c:pt>
                <c:pt idx="6">
                  <c:v>0.505</c:v>
                </c:pt>
                <c:pt idx="7">
                  <c:v>0.537</c:v>
                </c:pt>
                <c:pt idx="8">
                  <c:v>0.565</c:v>
                </c:pt>
                <c:pt idx="9">
                  <c:v>0.59</c:v>
                </c:pt>
                <c:pt idx="10">
                  <c:v>0.612</c:v>
                </c:pt>
                <c:pt idx="11">
                  <c:v>0.632</c:v>
                </c:pt>
                <c:pt idx="12">
                  <c:v>0.65</c:v>
                </c:pt>
                <c:pt idx="13">
                  <c:v>0.666</c:v>
                </c:pt>
                <c:pt idx="14">
                  <c:v>0.681</c:v>
                </c:pt>
                <c:pt idx="15">
                  <c:v>0.694</c:v>
                </c:pt>
                <c:pt idx="16">
                  <c:v>0.706</c:v>
                </c:pt>
                <c:pt idx="17">
                  <c:v>0.717</c:v>
                </c:pt>
                <c:pt idx="18">
                  <c:v>0.728</c:v>
                </c:pt>
                <c:pt idx="19">
                  <c:v>0.737</c:v>
                </c:pt>
                <c:pt idx="20">
                  <c:v>0.746</c:v>
                </c:pt>
              </c:numCache>
            </c:numRef>
          </c:yVal>
          <c:smooth val="0"/>
        </c:ser>
        <c:ser>
          <c:idx val="12"/>
          <c:order val="12"/>
          <c:tx>
            <c:strRef>
              <c:f>Ном_Езаг!$B$25:$B$25</c:f>
              <c:strCache>
                <c:ptCount val="1"/>
                <c:pt idx="0">
                  <c:v>0,25</c:v>
                </c:pt>
              </c:strCache>
            </c:strRef>
          </c:tx>
          <c:spPr>
            <a:solidFill>
              <a:srgbClr val="000000"/>
            </a:solidFill>
            <a:ln w="28440">
              <a:solidFill>
                <a:srgbClr val="000000"/>
              </a:solidFill>
              <a:round/>
            </a:ln>
          </c:spPr>
          <c:marker>
            <c:symbol val="x"/>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Ном_Езаг!$C$25:$W$25</c:f>
              <c:numCache>
                <c:formatCode>General</c:formatCode>
                <c:ptCount val="21"/>
                <c:pt idx="0">
                  <c:v>0.25</c:v>
                </c:pt>
                <c:pt idx="1">
                  <c:v>0.262</c:v>
                </c:pt>
                <c:pt idx="2">
                  <c:v>0.295</c:v>
                </c:pt>
                <c:pt idx="3">
                  <c:v>0.336</c:v>
                </c:pt>
                <c:pt idx="4">
                  <c:v>0.377</c:v>
                </c:pt>
                <c:pt idx="5">
                  <c:v>0.415</c:v>
                </c:pt>
                <c:pt idx="6">
                  <c:v>0.451</c:v>
                </c:pt>
                <c:pt idx="7">
                  <c:v>0.483</c:v>
                </c:pt>
                <c:pt idx="8">
                  <c:v>0.512</c:v>
                </c:pt>
                <c:pt idx="9">
                  <c:v>0.538</c:v>
                </c:pt>
                <c:pt idx="10">
                  <c:v>0.561</c:v>
                </c:pt>
                <c:pt idx="11">
                  <c:v>0.582</c:v>
                </c:pt>
                <c:pt idx="12">
                  <c:v>0.601</c:v>
                </c:pt>
                <c:pt idx="13">
                  <c:v>0.618</c:v>
                </c:pt>
                <c:pt idx="14">
                  <c:v>0.634</c:v>
                </c:pt>
                <c:pt idx="15">
                  <c:v>0.649</c:v>
                </c:pt>
                <c:pt idx="16">
                  <c:v>0.662</c:v>
                </c:pt>
                <c:pt idx="17">
                  <c:v>0.674</c:v>
                </c:pt>
                <c:pt idx="18">
                  <c:v>0.686</c:v>
                </c:pt>
                <c:pt idx="19">
                  <c:v>0.696</c:v>
                </c:pt>
                <c:pt idx="20">
                  <c:v>0.706</c:v>
                </c:pt>
              </c:numCache>
            </c:numRef>
          </c:yVal>
          <c:smooth val="0"/>
        </c:ser>
        <c:ser>
          <c:idx val="13"/>
          <c:order val="13"/>
          <c:tx>
            <c:strRef>
              <c:f>Ном_Езаг!$B$26:$B$26</c:f>
              <c:strCache>
                <c:ptCount val="1"/>
                <c:pt idx="0">
                  <c:v>0,2</c:v>
                </c:pt>
              </c:strCache>
            </c:strRef>
          </c:tx>
          <c:spPr>
            <a:solidFill>
              <a:srgbClr val="000000"/>
            </a:solidFill>
            <a:ln w="28440">
              <a:solidFill>
                <a:srgbClr val="000000"/>
              </a:solidFill>
              <a:round/>
            </a:ln>
          </c:spPr>
          <c:marker>
            <c:symbol val="square"/>
            <c:size val="4"/>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Ном_Езаг!$C$26:$W$26</c:f>
              <c:numCache>
                <c:formatCode>General</c:formatCode>
                <c:ptCount val="21"/>
                <c:pt idx="0">
                  <c:v>0.2</c:v>
                </c:pt>
                <c:pt idx="1">
                  <c:v>0.211</c:v>
                </c:pt>
                <c:pt idx="2">
                  <c:v>0.242</c:v>
                </c:pt>
                <c:pt idx="3">
                  <c:v>0.28</c:v>
                </c:pt>
                <c:pt idx="4">
                  <c:v>0.319</c:v>
                </c:pt>
                <c:pt idx="5">
                  <c:v>0.357</c:v>
                </c:pt>
                <c:pt idx="6">
                  <c:v>0.391</c:v>
                </c:pt>
                <c:pt idx="7">
                  <c:v>0.421</c:v>
                </c:pt>
                <c:pt idx="8">
                  <c:v>0.451</c:v>
                </c:pt>
                <c:pt idx="9">
                  <c:v>0.478</c:v>
                </c:pt>
                <c:pt idx="10">
                  <c:v>0.501</c:v>
                </c:pt>
                <c:pt idx="11">
                  <c:v>0.523</c:v>
                </c:pt>
                <c:pt idx="12">
                  <c:v>0.543</c:v>
                </c:pt>
                <c:pt idx="13">
                  <c:v>0.561</c:v>
                </c:pt>
                <c:pt idx="14">
                  <c:v>0.578</c:v>
                </c:pt>
                <c:pt idx="15">
                  <c:v>0.594</c:v>
                </c:pt>
                <c:pt idx="16">
                  <c:v>0.608</c:v>
                </c:pt>
                <c:pt idx="17">
                  <c:v>0.622</c:v>
                </c:pt>
                <c:pt idx="18">
                  <c:v>0.634</c:v>
                </c:pt>
                <c:pt idx="19">
                  <c:v>0.646</c:v>
                </c:pt>
                <c:pt idx="20">
                  <c:v>0.656</c:v>
                </c:pt>
              </c:numCache>
            </c:numRef>
          </c:yVal>
          <c:smooth val="0"/>
        </c:ser>
        <c:ser>
          <c:idx val="14"/>
          <c:order val="14"/>
          <c:tx>
            <c:strRef>
              <c:f>Ном_Езаг!$B$27:$B$27</c:f>
              <c:strCache>
                <c:ptCount val="1"/>
                <c:pt idx="0">
                  <c:v>0,15</c:v>
                </c:pt>
              </c:strCache>
            </c:strRef>
          </c:tx>
          <c:spPr>
            <a:solidFill>
              <a:srgbClr val="000000"/>
            </a:solidFill>
            <a:ln w="28440">
              <a:solidFill>
                <a:srgbClr val="000000"/>
              </a:solidFill>
              <a:round/>
            </a:ln>
          </c:spPr>
          <c:marker>
            <c:symbol val="circl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Ном_Езаг!$C$27:$W$27</c:f>
              <c:numCache>
                <c:formatCode>General</c:formatCode>
                <c:ptCount val="21"/>
                <c:pt idx="0">
                  <c:v>0.15</c:v>
                </c:pt>
                <c:pt idx="1">
                  <c:v>0.159</c:v>
                </c:pt>
                <c:pt idx="2">
                  <c:v>0.188</c:v>
                </c:pt>
                <c:pt idx="3">
                  <c:v>0.222</c:v>
                </c:pt>
                <c:pt idx="4">
                  <c:v>0.258</c:v>
                </c:pt>
                <c:pt idx="5">
                  <c:v>0.292</c:v>
                </c:pt>
                <c:pt idx="6">
                  <c:v>0.324</c:v>
                </c:pt>
                <c:pt idx="7">
                  <c:v>0.354</c:v>
                </c:pt>
                <c:pt idx="8">
                  <c:v>0.382</c:v>
                </c:pt>
                <c:pt idx="9">
                  <c:v>0.407</c:v>
                </c:pt>
                <c:pt idx="10">
                  <c:v>0.431</c:v>
                </c:pt>
                <c:pt idx="11">
                  <c:v>0.453</c:v>
                </c:pt>
                <c:pt idx="12">
                  <c:v>0.473</c:v>
                </c:pt>
                <c:pt idx="13">
                  <c:v>0.492</c:v>
                </c:pt>
                <c:pt idx="14">
                  <c:v>0.509</c:v>
                </c:pt>
                <c:pt idx="15">
                  <c:v>0.525</c:v>
                </c:pt>
                <c:pt idx="16">
                  <c:v>0.54</c:v>
                </c:pt>
                <c:pt idx="17">
                  <c:v>0.554</c:v>
                </c:pt>
                <c:pt idx="18">
                  <c:v>0.568</c:v>
                </c:pt>
                <c:pt idx="19">
                  <c:v>0.58</c:v>
                </c:pt>
                <c:pt idx="20">
                  <c:v>0.592</c:v>
                </c:pt>
              </c:numCache>
            </c:numRef>
          </c:yVal>
          <c:smooth val="0"/>
        </c:ser>
        <c:ser>
          <c:idx val="15"/>
          <c:order val="15"/>
          <c:tx>
            <c:strRef>
              <c:f>Ном_Езаг!$B$28:$B$28</c:f>
              <c:strCache>
                <c:ptCount val="1"/>
                <c:pt idx="0">
                  <c:v>0,1</c:v>
                </c:pt>
              </c:strCache>
            </c:strRef>
          </c:tx>
          <c:spPr>
            <a:solidFill>
              <a:srgbClr val="000000"/>
            </a:solidFill>
            <a:ln w="28440">
              <a:solidFill>
                <a:srgbClr val="000000"/>
              </a:solidFill>
              <a:round/>
            </a:ln>
          </c:spPr>
          <c:marker>
            <c:symbol val="squar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Ном_Езаг!$C$28:$W$28</c:f>
              <c:numCache>
                <c:formatCode>General</c:formatCode>
                <c:ptCount val="21"/>
                <c:pt idx="0">
                  <c:v>0.1</c:v>
                </c:pt>
                <c:pt idx="1">
                  <c:v>0.108</c:v>
                </c:pt>
                <c:pt idx="2">
                  <c:v>0.132</c:v>
                </c:pt>
                <c:pt idx="3">
                  <c:v>0.161</c:v>
                </c:pt>
                <c:pt idx="4">
                  <c:v>0.191</c:v>
                </c:pt>
                <c:pt idx="5">
                  <c:v>0.22</c:v>
                </c:pt>
                <c:pt idx="6">
                  <c:v>0.248</c:v>
                </c:pt>
                <c:pt idx="7">
                  <c:v>0.274</c:v>
                </c:pt>
                <c:pt idx="8">
                  <c:v>0.299</c:v>
                </c:pt>
                <c:pt idx="9">
                  <c:v>0.322</c:v>
                </c:pt>
                <c:pt idx="10">
                  <c:v>0.344</c:v>
                </c:pt>
                <c:pt idx="11">
                  <c:v>0.364</c:v>
                </c:pt>
                <c:pt idx="12">
                  <c:v>0.384</c:v>
                </c:pt>
                <c:pt idx="13">
                  <c:v>0.402</c:v>
                </c:pt>
                <c:pt idx="14">
                  <c:v>0.418</c:v>
                </c:pt>
                <c:pt idx="15">
                  <c:v>0.435</c:v>
                </c:pt>
                <c:pt idx="16">
                  <c:v>0.45</c:v>
                </c:pt>
                <c:pt idx="17">
                  <c:v>0.464</c:v>
                </c:pt>
                <c:pt idx="18">
                  <c:v>0.478</c:v>
                </c:pt>
                <c:pt idx="19">
                  <c:v>0.491</c:v>
                </c:pt>
                <c:pt idx="20">
                  <c:v>0.503</c:v>
                </c:pt>
              </c:numCache>
            </c:numRef>
          </c:yVal>
          <c:smooth val="0"/>
        </c:ser>
        <c:ser>
          <c:idx val="16"/>
          <c:order val="16"/>
          <c:tx>
            <c:strRef>
              <c:f>Ном_Езаг!$B$29:$B$29</c:f>
              <c:strCache>
                <c:ptCount val="1"/>
                <c:pt idx="0">
                  <c:v>0,05</c:v>
                </c:pt>
              </c:strCache>
            </c:strRef>
          </c:tx>
          <c:spPr>
            <a:solidFill>
              <a:srgbClr val="000000"/>
            </a:solidFill>
            <a:ln w="28440">
              <a:solidFill>
                <a:srgbClr val="000000"/>
              </a:solidFill>
              <a:round/>
            </a:ln>
          </c:spPr>
          <c:marker>
            <c:symbol val="triangle"/>
            <c:size val="5"/>
            <c:spPr>
              <a:solidFill>
                <a:srgbClr val="000000"/>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Ном_Езаг!$C$29:$W$29</c:f>
              <c:numCache>
                <c:formatCode>General</c:formatCode>
                <c:ptCount val="21"/>
                <c:pt idx="0">
                  <c:v>0.05</c:v>
                </c:pt>
                <c:pt idx="1">
                  <c:v>0.055</c:v>
                </c:pt>
                <c:pt idx="2">
                  <c:v>0.073</c:v>
                </c:pt>
                <c:pt idx="3">
                  <c:v>0.093</c:v>
                </c:pt>
                <c:pt idx="4">
                  <c:v>0.114</c:v>
                </c:pt>
                <c:pt idx="5">
                  <c:v>0.135</c:v>
                </c:pt>
                <c:pt idx="6">
                  <c:v>0.158</c:v>
                </c:pt>
                <c:pt idx="7">
                  <c:v>0.174</c:v>
                </c:pt>
                <c:pt idx="8">
                  <c:v>0.193</c:v>
                </c:pt>
                <c:pt idx="9">
                  <c:v>0.211</c:v>
                </c:pt>
                <c:pt idx="10">
                  <c:v>0.228</c:v>
                </c:pt>
                <c:pt idx="11">
                  <c:v>0.244</c:v>
                </c:pt>
                <c:pt idx="12">
                  <c:v>0.261</c:v>
                </c:pt>
                <c:pt idx="13">
                  <c:v>0.275</c:v>
                </c:pt>
                <c:pt idx="14">
                  <c:v>0.29</c:v>
                </c:pt>
                <c:pt idx="15">
                  <c:v>0.304</c:v>
                </c:pt>
                <c:pt idx="16">
                  <c:v>0.317</c:v>
                </c:pt>
                <c:pt idx="17">
                  <c:v>0.33</c:v>
                </c:pt>
                <c:pt idx="18">
                  <c:v>0.343</c:v>
                </c:pt>
                <c:pt idx="19">
                  <c:v>0.355</c:v>
                </c:pt>
                <c:pt idx="20">
                  <c:v>0.366</c:v>
                </c:pt>
              </c:numCache>
            </c:numRef>
          </c:yVal>
          <c:smooth val="0"/>
        </c:ser>
        <c:ser>
          <c:idx val="17"/>
          <c:order val="17"/>
          <c:tx>
            <c:strRef>
              <c:f>Ном_Езаг!$B$30:$B$30</c:f>
              <c:strCache>
                <c:ptCount val="1"/>
                <c:pt idx="0">
                  <c:v>0</c:v>
                </c:pt>
              </c:strCache>
            </c:strRef>
          </c:tx>
          <c:spPr>
            <a:solidFill>
              <a:srgbClr val="99ccff"/>
            </a:solidFill>
            <a:ln w="28440">
              <a:noFill/>
            </a:ln>
          </c:spPr>
          <c:marker>
            <c:symbol val="square"/>
            <c:size val="5"/>
            <c:spPr>
              <a:solidFill>
                <a:srgbClr val="99ccff"/>
              </a:solidFill>
            </c:spPr>
          </c:marker>
          <c:dLbls>
            <c:dLblPos val="r"/>
            <c:showLegendKey val="0"/>
            <c:showVal val="0"/>
            <c:showCatName val="0"/>
            <c:showSerName val="0"/>
            <c:showPercent val="0"/>
            <c:showLeaderLines val="0"/>
          </c:dLbls>
          <c:xVal>
            <c:numRef>
              <c:f>Ном_Езаг!$C$12:$W$12</c:f>
              <c:numCache>
                <c:formatCode>General</c:formatCode>
                <c:ptCount val="21"/>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numCache>
            </c:numRef>
          </c:xVal>
          <c:yVal>
            <c:numRef>
              <c:f>Ном_Езаг!$C$30:$W$30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0"/>
        </c:ser>
        <c:axId val="95076657"/>
        <c:axId val="1107554"/>
      </c:scatterChart>
      <c:valAx>
        <c:axId val="95076657"/>
        <c:scaling>
          <c:orientation val="minMax"/>
          <c:max val="2"/>
        </c:scaling>
        <c:delete val="0"/>
        <c:axPos val="b"/>
        <c:majorGridlines>
          <c:spPr>
            <a:ln w="6480">
              <a:solidFill>
                <a:srgbClr val="8b8b8b"/>
              </a:solidFill>
              <a:round/>
            </a:ln>
          </c:spPr>
        </c:majorGridlines>
        <c:title>
          <c:tx>
            <c:rich>
              <a:bodyPr rot="0"/>
              <a:lstStyle/>
              <a:p>
                <a:pPr>
                  <a:defRPr b="1" sz="1400" spc="-1" strike="noStrike">
                    <a:solidFill>
                      <a:srgbClr val="000000"/>
                    </a:solidFill>
                    <a:uFill>
                      <a:solidFill>
                        <a:srgbClr val="ffffff"/>
                      </a:solidFill>
                    </a:uFill>
                    <a:latin typeface="Times New Roman"/>
                  </a:defRPr>
                </a:pPr>
                <a:r>
                  <a:rPr b="1" sz="1400" spc="-1" strike="noStrike">
                    <a:solidFill>
                      <a:srgbClr val="000000"/>
                    </a:solidFill>
                    <a:uFill>
                      <a:solidFill>
                        <a:srgbClr val="ffffff"/>
                      </a:solidFill>
                    </a:uFill>
                    <a:latin typeface="Times New Roman"/>
                  </a:rPr>
                  <a:t>h/D</a:t>
                </a:r>
              </a:p>
            </c:rich>
          </c:tx>
          <c:overlay val="0"/>
        </c:title>
        <c:numFmt formatCode="General" sourceLinked="0"/>
        <c:majorTickMark val="out"/>
        <c:minorTickMark val="none"/>
        <c:tickLblPos val="nextTo"/>
        <c:spPr>
          <a:ln w="6480">
            <a:solidFill>
              <a:srgbClr val="8b8b8b"/>
            </a:solidFill>
            <a:round/>
          </a:ln>
        </c:spPr>
        <c:txPr>
          <a:bodyPr/>
          <a:p>
            <a:pPr>
              <a:defRPr b="0" sz="1400" spc="-1" strike="noStrike">
                <a:solidFill>
                  <a:srgbClr val="000000"/>
                </a:solidFill>
                <a:uFill>
                  <a:solidFill>
                    <a:srgbClr val="ffffff"/>
                  </a:solidFill>
                </a:uFill>
                <a:latin typeface="Times New Roman"/>
              </a:defRPr>
            </a:pPr>
          </a:p>
        </c:txPr>
        <c:crossAx val="1107554"/>
        <c:crosses val="autoZero"/>
        <c:crossBetween val="midCat"/>
        <c:majorUnit val="0.1"/>
      </c:valAx>
      <c:valAx>
        <c:axId val="1107554"/>
        <c:scaling>
          <c:orientation val="minMax"/>
        </c:scaling>
        <c:delete val="0"/>
        <c:axPos val="l"/>
        <c:majorGridlines>
          <c:spPr>
            <a:ln w="6480">
              <a:solidFill>
                <a:srgbClr val="8b8b8b"/>
              </a:solidFill>
              <a:round/>
            </a:ln>
          </c:spPr>
        </c:majorGridlines>
        <c:title>
          <c:tx>
            <c:rich>
              <a:bodyPr rot="-5400000"/>
              <a:lstStyle/>
              <a:p>
                <a:pPr>
                  <a:defRPr b="1" sz="1400" spc="-1" strike="noStrike">
                    <a:solidFill>
                      <a:srgbClr val="000000"/>
                    </a:solidFill>
                    <a:uFill>
                      <a:solidFill>
                        <a:srgbClr val="ffffff"/>
                      </a:solidFill>
                    </a:uFill>
                    <a:latin typeface="Times New Roman"/>
                  </a:defRPr>
                </a:pPr>
                <a:r>
                  <a:rPr b="1" sz="1400" spc="-1" strike="noStrike">
                    <a:solidFill>
                      <a:srgbClr val="000000"/>
                    </a:solidFill>
                    <a:uFill>
                      <a:solidFill>
                        <a:srgbClr val="ffffff"/>
                      </a:solidFill>
                    </a:uFill>
                    <a:latin typeface="Times New Roman"/>
                  </a:rPr>
                  <a:t>Eзаг/Еі</a:t>
                </a:r>
              </a:p>
            </c:rich>
          </c:tx>
          <c:layout>
            <c:manualLayout>
              <c:xMode val="edge"/>
              <c:yMode val="edge"/>
              <c:x val="0.00917119565217391"/>
              <c:y val="0.42567475618054"/>
            </c:manualLayout>
          </c:layout>
          <c:overlay val="0"/>
        </c:title>
        <c:numFmt formatCode="0.0" sourceLinked="0"/>
        <c:majorTickMark val="out"/>
        <c:minorTickMark val="none"/>
        <c:tickLblPos val="nextTo"/>
        <c:spPr>
          <a:ln w="6480">
            <a:solidFill>
              <a:srgbClr val="8b8b8b"/>
            </a:solidFill>
            <a:round/>
          </a:ln>
        </c:spPr>
        <c:txPr>
          <a:bodyPr/>
          <a:p>
            <a:pPr>
              <a:defRPr b="0" sz="1400" spc="-1" strike="noStrike">
                <a:solidFill>
                  <a:srgbClr val="000000"/>
                </a:solidFill>
                <a:uFill>
                  <a:solidFill>
                    <a:srgbClr val="ffffff"/>
                  </a:solidFill>
                </a:uFill>
                <a:latin typeface="Times New Roman"/>
              </a:defRPr>
            </a:pPr>
          </a:p>
        </c:txPr>
        <c:crossAx val="9507665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10.xml.rels><?xml version="1.0" encoding="UTF-8"?>
<Relationships xmlns="http://schemas.openxmlformats.org/package/2006/relationships"><Relationship Id="rId1" Type="http://schemas.openxmlformats.org/officeDocument/2006/relationships/chart" Target="../charts/chart4.xml"/>
</Relationships>
</file>

<file path=xl/drawings/_rels/drawing11.xml.rels><?xml version="1.0" encoding="UTF-8"?>
<Relationships xmlns="http://schemas.openxmlformats.org/package/2006/relationships"><Relationship Id="rId1" Type="http://schemas.openxmlformats.org/officeDocument/2006/relationships/image" Target="../media/image28.wmf"/><Relationship Id="rId2" Type="http://schemas.openxmlformats.org/officeDocument/2006/relationships/image" Target="../media/image29.wmf"/><Relationship Id="rId3" Type="http://schemas.openxmlformats.org/officeDocument/2006/relationships/image" Target="../media/image30.wmf"/>
</Relationships>
</file>

<file path=xl/drawings/_rels/drawing12.xml.rels><?xml version="1.0" encoding="UTF-8"?>
<Relationships xmlns="http://schemas.openxmlformats.org/package/2006/relationships"><Relationship Id="rId1" Type="http://schemas.openxmlformats.org/officeDocument/2006/relationships/image" Target="../media/image31.wmf"/>
</Relationships>
</file>

<file path=xl/drawings/_rels/drawing2.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wmf"/>
</Relationships>
</file>

<file path=xl/drawings/_rels/drawing3.xml.rels><?xml version="1.0" encoding="UTF-8"?>
<Relationships xmlns="http://schemas.openxmlformats.org/package/2006/relationships"><Relationship Id="rId1" Type="http://schemas.openxmlformats.org/officeDocument/2006/relationships/image" Target="../media/image5.wmf"/>
</Relationships>
</file>

<file path=xl/drawings/_rels/drawing4.xml.rels><?xml version="1.0" encoding="UTF-8"?>
<Relationships xmlns="http://schemas.openxmlformats.org/package/2006/relationships"><Relationship Id="rId1" Type="http://schemas.openxmlformats.org/officeDocument/2006/relationships/image" Target="../media/image6.wmf"/>
</Relationships>
</file>

<file path=xl/drawings/_rels/drawing5.xml.rels><?xml version="1.0" encoding="UTF-8"?>
<Relationships xmlns="http://schemas.openxmlformats.org/package/2006/relationships"><Relationship Id="rId1" Type="http://schemas.openxmlformats.org/officeDocument/2006/relationships/image" Target="../media/image7.wmf"/>
</Relationships>
</file>

<file path=xl/drawings/_rels/drawing6.xml.rels><?xml version="1.0" encoding="UTF-8"?>
<Relationships xmlns="http://schemas.openxmlformats.org/package/2006/relationships"><Relationship Id="rId1" Type="http://schemas.openxmlformats.org/officeDocument/2006/relationships/image" Target="../media/image8.wmf"/><Relationship Id="rId2" Type="http://schemas.openxmlformats.org/officeDocument/2006/relationships/image" Target="../media/image9.wmf"/>
</Relationships>
</file>

<file path=xl/drawings/_rels/drawing7.xml.rels><?xml version="1.0" encoding="UTF-8"?>
<Relationships xmlns="http://schemas.openxmlformats.org/package/2006/relationships"><Relationship Id="rId1" Type="http://schemas.openxmlformats.org/officeDocument/2006/relationships/image" Target="../media/image10.wmf"/><Relationship Id="rId2" Type="http://schemas.openxmlformats.org/officeDocument/2006/relationships/image" Target="../media/image11.wmf"/>
</Relationships>
</file>

<file path=xl/drawings/_rels/drawing8.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2.wmf"/><Relationship Id="rId3" Type="http://schemas.openxmlformats.org/officeDocument/2006/relationships/image" Target="../media/image13.wmf"/><Relationship Id="rId4" Type="http://schemas.openxmlformats.org/officeDocument/2006/relationships/image" Target="../media/image14.wmf"/><Relationship Id="rId5" Type="http://schemas.openxmlformats.org/officeDocument/2006/relationships/image" Target="../media/image15.wmf"/><Relationship Id="rId6" Type="http://schemas.openxmlformats.org/officeDocument/2006/relationships/image" Target="../media/image16.wmf"/><Relationship Id="rId7" Type="http://schemas.openxmlformats.org/officeDocument/2006/relationships/image" Target="../media/image17.wmf"/><Relationship Id="rId8" Type="http://schemas.openxmlformats.org/officeDocument/2006/relationships/image" Target="../media/image18.wmf"/><Relationship Id="rId9" Type="http://schemas.openxmlformats.org/officeDocument/2006/relationships/image" Target="../media/image19.wmf"/><Relationship Id="rId10" Type="http://schemas.openxmlformats.org/officeDocument/2006/relationships/image" Target="../media/image20.wmf"/><Relationship Id="rId11" Type="http://schemas.openxmlformats.org/officeDocument/2006/relationships/image" Target="../media/image21.wmf"/><Relationship Id="rId12" Type="http://schemas.openxmlformats.org/officeDocument/2006/relationships/image" Target="../media/image22.wmf"/><Relationship Id="rId13" Type="http://schemas.openxmlformats.org/officeDocument/2006/relationships/image" Target="../media/image23.wmf"/><Relationship Id="rId14" Type="http://schemas.openxmlformats.org/officeDocument/2006/relationships/image" Target="../media/image24.wmf"/><Relationship Id="rId15" Type="http://schemas.openxmlformats.org/officeDocument/2006/relationships/image" Target="../media/image25.wmf"/><Relationship Id="rId16" Type="http://schemas.openxmlformats.org/officeDocument/2006/relationships/image" Target="../media/image26.wmf"/><Relationship Id="rId17" Type="http://schemas.openxmlformats.org/officeDocument/2006/relationships/image" Target="../media/image27.wmf"/>
</Relationships>
</file>

<file path=xl/drawings/_rels/drawing9.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104760</xdr:colOff>
      <xdr:row>2</xdr:row>
      <xdr:rowOff>123840</xdr:rowOff>
    </xdr:from>
    <xdr:to>
      <xdr:col>15</xdr:col>
      <xdr:colOff>582840</xdr:colOff>
      <xdr:row>13</xdr:row>
      <xdr:rowOff>92160</xdr:rowOff>
    </xdr:to>
    <xdr:pic>
      <xdr:nvPicPr>
        <xdr:cNvPr id="0" name="Рисунок 13" descr=""/>
        <xdr:cNvPicPr/>
      </xdr:nvPicPr>
      <xdr:blipFill>
        <a:blip r:embed="rId1"/>
        <a:srcRect l="0" t="1573" r="4293" b="9944"/>
        <a:stretch/>
      </xdr:blipFill>
      <xdr:spPr>
        <a:xfrm>
          <a:off x="7286400" y="561960"/>
          <a:ext cx="4307040" cy="3016080"/>
        </a:xfrm>
        <a:prstGeom prst="rect">
          <a:avLst/>
        </a:prstGeom>
        <a:ln>
          <a:noFill/>
        </a:ln>
      </xdr:spPr>
    </xdr:pic>
    <xdr:clientData/>
  </xdr:twoCellAnchor>
  <xdr:twoCellAnchor editAs="oneCell">
    <xdr:from>
      <xdr:col>9</xdr:col>
      <xdr:colOff>93240</xdr:colOff>
      <xdr:row>15</xdr:row>
      <xdr:rowOff>257760</xdr:rowOff>
    </xdr:from>
    <xdr:to>
      <xdr:col>18</xdr:col>
      <xdr:colOff>396720</xdr:colOff>
      <xdr:row>23</xdr:row>
      <xdr:rowOff>8640</xdr:rowOff>
    </xdr:to>
    <xdr:pic>
      <xdr:nvPicPr>
        <xdr:cNvPr id="1" name="Рисунок 2" descr=""/>
        <xdr:cNvPicPr/>
      </xdr:nvPicPr>
      <xdr:blipFill>
        <a:blip r:embed="rId2"/>
        <a:srcRect l="0" t="0" r="0" b="12547"/>
        <a:stretch/>
      </xdr:blipFill>
      <xdr:spPr>
        <a:xfrm>
          <a:off x="7274880" y="4467600"/>
          <a:ext cx="6046920" cy="450396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533520</xdr:colOff>
      <xdr:row>33</xdr:row>
      <xdr:rowOff>147600</xdr:rowOff>
    </xdr:from>
    <xdr:to>
      <xdr:col>18</xdr:col>
      <xdr:colOff>282600</xdr:colOff>
      <xdr:row>75</xdr:row>
      <xdr:rowOff>82440</xdr:rowOff>
    </xdr:to>
    <xdr:graphicFrame>
      <xdr:nvGraphicFramePr>
        <xdr:cNvPr id="30" name="Диаграмма 1"/>
        <xdr:cNvGraphicFramePr/>
      </xdr:nvGraphicFramePr>
      <xdr:xfrm>
        <a:off x="1171440" y="6643440"/>
        <a:ext cx="10598040" cy="793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361800</xdr:colOff>
      <xdr:row>14</xdr:row>
      <xdr:rowOff>276120</xdr:rowOff>
    </xdr:from>
    <xdr:to>
      <xdr:col>2</xdr:col>
      <xdr:colOff>25560</xdr:colOff>
      <xdr:row>17</xdr:row>
      <xdr:rowOff>140040</xdr:rowOff>
    </xdr:to>
    <xdr:pic>
      <xdr:nvPicPr>
        <xdr:cNvPr id="31" name="Picture 1" descr=""/>
        <xdr:cNvPicPr/>
      </xdr:nvPicPr>
      <xdr:blipFill>
        <a:blip r:embed="rId1"/>
        <a:stretch/>
      </xdr:blipFill>
      <xdr:spPr>
        <a:xfrm>
          <a:off x="361800" y="4762080"/>
          <a:ext cx="4187880" cy="721440"/>
        </a:xfrm>
        <a:prstGeom prst="rect">
          <a:avLst/>
        </a:prstGeom>
        <a:ln>
          <a:noFill/>
        </a:ln>
      </xdr:spPr>
    </xdr:pic>
    <xdr:clientData/>
  </xdr:twoCellAnchor>
  <xdr:twoCellAnchor editAs="absolute">
    <xdr:from>
      <xdr:col>7</xdr:col>
      <xdr:colOff>533160</xdr:colOff>
      <xdr:row>19</xdr:row>
      <xdr:rowOff>228600</xdr:rowOff>
    </xdr:from>
    <xdr:to>
      <xdr:col>9</xdr:col>
      <xdr:colOff>425520</xdr:colOff>
      <xdr:row>21</xdr:row>
      <xdr:rowOff>178200</xdr:rowOff>
    </xdr:to>
    <xdr:pic>
      <xdr:nvPicPr>
        <xdr:cNvPr id="32" name="Picture 2" descr=""/>
        <xdr:cNvPicPr/>
      </xdr:nvPicPr>
      <xdr:blipFill>
        <a:blip r:embed="rId2"/>
        <a:stretch/>
      </xdr:blipFill>
      <xdr:spPr>
        <a:xfrm>
          <a:off x="8248320" y="6000480"/>
          <a:ext cx="1168560" cy="425880"/>
        </a:xfrm>
        <a:prstGeom prst="rect">
          <a:avLst/>
        </a:prstGeom>
        <a:ln>
          <a:noFill/>
        </a:ln>
      </xdr:spPr>
    </xdr:pic>
    <xdr:clientData/>
  </xdr:twoCellAnchor>
  <xdr:twoCellAnchor editAs="absolute">
    <xdr:from>
      <xdr:col>1</xdr:col>
      <xdr:colOff>2238120</xdr:colOff>
      <xdr:row>22</xdr:row>
      <xdr:rowOff>66600</xdr:rowOff>
    </xdr:from>
    <xdr:to>
      <xdr:col>2</xdr:col>
      <xdr:colOff>2160</xdr:colOff>
      <xdr:row>25</xdr:row>
      <xdr:rowOff>63720</xdr:rowOff>
    </xdr:to>
    <xdr:pic>
      <xdr:nvPicPr>
        <xdr:cNvPr id="33" name="Picture 3" descr=""/>
        <xdr:cNvPicPr/>
      </xdr:nvPicPr>
      <xdr:blipFill>
        <a:blip r:embed="rId3"/>
        <a:stretch/>
      </xdr:blipFill>
      <xdr:spPr>
        <a:xfrm>
          <a:off x="2876040" y="6553080"/>
          <a:ext cx="1650240" cy="615960"/>
        </a:xfrm>
        <a:prstGeom prst="rect">
          <a:avLst/>
        </a:prstGeom>
        <a:ln>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17</xdr:row>
      <xdr:rowOff>0</xdr:rowOff>
    </xdr:from>
    <xdr:to>
      <xdr:col>1</xdr:col>
      <xdr:colOff>1396800</xdr:colOff>
      <xdr:row>18</xdr:row>
      <xdr:rowOff>82440</xdr:rowOff>
    </xdr:to>
    <xdr:pic>
      <xdr:nvPicPr>
        <xdr:cNvPr id="34" name="Picture 1" descr=""/>
        <xdr:cNvPicPr/>
      </xdr:nvPicPr>
      <xdr:blipFill>
        <a:blip r:embed="rId1"/>
        <a:stretch/>
      </xdr:blipFill>
      <xdr:spPr>
        <a:xfrm>
          <a:off x="533160" y="3466800"/>
          <a:ext cx="1396800" cy="273240"/>
        </a:xfrm>
        <a:prstGeom prst="rect">
          <a:avLst/>
        </a:prstGeom>
        <a:ln w="9360">
          <a:solidFill>
            <a:srgbClr val="000000"/>
          </a:solidFill>
          <a:miter/>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18</xdr:col>
      <xdr:colOff>0</xdr:colOff>
      <xdr:row>7</xdr:row>
      <xdr:rowOff>0</xdr:rowOff>
    </xdr:from>
    <xdr:to>
      <xdr:col>27</xdr:col>
      <xdr:colOff>235080</xdr:colOff>
      <xdr:row>7</xdr:row>
      <xdr:rowOff>816120</xdr:rowOff>
    </xdr:to>
    <xdr:pic>
      <xdr:nvPicPr>
        <xdr:cNvPr id="2" name="Picture 2" descr=""/>
        <xdr:cNvPicPr/>
      </xdr:nvPicPr>
      <xdr:blipFill>
        <a:blip r:embed="rId1"/>
        <a:stretch/>
      </xdr:blipFill>
      <xdr:spPr>
        <a:xfrm>
          <a:off x="17192520" y="2809800"/>
          <a:ext cx="5035680" cy="816120"/>
        </a:xfrm>
        <a:prstGeom prst="rect">
          <a:avLst/>
        </a:prstGeom>
        <a:ln w="9360">
          <a:solidFill>
            <a:srgbClr val="000000"/>
          </a:solidFill>
          <a:miter/>
        </a:ln>
      </xdr:spPr>
    </xdr:pic>
    <xdr:clientData/>
  </xdr:twoCellAnchor>
  <xdr:twoCellAnchor editAs="absolute">
    <xdr:from>
      <xdr:col>18</xdr:col>
      <xdr:colOff>0</xdr:colOff>
      <xdr:row>4</xdr:row>
      <xdr:rowOff>0</xdr:rowOff>
    </xdr:from>
    <xdr:to>
      <xdr:col>22</xdr:col>
      <xdr:colOff>3960</xdr:colOff>
      <xdr:row>5</xdr:row>
      <xdr:rowOff>25560</xdr:rowOff>
    </xdr:to>
    <xdr:pic>
      <xdr:nvPicPr>
        <xdr:cNvPr id="3" name="Picture 4" descr=""/>
        <xdr:cNvPicPr/>
      </xdr:nvPicPr>
      <xdr:blipFill>
        <a:blip r:embed="rId2"/>
        <a:stretch/>
      </xdr:blipFill>
      <xdr:spPr>
        <a:xfrm>
          <a:off x="17192520" y="1657080"/>
          <a:ext cx="2137320" cy="5018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14</xdr:col>
      <xdr:colOff>394560</xdr:colOff>
      <xdr:row>2</xdr:row>
      <xdr:rowOff>462600</xdr:rowOff>
    </xdr:from>
    <xdr:to>
      <xdr:col>17</xdr:col>
      <xdr:colOff>438120</xdr:colOff>
      <xdr:row>3</xdr:row>
      <xdr:rowOff>433800</xdr:rowOff>
    </xdr:to>
    <xdr:pic>
      <xdr:nvPicPr>
        <xdr:cNvPr id="4" name="Picture 4" descr=""/>
        <xdr:cNvPicPr/>
      </xdr:nvPicPr>
      <xdr:blipFill>
        <a:blip r:embed="rId1"/>
        <a:stretch/>
      </xdr:blipFill>
      <xdr:spPr>
        <a:xfrm>
          <a:off x="14291280" y="948240"/>
          <a:ext cx="2253600" cy="4950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16</xdr:col>
      <xdr:colOff>0</xdr:colOff>
      <xdr:row>5</xdr:row>
      <xdr:rowOff>0</xdr:rowOff>
    </xdr:from>
    <xdr:to>
      <xdr:col>20</xdr:col>
      <xdr:colOff>1080</xdr:colOff>
      <xdr:row>6</xdr:row>
      <xdr:rowOff>57240</xdr:rowOff>
    </xdr:to>
    <xdr:pic>
      <xdr:nvPicPr>
        <xdr:cNvPr id="5" name="Picture 4" descr=""/>
        <xdr:cNvPicPr/>
      </xdr:nvPicPr>
      <xdr:blipFill>
        <a:blip r:embed="rId1"/>
        <a:stretch/>
      </xdr:blipFill>
      <xdr:spPr>
        <a:xfrm>
          <a:off x="16163640" y="1542960"/>
          <a:ext cx="2134800" cy="4953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143640</xdr:colOff>
      <xdr:row>8</xdr:row>
      <xdr:rowOff>25200</xdr:rowOff>
    </xdr:from>
    <xdr:to>
      <xdr:col>20</xdr:col>
      <xdr:colOff>482760</xdr:colOff>
      <xdr:row>10</xdr:row>
      <xdr:rowOff>92880</xdr:rowOff>
    </xdr:to>
    <xdr:pic>
      <xdr:nvPicPr>
        <xdr:cNvPr id="6" name="Picture 11" descr=""/>
        <xdr:cNvPicPr/>
      </xdr:nvPicPr>
      <xdr:blipFill>
        <a:blip r:embed="rId1"/>
        <a:stretch/>
      </xdr:blipFill>
      <xdr:spPr>
        <a:xfrm>
          <a:off x="16612200" y="2225160"/>
          <a:ext cx="3006000" cy="5439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438120</xdr:colOff>
      <xdr:row>92</xdr:row>
      <xdr:rowOff>419040</xdr:rowOff>
    </xdr:from>
    <xdr:to>
      <xdr:col>15</xdr:col>
      <xdr:colOff>111600</xdr:colOff>
      <xdr:row>94</xdr:row>
      <xdr:rowOff>130320</xdr:rowOff>
    </xdr:to>
    <xdr:pic>
      <xdr:nvPicPr>
        <xdr:cNvPr id="7" name="Picture 1" descr=""/>
        <xdr:cNvPicPr/>
      </xdr:nvPicPr>
      <xdr:blipFill>
        <a:blip r:embed="rId1"/>
        <a:stretch/>
      </xdr:blipFill>
      <xdr:spPr>
        <a:xfrm>
          <a:off x="10915560" y="22831200"/>
          <a:ext cx="1035360" cy="520920"/>
        </a:xfrm>
        <a:prstGeom prst="rect">
          <a:avLst/>
        </a:prstGeom>
        <a:ln>
          <a:noFill/>
        </a:ln>
      </xdr:spPr>
    </xdr:pic>
    <xdr:clientData/>
  </xdr:twoCellAnchor>
  <xdr:twoCellAnchor editAs="absolute">
    <xdr:from>
      <xdr:col>17</xdr:col>
      <xdr:colOff>361800</xdr:colOff>
      <xdr:row>3</xdr:row>
      <xdr:rowOff>28440</xdr:rowOff>
    </xdr:from>
    <xdr:to>
      <xdr:col>23</xdr:col>
      <xdr:colOff>140040</xdr:colOff>
      <xdr:row>3</xdr:row>
      <xdr:rowOff>596880</xdr:rowOff>
    </xdr:to>
    <xdr:pic>
      <xdr:nvPicPr>
        <xdr:cNvPr id="8" name="Picture 2" descr=""/>
        <xdr:cNvPicPr/>
      </xdr:nvPicPr>
      <xdr:blipFill>
        <a:blip r:embed="rId2"/>
        <a:stretch/>
      </xdr:blipFill>
      <xdr:spPr>
        <a:xfrm>
          <a:off x="13801320" y="599760"/>
          <a:ext cx="3607200" cy="5684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18</xdr:row>
      <xdr:rowOff>0</xdr:rowOff>
    </xdr:from>
    <xdr:to>
      <xdr:col>1</xdr:col>
      <xdr:colOff>1396800</xdr:colOff>
      <xdr:row>19</xdr:row>
      <xdr:rowOff>82440</xdr:rowOff>
    </xdr:to>
    <xdr:pic>
      <xdr:nvPicPr>
        <xdr:cNvPr id="9" name="Picture 1" descr=""/>
        <xdr:cNvPicPr/>
      </xdr:nvPicPr>
      <xdr:blipFill>
        <a:blip r:embed="rId1"/>
        <a:stretch/>
      </xdr:blipFill>
      <xdr:spPr>
        <a:xfrm>
          <a:off x="457200" y="5619600"/>
          <a:ext cx="1396800" cy="272880"/>
        </a:xfrm>
        <a:prstGeom prst="rect">
          <a:avLst/>
        </a:prstGeom>
        <a:ln w="9360">
          <a:solidFill>
            <a:srgbClr val="000000"/>
          </a:solidFill>
          <a:miter/>
        </a:ln>
      </xdr:spPr>
    </xdr:pic>
    <xdr:clientData/>
  </xdr:twoCellAnchor>
  <xdr:twoCellAnchor editAs="oneCell">
    <xdr:from>
      <xdr:col>1</xdr:col>
      <xdr:colOff>0</xdr:colOff>
      <xdr:row>23</xdr:row>
      <xdr:rowOff>0</xdr:rowOff>
    </xdr:from>
    <xdr:to>
      <xdr:col>4</xdr:col>
      <xdr:colOff>425520</xdr:colOff>
      <xdr:row>27</xdr:row>
      <xdr:rowOff>54000</xdr:rowOff>
    </xdr:to>
    <xdr:pic>
      <xdr:nvPicPr>
        <xdr:cNvPr id="10" name="Picture 2" descr=""/>
        <xdr:cNvPicPr/>
      </xdr:nvPicPr>
      <xdr:blipFill>
        <a:blip r:embed="rId2"/>
        <a:stretch/>
      </xdr:blipFill>
      <xdr:spPr>
        <a:xfrm>
          <a:off x="457200" y="6876720"/>
          <a:ext cx="5654520" cy="816120"/>
        </a:xfrm>
        <a:prstGeom prst="rect">
          <a:avLst/>
        </a:prstGeom>
        <a:ln w="9360">
          <a:solidFill>
            <a:srgbClr val="000000"/>
          </a:solidFill>
          <a:miter/>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38160</xdr:colOff>
      <xdr:row>111</xdr:row>
      <xdr:rowOff>85680</xdr:rowOff>
    </xdr:from>
    <xdr:to>
      <xdr:col>13</xdr:col>
      <xdr:colOff>254160</xdr:colOff>
      <xdr:row>124</xdr:row>
      <xdr:rowOff>101520</xdr:rowOff>
    </xdr:to>
    <xdr:graphicFrame>
      <xdr:nvGraphicFramePr>
        <xdr:cNvPr id="11" name="Chart 1"/>
        <xdr:cNvGraphicFramePr/>
      </xdr:nvGraphicFramePr>
      <xdr:xfrm>
        <a:off x="142920" y="28003320"/>
        <a:ext cx="7997760" cy="2616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343080</xdr:colOff>
      <xdr:row>102</xdr:row>
      <xdr:rowOff>19080</xdr:rowOff>
    </xdr:from>
    <xdr:to>
      <xdr:col>10</xdr:col>
      <xdr:colOff>606600</xdr:colOff>
      <xdr:row>103</xdr:row>
      <xdr:rowOff>247320</xdr:rowOff>
    </xdr:to>
    <xdr:pic>
      <xdr:nvPicPr>
        <xdr:cNvPr id="12" name="Picture 40" descr=""/>
        <xdr:cNvPicPr/>
      </xdr:nvPicPr>
      <xdr:blipFill>
        <a:blip r:embed="rId2"/>
        <a:stretch/>
      </xdr:blipFill>
      <xdr:spPr>
        <a:xfrm>
          <a:off x="1619280" y="25745760"/>
          <a:ext cx="4587840" cy="475920"/>
        </a:xfrm>
        <a:prstGeom prst="rect">
          <a:avLst/>
        </a:prstGeom>
        <a:ln w="9360">
          <a:solidFill>
            <a:srgbClr val="000000"/>
          </a:solidFill>
          <a:miter/>
        </a:ln>
      </xdr:spPr>
    </xdr:pic>
    <xdr:clientData/>
  </xdr:twoCellAnchor>
  <xdr:twoCellAnchor editAs="oneCell">
    <xdr:from>
      <xdr:col>7</xdr:col>
      <xdr:colOff>266760</xdr:colOff>
      <xdr:row>100</xdr:row>
      <xdr:rowOff>9360</xdr:rowOff>
    </xdr:from>
    <xdr:to>
      <xdr:col>9</xdr:col>
      <xdr:colOff>330120</xdr:colOff>
      <xdr:row>100</xdr:row>
      <xdr:rowOff>217080</xdr:rowOff>
    </xdr:to>
    <xdr:pic>
      <xdr:nvPicPr>
        <xdr:cNvPr id="13" name="Picture 41" descr=""/>
        <xdr:cNvPicPr/>
      </xdr:nvPicPr>
      <xdr:blipFill>
        <a:blip r:embed="rId3"/>
        <a:stretch/>
      </xdr:blipFill>
      <xdr:spPr>
        <a:xfrm>
          <a:off x="3781440" y="25269480"/>
          <a:ext cx="1454040" cy="207720"/>
        </a:xfrm>
        <a:prstGeom prst="rect">
          <a:avLst/>
        </a:prstGeom>
        <a:ln w="9360">
          <a:solidFill>
            <a:srgbClr val="000000"/>
          </a:solidFill>
          <a:miter/>
        </a:ln>
      </xdr:spPr>
    </xdr:pic>
    <xdr:clientData/>
  </xdr:twoCellAnchor>
  <xdr:twoCellAnchor editAs="absolute">
    <xdr:from>
      <xdr:col>7</xdr:col>
      <xdr:colOff>162000</xdr:colOff>
      <xdr:row>84</xdr:row>
      <xdr:rowOff>47520</xdr:rowOff>
    </xdr:from>
    <xdr:to>
      <xdr:col>9</xdr:col>
      <xdr:colOff>6840</xdr:colOff>
      <xdr:row>85</xdr:row>
      <xdr:rowOff>140040</xdr:rowOff>
    </xdr:to>
    <xdr:pic>
      <xdr:nvPicPr>
        <xdr:cNvPr id="14" name="Picture 1" descr=""/>
        <xdr:cNvPicPr/>
      </xdr:nvPicPr>
      <xdr:blipFill>
        <a:blip r:embed="rId4"/>
        <a:stretch/>
      </xdr:blipFill>
      <xdr:spPr>
        <a:xfrm>
          <a:off x="3676680" y="19506960"/>
          <a:ext cx="1235520" cy="292680"/>
        </a:xfrm>
        <a:prstGeom prst="rect">
          <a:avLst/>
        </a:prstGeom>
        <a:ln>
          <a:noFill/>
        </a:ln>
      </xdr:spPr>
    </xdr:pic>
    <xdr:clientData/>
  </xdr:twoCellAnchor>
  <xdr:twoCellAnchor editAs="absolute">
    <xdr:from>
      <xdr:col>1</xdr:col>
      <xdr:colOff>104760</xdr:colOff>
      <xdr:row>84</xdr:row>
      <xdr:rowOff>28440</xdr:rowOff>
    </xdr:from>
    <xdr:to>
      <xdr:col>3</xdr:col>
      <xdr:colOff>6480</xdr:colOff>
      <xdr:row>85</xdr:row>
      <xdr:rowOff>168480</xdr:rowOff>
    </xdr:to>
    <xdr:pic>
      <xdr:nvPicPr>
        <xdr:cNvPr id="15" name="Picture 2" descr=""/>
        <xdr:cNvPicPr/>
      </xdr:nvPicPr>
      <xdr:blipFill>
        <a:blip r:embed="rId5"/>
        <a:stretch/>
      </xdr:blipFill>
      <xdr:spPr>
        <a:xfrm>
          <a:off x="209520" y="19487880"/>
          <a:ext cx="1073160" cy="340200"/>
        </a:xfrm>
        <a:prstGeom prst="rect">
          <a:avLst/>
        </a:prstGeom>
        <a:ln>
          <a:noFill/>
        </a:ln>
      </xdr:spPr>
    </xdr:pic>
    <xdr:clientData/>
  </xdr:twoCellAnchor>
  <xdr:twoCellAnchor editAs="absolute">
    <xdr:from>
      <xdr:col>7</xdr:col>
      <xdr:colOff>419040</xdr:colOff>
      <xdr:row>86</xdr:row>
      <xdr:rowOff>9360</xdr:rowOff>
    </xdr:from>
    <xdr:to>
      <xdr:col>10</xdr:col>
      <xdr:colOff>273240</xdr:colOff>
      <xdr:row>88</xdr:row>
      <xdr:rowOff>6480</xdr:rowOff>
    </xdr:to>
    <xdr:pic>
      <xdr:nvPicPr>
        <xdr:cNvPr id="16" name="Picture 3" descr=""/>
        <xdr:cNvPicPr/>
      </xdr:nvPicPr>
      <xdr:blipFill>
        <a:blip r:embed="rId6"/>
        <a:stretch/>
      </xdr:blipFill>
      <xdr:spPr>
        <a:xfrm>
          <a:off x="3933720" y="19868760"/>
          <a:ext cx="1940040" cy="473400"/>
        </a:xfrm>
        <a:prstGeom prst="rect">
          <a:avLst/>
        </a:prstGeom>
        <a:ln>
          <a:noFill/>
        </a:ln>
      </xdr:spPr>
    </xdr:pic>
    <xdr:clientData/>
  </xdr:twoCellAnchor>
  <xdr:twoCellAnchor editAs="absolute">
    <xdr:from>
      <xdr:col>7</xdr:col>
      <xdr:colOff>57240</xdr:colOff>
      <xdr:row>88</xdr:row>
      <xdr:rowOff>209520</xdr:rowOff>
    </xdr:from>
    <xdr:to>
      <xdr:col>10</xdr:col>
      <xdr:colOff>387720</xdr:colOff>
      <xdr:row>90</xdr:row>
      <xdr:rowOff>44640</xdr:rowOff>
    </xdr:to>
    <xdr:pic>
      <xdr:nvPicPr>
        <xdr:cNvPr id="17" name="Picture 4" descr=""/>
        <xdr:cNvPicPr/>
      </xdr:nvPicPr>
      <xdr:blipFill>
        <a:blip r:embed="rId7"/>
        <a:stretch/>
      </xdr:blipFill>
      <xdr:spPr>
        <a:xfrm>
          <a:off x="3571920" y="20545200"/>
          <a:ext cx="2416320" cy="492480"/>
        </a:xfrm>
        <a:prstGeom prst="rect">
          <a:avLst/>
        </a:prstGeom>
        <a:ln>
          <a:noFill/>
        </a:ln>
      </xdr:spPr>
    </xdr:pic>
    <xdr:clientData/>
  </xdr:twoCellAnchor>
  <xdr:twoCellAnchor editAs="absolute">
    <xdr:from>
      <xdr:col>10</xdr:col>
      <xdr:colOff>38160</xdr:colOff>
      <xdr:row>27</xdr:row>
      <xdr:rowOff>85680</xdr:rowOff>
    </xdr:from>
    <xdr:to>
      <xdr:col>11</xdr:col>
      <xdr:colOff>587520</xdr:colOff>
      <xdr:row>27</xdr:row>
      <xdr:rowOff>244800</xdr:rowOff>
    </xdr:to>
    <xdr:pic>
      <xdr:nvPicPr>
        <xdr:cNvPr id="18" name="Picture 5" descr=""/>
        <xdr:cNvPicPr/>
      </xdr:nvPicPr>
      <xdr:blipFill>
        <a:blip r:embed="rId8"/>
        <a:stretch/>
      </xdr:blipFill>
      <xdr:spPr>
        <a:xfrm>
          <a:off x="5638680" y="6152760"/>
          <a:ext cx="1197000" cy="159120"/>
        </a:xfrm>
        <a:prstGeom prst="rect">
          <a:avLst/>
        </a:prstGeom>
        <a:ln>
          <a:noFill/>
        </a:ln>
      </xdr:spPr>
    </xdr:pic>
    <xdr:clientData/>
  </xdr:twoCellAnchor>
  <xdr:twoCellAnchor editAs="absolute">
    <xdr:from>
      <xdr:col>22</xdr:col>
      <xdr:colOff>19080</xdr:colOff>
      <xdr:row>59</xdr:row>
      <xdr:rowOff>104760</xdr:rowOff>
    </xdr:from>
    <xdr:to>
      <xdr:col>25</xdr:col>
      <xdr:colOff>587520</xdr:colOff>
      <xdr:row>62</xdr:row>
      <xdr:rowOff>159120</xdr:rowOff>
    </xdr:to>
    <xdr:pic>
      <xdr:nvPicPr>
        <xdr:cNvPr id="19" name="Picture 6" descr=""/>
        <xdr:cNvPicPr/>
      </xdr:nvPicPr>
      <xdr:blipFill>
        <a:blip r:embed="rId9"/>
        <a:stretch/>
      </xdr:blipFill>
      <xdr:spPr>
        <a:xfrm>
          <a:off x="14658840" y="14325480"/>
          <a:ext cx="2463840" cy="959040"/>
        </a:xfrm>
        <a:prstGeom prst="rect">
          <a:avLst/>
        </a:prstGeom>
        <a:ln>
          <a:noFill/>
        </a:ln>
      </xdr:spPr>
    </xdr:pic>
    <xdr:clientData/>
  </xdr:twoCellAnchor>
  <xdr:twoCellAnchor editAs="absolute">
    <xdr:from>
      <xdr:col>19</xdr:col>
      <xdr:colOff>114120</xdr:colOff>
      <xdr:row>64</xdr:row>
      <xdr:rowOff>342720</xdr:rowOff>
    </xdr:from>
    <xdr:to>
      <xdr:col>21</xdr:col>
      <xdr:colOff>511200</xdr:colOff>
      <xdr:row>69</xdr:row>
      <xdr:rowOff>25560</xdr:rowOff>
    </xdr:to>
    <xdr:pic>
      <xdr:nvPicPr>
        <xdr:cNvPr id="20" name="Picture 7" descr=""/>
        <xdr:cNvPicPr/>
      </xdr:nvPicPr>
      <xdr:blipFill>
        <a:blip r:embed="rId10"/>
        <a:stretch/>
      </xdr:blipFill>
      <xdr:spPr>
        <a:xfrm>
          <a:off x="12715560" y="15887520"/>
          <a:ext cx="1501920" cy="463680"/>
        </a:xfrm>
        <a:prstGeom prst="rect">
          <a:avLst/>
        </a:prstGeom>
        <a:ln>
          <a:noFill/>
        </a:ln>
      </xdr:spPr>
    </xdr:pic>
    <xdr:clientData/>
  </xdr:twoCellAnchor>
  <xdr:twoCellAnchor editAs="absolute">
    <xdr:from>
      <xdr:col>17</xdr:col>
      <xdr:colOff>257040</xdr:colOff>
      <xdr:row>64</xdr:row>
      <xdr:rowOff>523800</xdr:rowOff>
    </xdr:from>
    <xdr:to>
      <xdr:col>18</xdr:col>
      <xdr:colOff>644760</xdr:colOff>
      <xdr:row>69</xdr:row>
      <xdr:rowOff>44640</xdr:rowOff>
    </xdr:to>
    <xdr:pic>
      <xdr:nvPicPr>
        <xdr:cNvPr id="21" name="Picture 8" descr=""/>
        <xdr:cNvPicPr/>
      </xdr:nvPicPr>
      <xdr:blipFill>
        <a:blip r:embed="rId11"/>
        <a:stretch/>
      </xdr:blipFill>
      <xdr:spPr>
        <a:xfrm>
          <a:off x="11191680" y="16068600"/>
          <a:ext cx="1121040" cy="301680"/>
        </a:xfrm>
        <a:prstGeom prst="rect">
          <a:avLst/>
        </a:prstGeom>
        <a:ln>
          <a:noFill/>
        </a:ln>
      </xdr:spPr>
    </xdr:pic>
    <xdr:clientData/>
  </xdr:twoCellAnchor>
  <xdr:twoCellAnchor editAs="absolute">
    <xdr:from>
      <xdr:col>11</xdr:col>
      <xdr:colOff>190440</xdr:colOff>
      <xdr:row>57</xdr:row>
      <xdr:rowOff>38160</xdr:rowOff>
    </xdr:from>
    <xdr:to>
      <xdr:col>12</xdr:col>
      <xdr:colOff>358920</xdr:colOff>
      <xdr:row>57</xdr:row>
      <xdr:rowOff>292320</xdr:rowOff>
    </xdr:to>
    <xdr:pic>
      <xdr:nvPicPr>
        <xdr:cNvPr id="22" name="Picture 9" descr=""/>
        <xdr:cNvPicPr/>
      </xdr:nvPicPr>
      <xdr:blipFill>
        <a:blip r:embed="rId12"/>
        <a:stretch/>
      </xdr:blipFill>
      <xdr:spPr>
        <a:xfrm>
          <a:off x="6438600" y="13696920"/>
          <a:ext cx="1073520" cy="254160"/>
        </a:xfrm>
        <a:prstGeom prst="rect">
          <a:avLst/>
        </a:prstGeom>
        <a:ln>
          <a:noFill/>
        </a:ln>
      </xdr:spPr>
    </xdr:pic>
    <xdr:clientData/>
  </xdr:twoCellAnchor>
  <xdr:twoCellAnchor editAs="absolute">
    <xdr:from>
      <xdr:col>9</xdr:col>
      <xdr:colOff>647640</xdr:colOff>
      <xdr:row>60</xdr:row>
      <xdr:rowOff>9360</xdr:rowOff>
    </xdr:from>
    <xdr:to>
      <xdr:col>12</xdr:col>
      <xdr:colOff>311400</xdr:colOff>
      <xdr:row>60</xdr:row>
      <xdr:rowOff>273240</xdr:rowOff>
    </xdr:to>
    <xdr:pic>
      <xdr:nvPicPr>
        <xdr:cNvPr id="23" name="Picture 10" descr=""/>
        <xdr:cNvPicPr/>
      </xdr:nvPicPr>
      <xdr:blipFill>
        <a:blip r:embed="rId13"/>
        <a:stretch/>
      </xdr:blipFill>
      <xdr:spPr>
        <a:xfrm>
          <a:off x="5553000" y="14563440"/>
          <a:ext cx="1911600" cy="263880"/>
        </a:xfrm>
        <a:prstGeom prst="rect">
          <a:avLst/>
        </a:prstGeom>
        <a:ln>
          <a:noFill/>
        </a:ln>
      </xdr:spPr>
    </xdr:pic>
    <xdr:clientData/>
  </xdr:twoCellAnchor>
  <xdr:twoCellAnchor editAs="absolute">
    <xdr:from>
      <xdr:col>4</xdr:col>
      <xdr:colOff>59760</xdr:colOff>
      <xdr:row>97</xdr:row>
      <xdr:rowOff>85680</xdr:rowOff>
    </xdr:from>
    <xdr:to>
      <xdr:col>9</xdr:col>
      <xdr:colOff>187560</xdr:colOff>
      <xdr:row>97</xdr:row>
      <xdr:rowOff>615960</xdr:rowOff>
    </xdr:to>
    <xdr:pic>
      <xdr:nvPicPr>
        <xdr:cNvPr id="24" name="Picture 11" descr=""/>
        <xdr:cNvPicPr/>
      </xdr:nvPicPr>
      <xdr:blipFill>
        <a:blip r:embed="rId14"/>
        <a:stretch/>
      </xdr:blipFill>
      <xdr:spPr>
        <a:xfrm>
          <a:off x="1850400" y="23469480"/>
          <a:ext cx="3242520" cy="530280"/>
        </a:xfrm>
        <a:prstGeom prst="rect">
          <a:avLst/>
        </a:prstGeom>
        <a:ln>
          <a:noFill/>
        </a:ln>
      </xdr:spPr>
    </xdr:pic>
    <xdr:clientData/>
  </xdr:twoCellAnchor>
  <xdr:twoCellAnchor editAs="absolute">
    <xdr:from>
      <xdr:col>6</xdr:col>
      <xdr:colOff>552240</xdr:colOff>
      <xdr:row>106</xdr:row>
      <xdr:rowOff>38160</xdr:rowOff>
    </xdr:from>
    <xdr:to>
      <xdr:col>8</xdr:col>
      <xdr:colOff>320760</xdr:colOff>
      <xdr:row>107</xdr:row>
      <xdr:rowOff>235800</xdr:rowOff>
    </xdr:to>
    <xdr:pic>
      <xdr:nvPicPr>
        <xdr:cNvPr id="25" name="Picture 12" descr=""/>
        <xdr:cNvPicPr/>
      </xdr:nvPicPr>
      <xdr:blipFill>
        <a:blip r:embed="rId15"/>
        <a:stretch/>
      </xdr:blipFill>
      <xdr:spPr>
        <a:xfrm>
          <a:off x="3371400" y="26736480"/>
          <a:ext cx="1159200" cy="426240"/>
        </a:xfrm>
        <a:prstGeom prst="rect">
          <a:avLst/>
        </a:prstGeom>
        <a:ln>
          <a:noFill/>
        </a:ln>
      </xdr:spPr>
    </xdr:pic>
    <xdr:clientData/>
  </xdr:twoCellAnchor>
  <xdr:twoCellAnchor editAs="absolute">
    <xdr:from>
      <xdr:col>8</xdr:col>
      <xdr:colOff>447480</xdr:colOff>
      <xdr:row>107</xdr:row>
      <xdr:rowOff>85680</xdr:rowOff>
    </xdr:from>
    <xdr:to>
      <xdr:col>10</xdr:col>
      <xdr:colOff>596880</xdr:colOff>
      <xdr:row>108</xdr:row>
      <xdr:rowOff>349200</xdr:rowOff>
    </xdr:to>
    <xdr:pic>
      <xdr:nvPicPr>
        <xdr:cNvPr id="26" name="Picture 13" descr=""/>
        <xdr:cNvPicPr/>
      </xdr:nvPicPr>
      <xdr:blipFill>
        <a:blip r:embed="rId16"/>
        <a:stretch/>
      </xdr:blipFill>
      <xdr:spPr>
        <a:xfrm>
          <a:off x="4657320" y="27012600"/>
          <a:ext cx="1540080" cy="501840"/>
        </a:xfrm>
        <a:prstGeom prst="rect">
          <a:avLst/>
        </a:prstGeom>
        <a:ln>
          <a:noFill/>
        </a:ln>
      </xdr:spPr>
    </xdr:pic>
    <xdr:clientData/>
  </xdr:twoCellAnchor>
  <xdr:twoCellAnchor editAs="absolute">
    <xdr:from>
      <xdr:col>4</xdr:col>
      <xdr:colOff>104760</xdr:colOff>
      <xdr:row>99</xdr:row>
      <xdr:rowOff>85680</xdr:rowOff>
    </xdr:from>
    <xdr:to>
      <xdr:col>10</xdr:col>
      <xdr:colOff>540000</xdr:colOff>
      <xdr:row>99</xdr:row>
      <xdr:rowOff>959040</xdr:rowOff>
    </xdr:to>
    <xdr:pic>
      <xdr:nvPicPr>
        <xdr:cNvPr id="27" name="Picture 14" descr=""/>
        <xdr:cNvPicPr/>
      </xdr:nvPicPr>
      <xdr:blipFill>
        <a:blip r:embed="rId17"/>
        <a:stretch/>
      </xdr:blipFill>
      <xdr:spPr>
        <a:xfrm>
          <a:off x="1895400" y="24383880"/>
          <a:ext cx="4245120" cy="87336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16</xdr:row>
      <xdr:rowOff>57240</xdr:rowOff>
    </xdr:from>
    <xdr:to>
      <xdr:col>10</xdr:col>
      <xdr:colOff>396720</xdr:colOff>
      <xdr:row>54</xdr:row>
      <xdr:rowOff>54000</xdr:rowOff>
    </xdr:to>
    <xdr:graphicFrame>
      <xdr:nvGraphicFramePr>
        <xdr:cNvPr id="28" name="Chart 1"/>
        <xdr:cNvGraphicFramePr/>
      </xdr:nvGraphicFramePr>
      <xdr:xfrm>
        <a:off x="85680" y="3105000"/>
        <a:ext cx="5292360" cy="7236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228600</xdr:colOff>
      <xdr:row>68</xdr:row>
      <xdr:rowOff>123840</xdr:rowOff>
    </xdr:from>
    <xdr:to>
      <xdr:col>15</xdr:col>
      <xdr:colOff>244440</xdr:colOff>
      <xdr:row>100</xdr:row>
      <xdr:rowOff>82440</xdr:rowOff>
    </xdr:to>
    <xdr:graphicFrame>
      <xdr:nvGraphicFramePr>
        <xdr:cNvPr id="29" name="Chart 2"/>
        <xdr:cNvGraphicFramePr/>
      </xdr:nvGraphicFramePr>
      <xdr:xfrm>
        <a:off x="228600" y="13077720"/>
        <a:ext cx="7073640" cy="6054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1042;&#1080;&#1087;&#1088;&#1072;&#1074;&#1083;&#1077;&#1085;&#1072;%20&#1074;&#1110;&#1088;&#1085;&#1072;%2018_06_18_3_final.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Users/Arsen/Desktop/&#1043;&#1041;&#1053;_2018/KoefZapasu_1k.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Вхідні параметри"/>
      <sheetName val="Розрахункові параметриПеревірка"/>
      <sheetName val="ВихідніДаніПеревірка"/>
      <sheetName val="Optimum"/>
      <sheetName val="Для друкуК"/>
      <sheetName val="Для друкуА"/>
      <sheetName val="Ncум"/>
      <sheetName val="РозрахНаРозтПриЗгин"/>
      <sheetName val="РозрахДопПружПрогин"/>
      <sheetName val="РозрахУмовЗсувЗемлПолот"/>
      <sheetName val="РозрахУмовЗсувуНевязких"/>
      <sheetName val="ЗгинОптим"/>
      <sheetName val="ПрогинОптим"/>
      <sheetName val="ЗсувЗемлОптим"/>
      <sheetName val="ЗсувНевязкихОптим"/>
      <sheetName val="ТовщиниВартості"/>
      <sheetName val="Тсл"/>
      <sheetName val="Над_Згин"/>
      <sheetName val="Кнад"/>
      <sheetName val="Над_Езаг"/>
      <sheetName val="Таблиця 4.1 ДБН-В 2.3.-4-2015"/>
      <sheetName val="Табл. 4.1 - 4.5"/>
      <sheetName val="Табл. 4.6"/>
      <sheetName val="Табл. 4.7"/>
      <sheetName val="Табл. 5.1 - 5.3"/>
      <sheetName val="Табл Д.6"/>
      <sheetName val="Табл. 5.4"/>
      <sheetName val="Табл. 5.5"/>
      <sheetName val="Таблиця 6.1"/>
      <sheetName val="Табл.6.2"/>
      <sheetName val="Таблиця 6.3"/>
      <sheetName val="Таблиця 6.4"/>
      <sheetName val="Таблиця 6.6"/>
      <sheetName val="Табл. 6.8"/>
      <sheetName val="Табл. 6.9"/>
      <sheetName val="Tаблиця Б РозрахПараметНавантаж"/>
      <sheetName val="Табл. 5.1 ДБН-В 2.3-4.2015"/>
      <sheetName val="Мін_товщ"/>
      <sheetName val="Кпривед"/>
      <sheetName val="Ном_Згин"/>
      <sheetName val="Ном_Езаг"/>
      <sheetName val="Над_Зсув"/>
      <sheetName val="ЗгинНадійність"/>
    </sheetNames>
    <sheetDataSet>
      <sheetData sheetId="0">
        <row r="3">
          <cell r="H3" t="str">
            <v>ІІ</v>
          </cell>
        </row>
        <row r="4">
          <cell r="H4" t="str">
            <v>I-а</v>
          </cell>
        </row>
        <row r="6">
          <cell r="B6" t="str">
            <v>Ґрунти при глибокому заляганні ґрунтових вод, забезпеченому поверхневому водовідводі та наявності нижнього шару основи з дискретних матеріалів у дорожньому одязі на межі поділу із земляним полотном</v>
          </cell>
        </row>
        <row r="7">
          <cell r="H7" t="str">
            <v>II.P.5</v>
          </cell>
        </row>
        <row r="8">
          <cell r="H8" t="str">
            <v>G9 Суглинок легкий пилуватий</v>
          </cell>
        </row>
        <row r="10">
          <cell r="H10" t="str">
            <v>А2</v>
          </cell>
        </row>
        <row r="11">
          <cell r="H11">
            <v>8</v>
          </cell>
        </row>
        <row r="12">
          <cell r="H12" t="str">
            <v>∆W3 голкопробивний геотекстиль в контакті з суглинками і глинами</v>
          </cell>
        </row>
        <row r="15">
          <cell r="D15">
            <v>5</v>
          </cell>
        </row>
        <row r="15">
          <cell r="H15" t="str">
            <v>ЩМА12 Щебеневомастиковий асфальтобетон виду ЩМА-20 БМПА 60/90-52</v>
          </cell>
        </row>
        <row r="16">
          <cell r="D16">
            <v>6</v>
          </cell>
        </row>
        <row r="16">
          <cell r="H16" t="str">
            <v>АЩ2 Щільний асфальтобетон I – II марки БНД 60/90</v>
          </cell>
        </row>
        <row r="17">
          <cell r="D17">
            <v>8</v>
          </cell>
        </row>
        <row r="17">
          <cell r="H17" t="str">
            <v>АП2 Пористий асфальтобетон БНД 60/90</v>
          </cell>
        </row>
        <row r="18">
          <cell r="D18">
            <v>18</v>
          </cell>
        </row>
        <row r="18">
          <cell r="H18" t="str">
            <v>ОУ3 ЩПС, укріплений цементом, мароки М40</v>
          </cell>
        </row>
        <row r="19">
          <cell r="D19">
            <v>0</v>
          </cell>
        </row>
        <row r="19">
          <cell r="H19" t="str">
            <v>ОУ2 ЩПС, укріплений цементом, мароки М60</v>
          </cell>
        </row>
        <row r="20">
          <cell r="D20">
            <v>15</v>
          </cell>
        </row>
        <row r="20">
          <cell r="H20" t="str">
            <v>ОУ30 Крупноуламкові ґрунти і ПГС оптимального чи близьких до оптимального складів,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М40</v>
          </cell>
        </row>
        <row r="21">
          <cell r="D21">
            <v>18</v>
          </cell>
        </row>
        <row r="21">
          <cell r="H21" t="str">
            <v>ОН17 Щебенево-піщана суміш для шарів основи С5</v>
          </cell>
        </row>
        <row r="22">
          <cell r="D22">
            <v>0</v>
          </cell>
        </row>
        <row r="22">
          <cell r="H22" t="str">
            <v>ОН17 Щебенево-піщана суміш для шарів основи С5</v>
          </cell>
        </row>
        <row r="23">
          <cell r="D23">
            <v>8</v>
          </cell>
        </row>
        <row r="23">
          <cell r="H23" t="str">
            <v>ОН21 Щебенево-піщана суміш для шарів основи С9</v>
          </cell>
        </row>
        <row r="24">
          <cell r="H24" t="str">
            <v>G1 Пісок крупний</v>
          </cell>
        </row>
        <row r="27">
          <cell r="H27">
            <v>10800000</v>
          </cell>
        </row>
        <row r="28">
          <cell r="H28">
            <v>15</v>
          </cell>
        </row>
      </sheetData>
      <sheetData sheetId="1">
        <row r="2">
          <cell r="H2">
            <v>135</v>
          </cell>
        </row>
      </sheetData>
      <sheetData sheetId="2"/>
      <sheetData sheetId="3"/>
      <sheetData sheetId="4"/>
      <sheetData sheetId="5"/>
      <sheetData sheetId="6"/>
      <sheetData sheetId="7"/>
      <sheetData sheetId="8"/>
      <sheetData sheetId="9">
        <row r="4">
          <cell r="H4">
            <v>0.93</v>
          </cell>
        </row>
      </sheetData>
      <sheetData sheetId="10"/>
      <sheetData sheetId="11"/>
      <sheetData sheetId="12"/>
      <sheetData sheetId="13"/>
      <sheetData sheetId="14"/>
      <sheetData sheetId="15"/>
      <sheetData sheetId="16"/>
      <sheetData sheetId="17"/>
      <sheetData sheetId="18"/>
      <sheetData sheetId="19"/>
      <sheetData sheetId="20"/>
      <sheetData sheetId="21">
        <row r="6">
          <cell r="B6" t="str">
            <v>Ґрунти при глибокому заляганні ґрунтових вод, забезпеченому поверхневому водовідводі та наявності нижнього шару основи з дискретних матеріалів у дорожньому одязі на межі поділу із земляним полотном</v>
          </cell>
        </row>
      </sheetData>
      <sheetData sheetId="22"/>
      <sheetData sheetId="23">
        <row r="7">
          <cell r="C7" t="str">
            <v>∆W1 голкопробивний геотекстиль в контакті з ґрунтами</v>
          </cell>
          <cell r="D7">
            <v>0.03</v>
          </cell>
          <cell r="E7">
            <v>0.03</v>
          </cell>
          <cell r="F7">
            <v>0.03</v>
          </cell>
          <cell r="G7">
            <v>0.03</v>
          </cell>
        </row>
        <row r="8">
          <cell r="C8" t="str">
            <v>∆W2 голкопробивний геотекстиль в контакті з ґрунтами</v>
          </cell>
          <cell r="D8">
            <v>0.06</v>
          </cell>
          <cell r="E8">
            <v>0.06</v>
          </cell>
          <cell r="F8">
            <v>0.06</v>
          </cell>
          <cell r="G8">
            <v>0.06</v>
          </cell>
        </row>
        <row r="9">
          <cell r="C9" t="str">
            <v>∆W3 голкопробивний геотекстиль в контакті з суглинками і глинами</v>
          </cell>
          <cell r="D9">
            <v>0.05</v>
          </cell>
          <cell r="E9">
            <v>0.05</v>
          </cell>
          <cell r="F9">
            <v>0.05</v>
          </cell>
          <cell r="G9">
            <v>0.04</v>
          </cell>
        </row>
        <row r="10">
          <cell r="C10" t="str">
            <v>∆W4 голкопробивний геотекстиль в контакті з  супісками і пісками</v>
          </cell>
          <cell r="D10">
            <v>0.07</v>
          </cell>
          <cell r="E10">
            <v>0.07</v>
          </cell>
          <cell r="F10">
            <v>0.06</v>
          </cell>
          <cell r="G10">
            <v>0.05</v>
          </cell>
        </row>
        <row r="11">
          <cell r="C11" t="str">
            <v>∆W5 дренажні композити</v>
          </cell>
          <cell r="D11">
            <v>0.08</v>
          </cell>
          <cell r="E11">
            <v>0.08</v>
          </cell>
          <cell r="F11">
            <v>0.06</v>
          </cell>
          <cell r="G11">
            <v>0.05</v>
          </cell>
        </row>
        <row r="12">
          <cell r="C12" t="str">
            <v>∆W6 термоскріплений геотекстиль з жорстким ядром</v>
          </cell>
          <cell r="D12">
            <v>0.05</v>
          </cell>
          <cell r="E12">
            <v>0.03</v>
          </cell>
          <cell r="F12" t="str">
            <v>-</v>
          </cell>
          <cell r="G12" t="str">
            <v>-</v>
          </cell>
        </row>
        <row r="13">
          <cell r="C13" t="str">
            <v>∆W7 дренаж</v>
          </cell>
          <cell r="D13">
            <v>0.08</v>
          </cell>
          <cell r="E13">
            <v>0.08</v>
          </cell>
          <cell r="F13">
            <v>0.06</v>
          </cell>
          <cell r="G13">
            <v>0.05</v>
          </cell>
        </row>
        <row r="14">
          <cell r="C14" t="str">
            <v>∆W8 дренаж з поздовжніми трубчастими дренами</v>
          </cell>
          <cell r="D14">
            <v>0.05</v>
          </cell>
          <cell r="E14">
            <v>0.05</v>
          </cell>
          <cell r="F14">
            <v>0.03</v>
          </cell>
          <cell r="G14">
            <v>0.03</v>
          </cell>
        </row>
        <row r="15">
          <cell r="C15" t="str">
            <v>∆W9 дренаж з зернистого матеріалу в обоймі з геосинтетичних матеріалу з дренажною трубою</v>
          </cell>
          <cell r="D15" t="str">
            <v>Зниження розрахункової вологості до оптимальної</v>
          </cell>
          <cell r="E15" t="str">
            <v>Зниження розрахункової вологості до оптимальної</v>
          </cell>
          <cell r="F15" t="str">
            <v>Зниження розрахункової вологості до оптимальної</v>
          </cell>
          <cell r="G15" t="str">
            <v>Зниження розрахункової вологості до оптимальної</v>
          </cell>
        </row>
        <row r="16">
          <cell r="C16" t="str">
            <v>∆W10 влаштування  гідроізолюючих водопаронепроникних прошарків з полімерних матеріалів</v>
          </cell>
          <cell r="D16">
            <v>0.05</v>
          </cell>
          <cell r="E16">
            <v>0.05</v>
          </cell>
          <cell r="F16">
            <v>0.03</v>
          </cell>
          <cell r="G16">
            <v>0.03</v>
          </cell>
        </row>
      </sheetData>
      <sheetData sheetId="24"/>
      <sheetData sheetId="25"/>
      <sheetData sheetId="26"/>
      <sheetData sheetId="27">
        <row r="5">
          <cell r="C5" t="str">
            <v>ОН1 Чорний щебінь, влаштований за способом заклинки</v>
          </cell>
          <cell r="D5">
            <v>600</v>
          </cell>
          <cell r="E5">
            <v>900</v>
          </cell>
          <cell r="F5" t="str">
            <v>–</v>
          </cell>
          <cell r="G5" t="str">
            <v>–</v>
          </cell>
        </row>
        <row r="6">
          <cell r="C6" t="str">
            <v>ОН2 Щебінь марок 1000 – 1400, влаштований за способом просочення в’язким бітумом</v>
          </cell>
          <cell r="D6">
            <v>400</v>
          </cell>
          <cell r="E6">
            <v>600</v>
          </cell>
          <cell r="F6" t="str">
            <v>–</v>
          </cell>
          <cell r="G6" t="str">
            <v>–</v>
          </cell>
        </row>
        <row r="7">
          <cell r="C7" t="str">
            <v>ОН3 Щебінь марок 800 – 1400, влаштований за способом заклинки:з міцних осадових та метаморфічних порід</v>
          </cell>
          <cell r="D7">
            <v>350</v>
          </cell>
          <cell r="E7">
            <v>450</v>
          </cell>
          <cell r="F7" t="str">
            <v>–</v>
          </cell>
          <cell r="G7" t="str">
            <v>–</v>
          </cell>
        </row>
        <row r="8">
          <cell r="C8" t="str">
            <v>ОН4 Щебінь марок 800 – 1400, влаштований за способом заклинки з магматичних порід</v>
          </cell>
          <cell r="D8">
            <v>250</v>
          </cell>
          <cell r="E8">
            <v>350</v>
          </cell>
          <cell r="F8" t="str">
            <v>–</v>
          </cell>
          <cell r="G8" t="str">
            <v>–</v>
          </cell>
        </row>
        <row r="9">
          <cell r="C9" t="str">
            <v>ОН5 Шлаковий щебінь</v>
          </cell>
          <cell r="D9">
            <v>150</v>
          </cell>
          <cell r="E9">
            <v>200</v>
          </cell>
          <cell r="F9" t="str">
            <v>–</v>
          </cell>
          <cell r="G9" t="str">
            <v>–</v>
          </cell>
        </row>
        <row r="10">
          <cell r="C10" t="str">
            <v>ОН6 Бетонна бруківка "Г  подібної форми хвиля" розміром (243,5×243,5×120) мм</v>
          </cell>
          <cell r="D10">
            <v>1200</v>
          </cell>
          <cell r="E10">
            <v>1600</v>
          </cell>
          <cell r="F10" t="str">
            <v>–</v>
          </cell>
          <cell r="G10" t="str">
            <v>–</v>
          </cell>
        </row>
        <row r="11">
          <cell r="C11" t="str">
            <v>ОН7 Бетонна бруківка "Г  подібної форми хвиля" розміром (243,5×243,5×120) мм</v>
          </cell>
          <cell r="D11">
            <v>900</v>
          </cell>
          <cell r="E11">
            <v>1200</v>
          </cell>
          <cell r="F11" t="str">
            <v>–</v>
          </cell>
          <cell r="G11" t="str">
            <v>–</v>
          </cell>
        </row>
        <row r="12">
          <cell r="C12" t="str">
            <v>ОН8 Бетонна бруківка "фалка"розміром (300×150×100) мм</v>
          </cell>
          <cell r="D12">
            <v>700</v>
          </cell>
          <cell r="E12">
            <v>900</v>
          </cell>
          <cell r="F12" t="str">
            <v>–</v>
          </cell>
          <cell r="G12" t="str">
            <v>–</v>
          </cell>
        </row>
        <row r="13">
          <cell r="C13" t="str">
            <v>ОН9 Бетонна бруківка "фалка" розміром (240×130×80) мм</v>
          </cell>
          <cell r="D13">
            <v>550</v>
          </cell>
          <cell r="E13">
            <v>650</v>
          </cell>
          <cell r="F13" t="str">
            <v>–</v>
          </cell>
          <cell r="G13" t="str">
            <v>–</v>
          </cell>
        </row>
        <row r="14">
          <cell r="C14" t="str">
            <v>ОН10 Бетонна бруківка "подвійне Т" розміром (200×165×80) мм</v>
          </cell>
          <cell r="D14">
            <v>700</v>
          </cell>
          <cell r="E14">
            <v>900</v>
          </cell>
          <cell r="F14" t="str">
            <v>–</v>
          </cell>
          <cell r="G14" t="str">
            <v>–</v>
          </cell>
        </row>
        <row r="15">
          <cell r="C15" t="str">
            <v>ОН11 Кам'яна бруківка, пакеляж</v>
          </cell>
          <cell r="D15">
            <v>400</v>
          </cell>
          <cell r="E15">
            <v>500</v>
          </cell>
          <cell r="F15" t="str">
            <v>–</v>
          </cell>
          <cell r="G15" t="str">
            <v>–</v>
          </cell>
        </row>
        <row r="16">
          <cell r="C16" t="str">
            <v>ОН12 ПГС згідно з ДСТУ Б В.2.7-30</v>
          </cell>
          <cell r="D16">
            <v>180</v>
          </cell>
          <cell r="E16">
            <v>180</v>
          </cell>
          <cell r="F16">
            <v>45</v>
          </cell>
          <cell r="G16">
            <v>0.03</v>
          </cell>
        </row>
        <row r="17">
          <cell r="C17" t="str">
            <v>ОН13 Щебенево-піщана суміш для покриття С1</v>
          </cell>
          <cell r="D17">
            <v>250</v>
          </cell>
          <cell r="E17">
            <v>300</v>
          </cell>
          <cell r="F17" t="str">
            <v>–</v>
          </cell>
          <cell r="G17" t="str">
            <v>–</v>
          </cell>
        </row>
        <row r="18">
          <cell r="C18" t="str">
            <v>ОН14 Щебенево-піщана суміш для покриття С2</v>
          </cell>
          <cell r="D18">
            <v>240</v>
          </cell>
          <cell r="E18">
            <v>290</v>
          </cell>
          <cell r="F18" t="str">
            <v>–</v>
          </cell>
          <cell r="G18" t="str">
            <v>–</v>
          </cell>
        </row>
        <row r="19">
          <cell r="C19" t="str">
            <v>ОН15 Щебенево-піщана суміш для покриття С3</v>
          </cell>
          <cell r="D19">
            <v>200</v>
          </cell>
          <cell r="E19">
            <v>250</v>
          </cell>
          <cell r="F19" t="str">
            <v>–</v>
          </cell>
          <cell r="G19" t="str">
            <v>–</v>
          </cell>
        </row>
        <row r="20">
          <cell r="C20" t="str">
            <v>ОН16 Щебенево-піщана суміш для шарів основи С4</v>
          </cell>
          <cell r="D20">
            <v>280</v>
          </cell>
          <cell r="E20">
            <v>350</v>
          </cell>
          <cell r="F20" t="str">
            <v>–</v>
          </cell>
          <cell r="G20" t="str">
            <v>–</v>
          </cell>
        </row>
        <row r="21">
          <cell r="C21" t="str">
            <v>ОН17 Щебенево-піщана суміш для шарів основи С5</v>
          </cell>
          <cell r="D21">
            <v>240</v>
          </cell>
          <cell r="E21">
            <v>280</v>
          </cell>
          <cell r="F21" t="str">
            <v>–</v>
          </cell>
          <cell r="G21" t="str">
            <v>–</v>
          </cell>
        </row>
        <row r="22">
          <cell r="C22" t="str">
            <v>ОН18 Щебенево-піщана суміш для шарів основи С6</v>
          </cell>
          <cell r="D22">
            <v>240</v>
          </cell>
          <cell r="E22">
            <v>280</v>
          </cell>
          <cell r="F22" t="str">
            <v>–</v>
          </cell>
          <cell r="G22" t="str">
            <v>–</v>
          </cell>
        </row>
        <row r="23">
          <cell r="C23" t="str">
            <v>ОН19 Щебенево-піщана суміш для шарів основи С7</v>
          </cell>
          <cell r="D23">
            <v>220</v>
          </cell>
          <cell r="E23">
            <v>260</v>
          </cell>
          <cell r="F23" t="str">
            <v>–</v>
          </cell>
          <cell r="G23" t="str">
            <v>–</v>
          </cell>
        </row>
        <row r="24">
          <cell r="C24" t="str">
            <v>ОН20 Щебенево-піщана суміш для шарів основи С8</v>
          </cell>
          <cell r="D24">
            <v>200</v>
          </cell>
          <cell r="E24">
            <v>240</v>
          </cell>
          <cell r="F24" t="str">
            <v>–</v>
          </cell>
          <cell r="G24" t="str">
            <v>–</v>
          </cell>
        </row>
        <row r="25">
          <cell r="C25" t="str">
            <v>ОН21 Щебенево-піщана суміш для шарів основи С9</v>
          </cell>
          <cell r="D25">
            <v>180</v>
          </cell>
          <cell r="E25">
            <v>220</v>
          </cell>
          <cell r="F25" t="str">
            <v>–</v>
          </cell>
          <cell r="G25" t="str">
            <v>–</v>
          </cell>
        </row>
        <row r="26">
          <cell r="C26" t="str">
            <v>ОН22 Щебенево-піщана суміш для шарів основи С10</v>
          </cell>
          <cell r="D26">
            <v>180</v>
          </cell>
          <cell r="E26">
            <v>220</v>
          </cell>
          <cell r="F26" t="str">
            <v>–</v>
          </cell>
          <cell r="G26" t="str">
            <v>–</v>
          </cell>
        </row>
        <row r="27">
          <cell r="C27" t="str">
            <v>ОН23 Віброруйнування цементно-бетонного покриття</v>
          </cell>
          <cell r="D27">
            <v>220</v>
          </cell>
          <cell r="E27">
            <v>250</v>
          </cell>
          <cell r="F27" t="str">
            <v>–</v>
          </cell>
          <cell r="G27" t="str">
            <v>–</v>
          </cell>
        </row>
        <row r="28">
          <cell r="C28" t="str">
            <v>ОУ68 Суглинки важкі і пилуваті, глини піщанисті і пилуваті, укріплені дьогтем</v>
          </cell>
          <cell r="D28">
            <v>100</v>
          </cell>
          <cell r="E28">
            <v>100</v>
          </cell>
          <cell r="F28" t="str">
            <v>–</v>
          </cell>
          <cell r="G28" t="str">
            <v>–</v>
          </cell>
        </row>
      </sheetData>
      <sheetData sheetId="28">
        <row r="4">
          <cell r="B4" t="str">
            <v>I-а</v>
          </cell>
        </row>
        <row r="5">
          <cell r="B5" t="str">
            <v>I-б</v>
          </cell>
        </row>
        <row r="6">
          <cell r="B6" t="str">
            <v>II</v>
          </cell>
        </row>
        <row r="7">
          <cell r="B7" t="str">
            <v>III</v>
          </cell>
        </row>
        <row r="8">
          <cell r="B8" t="str">
            <v>IV</v>
          </cell>
        </row>
      </sheetData>
      <sheetData sheetId="29"/>
      <sheetData sheetId="30"/>
      <sheetData sheetId="31">
        <row r="4">
          <cell r="B4" t="str">
            <v>І</v>
          </cell>
        </row>
        <row r="5">
          <cell r="B5" t="str">
            <v>ІІ</v>
          </cell>
        </row>
        <row r="6">
          <cell r="B6" t="str">
            <v>ІІІ</v>
          </cell>
        </row>
        <row r="7">
          <cell r="B7" t="str">
            <v>IV Захід</v>
          </cell>
        </row>
        <row r="8">
          <cell r="B8" t="str">
            <v>IV Південь</v>
          </cell>
        </row>
      </sheetData>
      <sheetData sheetId="32"/>
      <sheetData sheetId="33">
        <row r="3">
          <cell r="C3" t="str">
            <v>І</v>
          </cell>
          <cell r="D3">
            <v>20</v>
          </cell>
        </row>
        <row r="4">
          <cell r="C4" t="str">
            <v>ІІ</v>
          </cell>
          <cell r="D4">
            <v>25</v>
          </cell>
        </row>
        <row r="5">
          <cell r="C5" t="str">
            <v>ІІІ</v>
          </cell>
          <cell r="D5">
            <v>30</v>
          </cell>
        </row>
        <row r="6">
          <cell r="C6" t="str">
            <v>IV Захід</v>
          </cell>
          <cell r="D6">
            <v>35</v>
          </cell>
        </row>
        <row r="7">
          <cell r="C7" t="str">
            <v>IV Південь</v>
          </cell>
          <cell r="D7">
            <v>35</v>
          </cell>
        </row>
      </sheetData>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3_14"/>
      <sheetName val="3_15"/>
      <sheetName val="3_16"/>
      <sheetName val="Rзгину"/>
      <sheetName val="Згин"/>
      <sheetName val="НапружЗгину"/>
      <sheetName val="ТАУ"/>
      <sheetName val="Зсув"/>
      <sheetName val="Прогин"/>
      <sheetName val="Езаг"/>
      <sheetName val="Надійність"/>
      <sheetName val="Грунт"/>
      <sheetName val="Табл Д 3,1"/>
      <sheetName val="Табл Д 2,6"/>
      <sheetName val="Табл Д 3,2"/>
      <sheetName val="Табл Д 3,3"/>
      <sheetName val="Табл Д 3,5"/>
      <sheetName val="ТаблД3,6"/>
    </sheetNames>
    <sheetDataSet>
      <sheetData sheetId="0"/>
      <sheetData sheetId="1"/>
      <sheetData sheetId="2"/>
      <sheetData sheetId="3"/>
      <sheetData sheetId="4"/>
      <sheetData sheetId="5">
        <row r="5">
          <cell r="F5">
            <v>0.5</v>
          </cell>
          <cell r="G5">
            <v>0.6</v>
          </cell>
        </row>
        <row r="8">
          <cell r="A8">
            <v>10</v>
          </cell>
        </row>
        <row r="8">
          <cell r="F8">
            <v>1.194</v>
          </cell>
          <cell r="G8">
            <v>0.99</v>
          </cell>
        </row>
        <row r="9">
          <cell r="A9">
            <v>20</v>
          </cell>
        </row>
        <row r="9">
          <cell r="F9">
            <v>1.648</v>
          </cell>
          <cell r="G9">
            <v>1.338</v>
          </cell>
        </row>
      </sheetData>
      <sheetData sheetId="6"/>
      <sheetData sheetId="7"/>
      <sheetData sheetId="8"/>
      <sheetData sheetId="9">
        <row r="28">
          <cell r="N28">
            <v>276.65018534502</v>
          </cell>
        </row>
      </sheetData>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Таблица1" displayName="Таблица1" ref="B3:C8" headerRowCount="1" totalsRowCount="0" totalsRowShown="0">
  <autoFilter ref="B3:C8"/>
  <tableColumns count="2">
    <tableColumn id="1" name="Дорожньо-кліматична зона"/>
    <tableColumn id="2" name="Кількість розрахункових діб на рік (Трдр) "/>
  </tableColumns>
</table>
</file>

<file path=xl/tables/table10.xml><?xml version="1.0" encoding="utf-8"?>
<table xmlns="http://schemas.openxmlformats.org/spreadsheetml/2006/main" id="10" name="Таблица22" displayName="Таблица22" ref="B5:L30" headerRowCount="1" totalsRowCount="0" totalsRowShown="0">
  <autoFilter ref="B5:L30"/>
  <tableColumns count="11">
    <tableColumn id="1" name="Код асфальтобетону"/>
    <tableColumn id="2" name="Матеріал"/>
    <tableColumn id="3" name="Марка в’яжучого"/>
    <tableColumn id="4" name="Модуль пружності (Е), МПа"/>
    <tableColumn id="5" name="Коефіцієнт варіації (СЕ)"/>
    <tableColumn id="6" name="Границя міцності на розтягування при згині (Rлаб), МПа"/>
    <tableColumn id="7" name="Коефіцієнт варіації (СR)"/>
    <tableColumn id="8" name="Показник втоми, m "/>
    <tableColumn id="9" name="Коефіцієнт kпр"/>
    <tableColumn id="10" name="km"/>
    <tableColumn id="11" name="kT"/>
  </tableColumns>
</table>
</file>

<file path=xl/tables/table11.xml><?xml version="1.0" encoding="utf-8"?>
<table xmlns="http://schemas.openxmlformats.org/spreadsheetml/2006/main" id="11" name="Таблица23" displayName="Таблица23" ref="O5:W30" headerRowCount="1" totalsRowCount="0" totalsRowShown="0">
  <autoFilter ref="O5:W30"/>
  <tableColumns count="9">
    <tableColumn id="1" name="Код асфальтобетону"/>
    <tableColumn id="2" name="Матеріал"/>
    <tableColumn id="3" name="Марка бітуму"/>
    <tableColumn id="4" name="10"/>
    <tableColumn id="5" name="20"/>
    <tableColumn id="6" name="25"/>
    <tableColumn id="7" name="30"/>
    <tableColumn id="8" name="35"/>
    <tableColumn id="9" name="40"/>
  </tableColumns>
</table>
</file>

<file path=xl/tables/table12.xml><?xml version="1.0" encoding="utf-8"?>
<table xmlns="http://schemas.openxmlformats.org/spreadsheetml/2006/main" id="12" name="Таблица24" displayName="Таблица24" ref="Z4:AG14" headerRowCount="1" totalsRowCount="0" totalsRowShown="0">
  <autoFilter ref="Z4:AG14"/>
  <tableColumns count="8">
    <tableColumn id="1" name="Код асфальтобетону"/>
    <tableColumn id="2" name="Вид асфальтобетону"/>
    <tableColumn id="3" name="Вид суміші"/>
    <tableColumn id="4" name="20"/>
    <tableColumn id="5" name="25"/>
    <tableColumn id="6" name="30"/>
    <tableColumn id="7" name="35"/>
    <tableColumn id="8" name="40"/>
  </tableColumns>
</table>
</file>

<file path=xl/tables/table13.xml><?xml version="1.0" encoding="utf-8"?>
<table xmlns="http://schemas.openxmlformats.org/spreadsheetml/2006/main" id="13" name="Таблица25" displayName="Таблица25" ref="C2:D7" headerRowCount="1" totalsRowCount="0" totalsRowShown="0">
  <autoFilter ref="C2:D7"/>
  <tableColumns count="2">
    <tableColumn id="1" name="Дорожньо-кліматична зона"/>
    <tableColumn id="2" name="Розрахункова температура, °С"/>
  </tableColumns>
</table>
</file>

<file path=xl/tables/table14.xml><?xml version="1.0" encoding="utf-8"?>
<table xmlns="http://schemas.openxmlformats.org/spreadsheetml/2006/main" id="14" name="Таблица26" displayName="Таблица26" ref="E5:J74" headerRowCount="1" totalsRowCount="0" totalsRowShown="0">
  <autoFilter ref="E5:J74"/>
  <tableColumns count="6">
    <tableColumn id="1" name="Марка"/>
    <tableColumn id="2" name="Модуль пружності Е, МПа"/>
    <tableColumn id="3" name="Столбец1"/>
    <tableColumn id="4" name="Коефіцієнт варіації, СЕ"/>
    <tableColumn id="5" name="Столбец2"/>
    <tableColumn id="6" name="Границя міцність на розтягування при згині, R, МПа"/>
  </tableColumns>
</table>
</file>

<file path=xl/tables/table15.xml><?xml version="1.0" encoding="utf-8"?>
<table xmlns="http://schemas.openxmlformats.org/spreadsheetml/2006/main" id="15" name="Таблица27" displayName="Таблица27" ref="B4:I27" headerRowCount="1" totalsRowCount="0" totalsRowShown="0">
  <autoFilter ref="B4:I27"/>
  <tableColumns count="8">
    <tableColumn id="1" name="Код матеріалу неукріпленої основи, ОН"/>
    <tableColumn id="2" name="Матеріал (ґрунт)"/>
    <tableColumn id="3" name="Модуль пружності для основ Е, МПа"/>
    <tableColumn id="4" name="Модуль пружності для покриттів Е, МПа"/>
    <tableColumn id="5" name="Кут внутріш-нього тертя φ, град"/>
    <tableColumn id="6" name="Зчеплення См, МПа"/>
    <tableColumn id="7" name="Коефіцієнт варіації модуля пружності для основ Е, МПа2"/>
    <tableColumn id="8" name="Коефіцієнт варіації модуля пружності для покриттів Е, МПа3"/>
  </tableColumns>
</table>
</file>

<file path=xl/tables/table16.xml><?xml version="1.0" encoding="utf-8"?>
<table xmlns="http://schemas.openxmlformats.org/spreadsheetml/2006/main" id="16" name="Таблица28" displayName="Таблица28" ref="B6:G12" headerRowCount="1" totalsRowCount="0" totalsRowShown="0">
  <autoFilter ref="B6:G12"/>
  <tableColumns count="6">
    <tableColumn id="1" name="Столбец1"/>
    <tableColumn id="2" name="Столбец2"/>
    <tableColumn id="3" name="Столбец3"/>
    <tableColumn id="4" name="Столбец4"/>
    <tableColumn id="5" name="Столбец5"/>
    <tableColumn id="6" name="k4"/>
  </tableColumns>
</table>
</file>

<file path=xl/tables/table17.xml><?xml version="1.0" encoding="utf-8"?>
<table xmlns="http://schemas.openxmlformats.org/spreadsheetml/2006/main" id="17" name="Таблица29" displayName="Таблица29" ref="B2:E8" headerRowCount="1" totalsRowCount="0" totalsRowShown="0">
  <autoFilter ref="B2:E8"/>
  <tableColumns count="4">
    <tableColumn id="1" name="Ч.ч."/>
    <tableColumn id="2" name="Матеріал шару,  що розраховується"/>
    <tableColumn id="3" name="km"/>
    <tableColumn id="4" name="kТ"/>
  </tableColumns>
</table>
</file>

<file path=xl/tables/table18.xml><?xml version="1.0" encoding="utf-8"?>
<table xmlns="http://schemas.openxmlformats.org/spreadsheetml/2006/main" id="18" name="Таблица3" displayName="Таблица3" ref="B3:J9" headerRowCount="1" totalsRowCount="0" totalsRowShown="0">
  <autoFilter ref="B3:J9"/>
  <tableColumns count="9">
    <tableColumn id="1" name="Категорія дороги "/>
    <tableColumn id="2" name="Коефіцієнт надійності, Кн"/>
    <tableColumn id="3" name="Харак-теристика надійності, β"/>
    <tableColumn id="4" name="опір шарів з монолітних матеріалів розтягу при згині"/>
    <tableColumn id="5" name="опір пружному прогину всієї конструкції"/>
    <tableColumn id="6" name="опір зсуву в ґрунті та шарах з незв’язних або малозв’язних матеріалів"/>
    <tableColumn id="7" name="Коефіцієнт варіації на розтяг при згині СRзг"/>
    <tableColumn id="8" name="Коефіцієнт варіації на загальний модуль пружності СЕзаг"/>
    <tableColumn id="9" name="Коефіцієнт варіації зсуваючого напруження Сзсув"/>
  </tableColumns>
</table>
</file>

<file path=xl/tables/table19.xml><?xml version="1.0" encoding="utf-8"?>
<table xmlns="http://schemas.openxmlformats.org/spreadsheetml/2006/main" id="19" name="Таблица310" displayName="Таблица310" ref="L5:X47" headerRowCount="1" totalsRowCount="0" totalsRowShown="0">
  <autoFilter ref="L5:X47"/>
  <tableColumns count="13">
    <tableColumn id="1" name="Різновид глинистих ґрунтів"/>
    <tableColumn id="2" name="Число пластичності, JP"/>
    <tableColumn id="3" name="Вміст піщанистих часток (2,0 – 0,5) мм, % за масою"/>
    <tableColumn id="4" name="Показники"/>
    <tableColumn id="5" name="0,5"/>
    <tableColumn id="6" name="0,55"/>
    <tableColumn id="7" name="0,6"/>
    <tableColumn id="8" name="0,65"/>
    <tableColumn id="9" name="0,7"/>
    <tableColumn id="10" name="0,75"/>
    <tableColumn id="11" name="0,8"/>
    <tableColumn id="12" name="0,85"/>
    <tableColumn id="13" name="0,9"/>
  </tableColumns>
</table>
</file>

<file path=xl/tables/table2.xml><?xml version="1.0" encoding="utf-8"?>
<table xmlns="http://schemas.openxmlformats.org/spreadsheetml/2006/main" id="2" name="Таблица10" displayName="Таблица10" ref="AA25:AJ39" headerRowCount="1" totalsRowCount="0" totalsRowShown="0">
  <autoFilter ref="AA25:AJ39"/>
  <tableColumns count="10">
    <tableColumn id="1" name="Різновид глинистих ґрунтів"/>
    <tableColumn id="2" name="0,5"/>
    <tableColumn id="3" name="0,55"/>
    <tableColumn id="4" name="0,6"/>
    <tableColumn id="5" name="0,65"/>
    <tableColumn id="6" name="0,7"/>
    <tableColumn id="7" name="0,75"/>
    <tableColumn id="8" name="0,8"/>
    <tableColumn id="9" name="0,85"/>
    <tableColumn id="10" name="0,9"/>
  </tableColumns>
</table>
</file>

<file path=xl/tables/table20.xml><?xml version="1.0" encoding="utf-8"?>
<table xmlns="http://schemas.openxmlformats.org/spreadsheetml/2006/main" id="20" name="Таблица4" displayName="Таблица4" ref="F6:J22" headerRowCount="1" totalsRowCount="0" totalsRowShown="0">
  <autoFilter ref="F6:J22"/>
  <tableColumns count="5">
    <tableColumn id="1" name="Шифр дорожнього району"/>
    <tableColumn id="2" name="Типовий ґрунт у районі"/>
    <tableColumn id="3" name="I-II"/>
    <tableColumn id="4" name="III-IV"/>
    <tableColumn id="5" name="V"/>
  </tableColumns>
</table>
</file>

<file path=xl/tables/table21.xml><?xml version="1.0" encoding="utf-8"?>
<table xmlns="http://schemas.openxmlformats.org/spreadsheetml/2006/main" id="21" name="Таблица5" displayName="Таблица5" ref="K6:O22" headerRowCount="1" totalsRowCount="0" totalsRowShown="0">
  <autoFilter ref="K6:O22"/>
  <tableColumns count="5">
    <tableColumn id="1" name="Шифр дорожнього району"/>
    <tableColumn id="2" name="Типовий ґрунт в районі"/>
    <tableColumn id="3" name="I-II"/>
    <tableColumn id="4" name="III-IV"/>
    <tableColumn id="5" name="V"/>
  </tableColumns>
</table>
</file>

<file path=xl/tables/table22.xml><?xml version="1.0" encoding="utf-8"?>
<table xmlns="http://schemas.openxmlformats.org/spreadsheetml/2006/main" id="22" name="Таблица6" displayName="Таблица6" ref="P6:T22" headerRowCount="1" totalsRowCount="0" totalsRowShown="0">
  <autoFilter ref="P6:T22"/>
  <tableColumns count="5">
    <tableColumn id="1" name="Шифр дорожнього району"/>
    <tableColumn id="2" name="Типовий ґрунт в районі"/>
    <tableColumn id="3" name="ё"/>
    <tableColumn id="4" name="III-IV"/>
    <tableColumn id="5" name="V"/>
  </tableColumns>
</table>
</file>

<file path=xl/tables/table23.xml><?xml version="1.0" encoding="utf-8"?>
<table xmlns="http://schemas.openxmlformats.org/spreadsheetml/2006/main" id="23" name="Таблица611" displayName="Таблица611" ref="C5:H19" headerRowCount="1" totalsRowCount="0" totalsRowShown="0">
  <autoFilter ref="C5:H19"/>
  <tableColumns count="6">
    <tableColumn id="1" name="Різновид глинистих ґрунтів"/>
    <tableColumn id="2" name="Число пластичності, JP"/>
    <tableColumn id="3" name="Вміст піщанистих часток (2,0 – 0,5) мм, % за масою"/>
    <tableColumn id="4" name="k3 - коефіцієнт, який враховує особливості роботи грунту в конструкції, повяхані зі збільшенням фактичного зчепелення грунтів за рахунок защемлення та іншого "/>
    <tableColumn id="5" name="коефіцієнт варіації кута внутрішнього тертя Сfi"/>
    <tableColumn id="6" name="коефіцієнт варіації модуля пружності грунтового півпростору CEгр"/>
  </tableColumns>
</table>
</file>

<file path=xl/tables/table24.xml><?xml version="1.0" encoding="utf-8"?>
<table xmlns="http://schemas.openxmlformats.org/spreadsheetml/2006/main" id="24" name="Таблица7" displayName="Таблица7" ref="U6:Y22" headerRowCount="1" totalsRowCount="0" totalsRowShown="0">
  <autoFilter ref="U6:Y22"/>
  <tableColumns count="5">
    <tableColumn id="1" name="Шифр дорожнього району"/>
    <tableColumn id="2" name="Типовий ґрунт в районі"/>
    <tableColumn id="3" name="I-II"/>
    <tableColumn id="4" name="III-IV"/>
    <tableColumn id="5" name="V"/>
  </tableColumns>
</table>
</file>

<file path=xl/tables/table25.xml><?xml version="1.0" encoding="utf-8"?>
<table xmlns="http://schemas.openxmlformats.org/spreadsheetml/2006/main" id="25" name="Таблица712" displayName="Таблица712" ref="J5:J14" headerRowCount="1" totalsRowCount="0" totalsRowShown="0">
  <autoFilter ref="J5:J14"/>
  <tableColumns count="1">
    <tableColumn id="1" name="Розрахункові значення характеристик за вологістю ґрунту, частки від Wт"/>
  </tableColumns>
</table>
</file>

<file path=xl/tables/table26.xml><?xml version="1.0" encoding="utf-8"?>
<table xmlns="http://schemas.openxmlformats.org/spreadsheetml/2006/main" id="26" name="Таблица8" displayName="Таблица8" ref="Z6:AD22" headerRowCount="1" totalsRowCount="0" totalsRowShown="0">
  <autoFilter ref="Z6:AD22"/>
  <tableColumns count="5">
    <tableColumn id="1" name="Шифр дорожнього району"/>
    <tableColumn id="2" name="Типовий ґрунт в районі"/>
    <tableColumn id="3" name="I-II"/>
    <tableColumn id="4" name="III-IV"/>
    <tableColumn id="5" name="V"/>
  </tableColumns>
</table>
</file>

<file path=xl/tables/table27.xml><?xml version="1.0" encoding="utf-8"?>
<table xmlns="http://schemas.openxmlformats.org/spreadsheetml/2006/main" id="27" name="Таблица820" displayName="Таблица820" ref="C5:G11" headerRowCount="1" totalsRowCount="0" totalsRowShown="0">
  <autoFilter ref="C5:G11"/>
  <tableColumns count="5">
    <tableColumn id="1" name="Кількість смуг руху"/>
    <tableColumn id="2" name="1"/>
    <tableColumn id="3" name="2"/>
    <tableColumn id="4" name="3"/>
    <tableColumn id="5" name="4"/>
  </tableColumns>
</table>
</file>

<file path=xl/tables/table28.xml><?xml version="1.0" encoding="utf-8"?>
<table xmlns="http://schemas.openxmlformats.org/spreadsheetml/2006/main" id="28" name="Таблица9" displayName="Таблица9" ref="E12:J16" headerRowCount="1" totalsRowCount="0" totalsRowShown="0">
  <autoFilter ref="E12:J16"/>
  <tableColumns count="6">
    <tableColumn id="1" name="Група розрахункового навантаження"/>
    <tableColumn id="2" name="Нормативне статичне навантаження на вісь, кН"/>
    <tableColumn id="3" name="Нормативне статичне навантаження на поверхню покриття від колеса розрахункового автомобіля Qрозр, кН"/>
    <tableColumn id="4" name="Тиск повітря в шині p, МПа "/>
    <tableColumn id="5" name="Діаметр відбитка колеса Dн, м"/>
    <tableColumn id="6" name="Діаметр відбитка колеса рухомого автомобіля Dд, м"/>
  </tableColumns>
</table>
</file>

<file path=xl/tables/table3.xml><?xml version="1.0" encoding="utf-8"?>
<table xmlns="http://schemas.openxmlformats.org/spreadsheetml/2006/main" id="3" name="Таблица13" displayName="Таблица13" ref="B2:C7" headerRowCount="1" totalsRowCount="0" totalsRowShown="0">
  <autoFilter ref="B2:C7"/>
  <tableColumns count="2">
    <tableColumn id="1" name="Кн"/>
    <tableColumn id="2" name="t"/>
  </tableColumns>
</table>
</file>

<file path=xl/tables/table4.xml><?xml version="1.0" encoding="utf-8"?>
<table xmlns="http://schemas.openxmlformats.org/spreadsheetml/2006/main" id="4" name="Таблица17" displayName="Таблица17" ref="AA42:AJ56" headerRowCount="1" totalsRowCount="0" totalsRowShown="0">
  <autoFilter ref="AA42:AJ56"/>
  <tableColumns count="10">
    <tableColumn id="1" name="Різновид глинистих ґрунтів"/>
    <tableColumn id="2" name="0,5"/>
    <tableColumn id="3" name="0,55"/>
    <tableColumn id="4" name="0,6"/>
    <tableColumn id="5" name="0,65"/>
    <tableColumn id="6" name="0,7"/>
    <tableColumn id="7" name="0,75"/>
    <tableColumn id="8" name="0,8"/>
    <tableColumn id="9" name="0,85"/>
    <tableColumn id="10" name="0,9"/>
  </tableColumns>
</table>
</file>

<file path=xl/tables/table5.xml><?xml version="1.0" encoding="utf-8"?>
<table xmlns="http://schemas.openxmlformats.org/spreadsheetml/2006/main" id="5" name="Таблица18" displayName="Таблица18" ref="N2:U8" headerRowCount="1" totalsRowCount="0" totalsRowShown="0">
  <autoFilter ref="N2:U8"/>
  <tableColumns count="8">
    <tableColumn id="1" name="Категорія дороги"/>
    <tableColumn id="2" name="Кількість смуг руху"/>
    <tableColumn id="3" name="Ширина смуги руху"/>
    <tableColumn id="4" name="Ширина узбіччя, у тому числі"/>
    <tableColumn id="5" name="ширина зупиночної смуги разом з укрвпленою смугою"/>
    <tableColumn id="6" name="ширина укріпленої смуги"/>
    <tableColumn id="7" name="Ширина розділювальної смуги"/>
    <tableColumn id="8" name="Ширина укріпленої смуги на розділювальній смузі"/>
  </tableColumns>
</table>
</file>

<file path=xl/tables/table6.xml><?xml version="1.0" encoding="utf-8"?>
<table xmlns="http://schemas.openxmlformats.org/spreadsheetml/2006/main" id="6" name="Таблица19" displayName="Таблица19" ref="B3:G16" headerRowCount="1" totalsRowCount="0" totalsRowShown="0">
  <autoFilter ref="B3:G16"/>
  <tableColumns count="6">
    <tableColumn id="1" name="Столбец1"/>
    <tableColumn id="2" name="Столбец2"/>
    <tableColumn id="3" name="Столбец3"/>
    <tableColumn id="4" name="Столбец4"/>
    <tableColumn id="5" name="Столбец5"/>
    <tableColumn id="6" name="Столбец6"/>
  </tableColumns>
</table>
</file>

<file path=xl/tables/table7.xml><?xml version="1.0" encoding="utf-8"?>
<table xmlns="http://schemas.openxmlformats.org/spreadsheetml/2006/main" id="7" name="Таблица2" displayName="Таблица2" ref="B3:J10" headerRowCount="1" totalsRowCount="0" totalsRowShown="0">
  <autoFilter ref="B3:J10"/>
  <tableColumns count="9">
    <tableColumn id="1" name="Ч.ч"/>
    <tableColumn id="2" name="Категорія дороги"/>
    <tableColumn id="3" name="Тип дорожнього одягу"/>
    <tableColumn id="4" name="Група розрахункового навантаження"/>
    <tableColumn id="5" name="Нормативне статичне навантаження на вісь, кН"/>
    <tableColumn id="6" name="Нормативне статичне навантаження на поверхню покриття від колеса розрахункового автомобіля Qрозр, кН"/>
    <tableColumn id="7" name="Тиск повітря в шині p, МПа "/>
    <tableColumn id="8" name="Діаметр відбитка колеса Dн, м"/>
    <tableColumn id="9" name="Діаметр відбитка колеса рухомого автомобіля Dд, м"/>
  </tableColumns>
</table>
</file>

<file path=xl/tables/table8.xml><?xml version="1.0" encoding="utf-8"?>
<table xmlns="http://schemas.openxmlformats.org/spreadsheetml/2006/main" id="8" name="Таблица20" displayName="Таблица20" ref="AA7:AJ21" headerRowCount="1" totalsRowCount="0" totalsRowShown="0">
  <autoFilter ref="AA7:AJ21"/>
  <tableColumns count="10">
    <tableColumn id="1" name="Різновид глинистих ґрунтів"/>
    <tableColumn id="2" name="0,5"/>
    <tableColumn id="3" name="0,55"/>
    <tableColumn id="4" name="0,6"/>
    <tableColumn id="5" name="0,65"/>
    <tableColumn id="6" name="0,7"/>
    <tableColumn id="7" name="0,75"/>
    <tableColumn id="8" name="0,8"/>
    <tableColumn id="9" name="0,85"/>
    <tableColumn id="10" name="0,9"/>
  </tableColumns>
</table>
</file>

<file path=xl/tables/table9.xml><?xml version="1.0" encoding="utf-8"?>
<table xmlns="http://schemas.openxmlformats.org/spreadsheetml/2006/main" id="9" name="Таблица21" displayName="Таблица21" ref="B3:D9" headerRowCount="1" totalsRowCount="0" totalsRowShown="0">
  <autoFilter ref="B3:D9"/>
  <tableColumns count="3">
    <tableColumn id="1" name="Категорія дороги"/>
    <tableColumn id="2" name="у транспортних одиницях"/>
    <tableColumn id="3" name="у приведених одиницях до легкового автомобіля"/>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7.xml.rels><?xml version="1.0" encoding="UTF-8"?>
<Relationships xmlns="http://schemas.openxmlformats.org/package/2006/relationships"><Relationship Id="rId1" Type="http://schemas.openxmlformats.org/officeDocument/2006/relationships/drawing" Target="../drawings/drawing6.xml"/>
</Relationships>
</file>

<file path=xl/worksheets/_rels/sheet18.xml.rels><?xml version="1.0" encoding="UTF-8"?>
<Relationships xmlns="http://schemas.openxmlformats.org/package/2006/relationships"><Relationship Id="rId1" Type="http://schemas.openxmlformats.org/officeDocument/2006/relationships/drawing" Target="../drawings/drawing7.xml"/>
</Relationships>
</file>

<file path=xl/worksheets/_rels/sheet20.xml.rels><?xml version="1.0" encoding="UTF-8"?>
<Relationships xmlns="http://schemas.openxmlformats.org/package/2006/relationships"><Relationship Id="rId1" Type="http://schemas.openxmlformats.org/officeDocument/2006/relationships/drawing" Target="../drawings/drawing8.xml"/>
</Relationships>
</file>

<file path=xl/worksheets/_rels/sheet21.xml.rels><?xml version="1.0" encoding="UTF-8"?>
<Relationships xmlns="http://schemas.openxmlformats.org/package/2006/relationships"><Relationship Id="rId1" Type="http://schemas.openxmlformats.org/officeDocument/2006/relationships/table" Target="../tables/table9.xml"/>
</Relationships>
</file>

<file path=xl/worksheets/_rels/sheet22.xml.rels><?xml version="1.0" encoding="UTF-8"?>
<Relationships xmlns="http://schemas.openxmlformats.org/package/2006/relationships"><Relationship Id="rId1" Type="http://schemas.openxmlformats.org/officeDocument/2006/relationships/table" Target="../tables/table20.xml"/><Relationship Id="rId2" Type="http://schemas.openxmlformats.org/officeDocument/2006/relationships/table" Target="../tables/table21.xml"/><Relationship Id="rId3" Type="http://schemas.openxmlformats.org/officeDocument/2006/relationships/table" Target="../tables/table22.xml"/><Relationship Id="rId4" Type="http://schemas.openxmlformats.org/officeDocument/2006/relationships/table" Target="../tables/table24.xml"/><Relationship Id="rId5" Type="http://schemas.openxmlformats.org/officeDocument/2006/relationships/table" Target="../tables/table26.xml"/>
</Relationships>
</file>

<file path=xl/worksheets/_rels/sheet23.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4.xml"/><Relationship Id="rId3" Type="http://schemas.openxmlformats.org/officeDocument/2006/relationships/table" Target="../tables/table8.xml"/><Relationship Id="rId4" Type="http://schemas.openxmlformats.org/officeDocument/2006/relationships/table" Target="../tables/table19.xml"/><Relationship Id="rId5" Type="http://schemas.openxmlformats.org/officeDocument/2006/relationships/table" Target="../tables/table23.xml"/><Relationship Id="rId6" Type="http://schemas.openxmlformats.org/officeDocument/2006/relationships/table" Target="../tables/table25.xml"/>
</Relationships>
</file>

<file path=xl/worksheets/_rels/sheet24.xml.rels><?xml version="1.0" encoding="UTF-8"?>
<Relationships xmlns="http://schemas.openxmlformats.org/package/2006/relationships"><Relationship Id="rId1" Type="http://schemas.openxmlformats.org/officeDocument/2006/relationships/table" Target="../tables/table6.xml"/>
</Relationships>
</file>

<file path=xl/worksheets/_rels/sheet25.xml.rels><?xml version="1.0" encoding="UTF-8"?>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 Id="rId3" Type="http://schemas.openxmlformats.org/officeDocument/2006/relationships/table" Target="../tables/table12.xml"/>
</Relationships>
</file>

<file path=xl/worksheets/_rels/sheet27.xml.rels><?xml version="1.0" encoding="UTF-8"?>
<Relationships xmlns="http://schemas.openxmlformats.org/package/2006/relationships"><Relationship Id="rId1" Type="http://schemas.openxmlformats.org/officeDocument/2006/relationships/table" Target="../tables/table14.xml"/>
</Relationships>
</file>

<file path=xl/worksheets/_rels/sheet28.xml.rels><?xml version="1.0" encoding="UTF-8"?>
<Relationships xmlns="http://schemas.openxmlformats.org/package/2006/relationships"><Relationship Id="rId1" Type="http://schemas.openxmlformats.org/officeDocument/2006/relationships/table" Target="../tables/table15.xml"/>
</Relationships>
</file>

<file path=xl/worksheets/_rels/sheet29.xml.rels><?xml version="1.0" encoding="UTF-8"?>
<Relationships xmlns="http://schemas.openxmlformats.org/package/2006/relationships"><Relationship Id="rId1" Type="http://schemas.openxmlformats.org/officeDocument/2006/relationships/table" Target="../tables/table18.xml"/>
</Relationships>
</file>

<file path=xl/worksheets/_rels/sheet30.xml.rels><?xml version="1.0" encoding="UTF-8"?>
<Relationships xmlns="http://schemas.openxmlformats.org/package/2006/relationships"><Relationship Id="rId1" Type="http://schemas.openxmlformats.org/officeDocument/2006/relationships/table" Target="../tables/table3.xml"/>
</Relationships>
</file>

<file path=xl/worksheets/_rels/sheet31.xml.rels><?xml version="1.0" encoding="UTF-8"?>
<Relationships xmlns="http://schemas.openxmlformats.org/package/2006/relationships"><Relationship Id="rId1" Type="http://schemas.openxmlformats.org/officeDocument/2006/relationships/table" Target="../tables/table27.xml"/>
</Relationships>
</file>

<file path=xl/worksheets/_rels/sheet32.xml.rels><?xml version="1.0" encoding="UTF-8"?>
<Relationships xmlns="http://schemas.openxmlformats.org/package/2006/relationships"><Relationship Id="rId1" Type="http://schemas.openxmlformats.org/officeDocument/2006/relationships/table" Target="../tables/table1.xml"/>
</Relationships>
</file>

<file path=xl/worksheets/_rels/sheet33.xml.rels><?xml version="1.0" encoding="UTF-8"?>
<Relationships xmlns="http://schemas.openxmlformats.org/package/2006/relationships"><Relationship Id="rId1" Type="http://schemas.openxmlformats.org/officeDocument/2006/relationships/table" Target="../tables/table13.xml"/>
</Relationships>
</file>

<file path=xl/worksheets/_rels/sheet34.xml.rels><?xml version="1.0" encoding="UTF-8"?>
<Relationships xmlns="http://schemas.openxmlformats.org/package/2006/relationships"><Relationship Id="rId1" Type="http://schemas.openxmlformats.org/officeDocument/2006/relationships/table" Target="../tables/table16.xml"/>
</Relationships>
</file>

<file path=xl/worksheets/_rels/sheet35.xml.rels><?xml version="1.0" encoding="UTF-8"?>
<Relationships xmlns="http://schemas.openxmlformats.org/package/2006/relationships"><Relationship Id="rId1" Type="http://schemas.openxmlformats.org/officeDocument/2006/relationships/table" Target="../tables/table17.xml"/>
</Relationships>
</file>

<file path=xl/worksheets/_rels/sheet36.xml.rels><?xml version="1.0" encoding="UTF-8"?>
<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28.xml"/>
</Relationships>
</file>

<file path=xl/worksheets/_rels/sheet37.xml.rels><?xml version="1.0" encoding="UTF-8"?>
<Relationships xmlns="http://schemas.openxmlformats.org/package/2006/relationships"><Relationship Id="rId1" Type="http://schemas.openxmlformats.org/officeDocument/2006/relationships/table" Target="../tables/table5.xml"/>
</Relationships>
</file>

<file path=xl/worksheets/_rels/sheet40.xml.rels><?xml version="1.0" encoding="UTF-8"?>
<Relationships xmlns="http://schemas.openxmlformats.org/package/2006/relationships"><Relationship Id="rId1" Type="http://schemas.openxmlformats.org/officeDocument/2006/relationships/drawing" Target="../drawings/drawing9.xml"/>
</Relationships>
</file>

<file path=xl/worksheets/_rels/sheet41.xml.rels><?xml version="1.0" encoding="UTF-8"?>
<Relationships xmlns="http://schemas.openxmlformats.org/package/2006/relationships"><Relationship Id="rId1" Type="http://schemas.openxmlformats.org/officeDocument/2006/relationships/drawing" Target="../drawings/drawing10.xml"/>
</Relationships>
</file>

<file path=xl/worksheets/_rels/sheet42.xml.rels><?xml version="1.0" encoding="UTF-8"?>
<Relationships xmlns="http://schemas.openxmlformats.org/package/2006/relationships"><Relationship Id="rId1" Type="http://schemas.openxmlformats.org/officeDocument/2006/relationships/drawing" Target="../drawings/drawing11.xml"/>
</Relationships>
</file>

<file path=xl/worksheets/_rels/sheet43.xml.rels><?xml version="1.0" encoding="UTF-8"?>
<Relationships xmlns="http://schemas.openxmlformats.org/package/2006/relationships"><Relationship Id="rId1" Type="http://schemas.openxmlformats.org/officeDocument/2006/relationships/drawing" Target="../drawings/drawing12.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H48" activeCellId="0" sqref="H48"/>
    </sheetView>
  </sheetViews>
  <sheetFormatPr defaultRowHeight="15.75"/>
  <cols>
    <col collapsed="false" hidden="false" max="1" min="1" style="1" width="1.3659793814433"/>
    <col collapsed="false" hidden="false" max="2" min="2" style="1" width="6.13917525773196"/>
    <col collapsed="false" hidden="false" max="3" min="3" style="1" width="12.5463917525773"/>
    <col collapsed="false" hidden="false" max="5" min="4" style="1" width="10.3659793814433"/>
    <col collapsed="false" hidden="false" max="6" min="6" style="1" width="9.81958762886598"/>
    <col collapsed="false" hidden="true" max="7" min="7" style="1" width="0"/>
    <col collapsed="false" hidden="false" max="8" min="8" style="1" width="43.0979381443299"/>
    <col collapsed="false" hidden="false" max="1025" min="9" style="1" width="9.13917525773196"/>
  </cols>
  <sheetData>
    <row r="1" customFormat="false" ht="15.75" hidden="false" customHeight="false" outlineLevel="0" collapsed="false">
      <c r="A1" s="2" t="s">
        <v>0</v>
      </c>
      <c r="B1" s="3"/>
      <c r="C1" s="3"/>
      <c r="D1" s="0"/>
      <c r="E1" s="0"/>
      <c r="F1" s="0"/>
      <c r="G1" s="0"/>
      <c r="H1" s="1" t="s">
        <v>1</v>
      </c>
      <c r="I1" s="0"/>
      <c r="J1" s="0"/>
      <c r="K1" s="0"/>
      <c r="L1" s="0"/>
      <c r="M1" s="0"/>
      <c r="N1" s="0"/>
      <c r="O1" s="0"/>
    </row>
    <row r="2" customFormat="false" ht="18.75" hidden="false" customHeight="false" outlineLevel="0" collapsed="false">
      <c r="B2" s="4" t="s">
        <v>2</v>
      </c>
      <c r="C2" s="0"/>
      <c r="D2" s="0"/>
      <c r="E2" s="0"/>
      <c r="F2" s="0"/>
      <c r="G2" s="0"/>
      <c r="H2" s="0"/>
      <c r="I2" s="5" t="s">
        <v>3</v>
      </c>
      <c r="J2" s="0"/>
      <c r="K2" s="0"/>
      <c r="L2" s="0"/>
      <c r="M2" s="0"/>
      <c r="N2" s="0"/>
      <c r="O2" s="0"/>
    </row>
    <row r="3" customFormat="false" ht="15.75" hidden="false" customHeight="false" outlineLevel="0" collapsed="false">
      <c r="B3" s="6" t="s">
        <v>4</v>
      </c>
      <c r="C3" s="6"/>
      <c r="D3" s="6"/>
      <c r="E3" s="6"/>
      <c r="F3" s="6"/>
      <c r="G3" s="6"/>
      <c r="H3" s="7" t="s">
        <v>5</v>
      </c>
      <c r="I3" s="0"/>
      <c r="J3" s="0"/>
      <c r="K3" s="0"/>
      <c r="L3" s="0"/>
      <c r="M3" s="0"/>
      <c r="N3" s="0"/>
      <c r="O3" s="0"/>
    </row>
    <row r="4" customFormat="false" ht="15.75" hidden="false" customHeight="false" outlineLevel="0" collapsed="false">
      <c r="B4" s="8" t="s">
        <v>6</v>
      </c>
      <c r="C4" s="8"/>
      <c r="D4" s="8"/>
      <c r="E4" s="8"/>
      <c r="F4" s="8"/>
      <c r="G4" s="8"/>
      <c r="H4" s="9" t="s">
        <v>7</v>
      </c>
      <c r="I4" s="0"/>
      <c r="J4" s="0"/>
      <c r="K4" s="0"/>
      <c r="L4" s="0"/>
      <c r="M4" s="0"/>
      <c r="N4" s="0"/>
      <c r="O4" s="0"/>
    </row>
    <row r="5" customFormat="false" ht="15.75" hidden="false" customHeight="false" outlineLevel="0" collapsed="false">
      <c r="B5" s="10" t="s">
        <v>8</v>
      </c>
      <c r="C5" s="10"/>
      <c r="D5" s="10"/>
      <c r="E5" s="10"/>
      <c r="F5" s="10"/>
      <c r="G5" s="10"/>
      <c r="H5" s="10"/>
      <c r="I5" s="0"/>
      <c r="J5" s="0"/>
      <c r="K5" s="0"/>
      <c r="L5" s="0"/>
      <c r="M5" s="0"/>
      <c r="N5" s="0"/>
      <c r="O5" s="0"/>
    </row>
    <row r="6" customFormat="false" ht="39.75" hidden="false" customHeight="true" outlineLevel="0" collapsed="false">
      <c r="B6" s="11" t="s">
        <v>9</v>
      </c>
      <c r="C6" s="11"/>
      <c r="D6" s="11"/>
      <c r="E6" s="11"/>
      <c r="F6" s="11"/>
      <c r="G6" s="11"/>
      <c r="H6" s="11"/>
      <c r="I6" s="0"/>
      <c r="J6" s="0"/>
      <c r="K6" s="0"/>
      <c r="L6" s="0"/>
      <c r="M6" s="0"/>
      <c r="N6" s="0"/>
      <c r="O6" s="0"/>
    </row>
    <row r="7" customFormat="false" ht="15.75" hidden="false" customHeight="false" outlineLevel="0" collapsed="false">
      <c r="B7" s="12" t="s">
        <v>10</v>
      </c>
      <c r="C7" s="12"/>
      <c r="D7" s="12"/>
      <c r="E7" s="12"/>
      <c r="F7" s="12"/>
      <c r="G7" s="12"/>
      <c r="H7" s="13" t="s">
        <v>11</v>
      </c>
      <c r="I7" s="0"/>
      <c r="J7" s="0"/>
      <c r="K7" s="0"/>
      <c r="L7" s="0"/>
      <c r="M7" s="0"/>
      <c r="N7" s="0"/>
      <c r="O7" s="0"/>
    </row>
    <row r="8" customFormat="false" ht="15.75" hidden="false" customHeight="false" outlineLevel="0" collapsed="false">
      <c r="B8" s="14" t="s">
        <v>12</v>
      </c>
      <c r="C8" s="14"/>
      <c r="D8" s="14"/>
      <c r="E8" s="15" t="str">
        <f aca="false">'Розрахункові параметриПеревірка'!H11</f>
        <v>Суглинок</v>
      </c>
      <c r="F8" s="15"/>
      <c r="G8" s="15"/>
      <c r="H8" s="13" t="s">
        <v>13</v>
      </c>
      <c r="I8" s="0"/>
      <c r="J8" s="0"/>
      <c r="K8" s="0"/>
      <c r="L8" s="0"/>
      <c r="M8" s="0"/>
      <c r="N8" s="0"/>
      <c r="O8" s="0"/>
    </row>
    <row r="9" customFormat="false" ht="36" hidden="false" customHeight="true" outlineLevel="0" collapsed="false">
      <c r="B9" s="16" t="s">
        <v>14</v>
      </c>
      <c r="C9" s="16"/>
      <c r="D9" s="16"/>
      <c r="E9" s="17" t="str">
        <f aca="false">IF(OR(H4='Таблиця 6.1'!B4,H4='Таблиця 6.1'!B5,H4='Таблиця 6.1'!B6),"Капітальний",IF(OR(H4='Таблиця 6.1'!B7,H4='Таблиця 6.1'!B8),"Капітальний АБО Удосконалений полешений",IF(H4='Таблиця 6.1'!B9,"Капітальний АБО Удосконалений полегшений АБО перехідний","error")))</f>
        <v>Капітальний</v>
      </c>
      <c r="F9" s="17"/>
      <c r="G9" s="17"/>
      <c r="H9" s="18" t="s">
        <v>15</v>
      </c>
      <c r="I9" s="0"/>
      <c r="J9" s="0"/>
      <c r="K9" s="0"/>
      <c r="L9" s="0"/>
      <c r="M9" s="0"/>
      <c r="N9" s="0"/>
      <c r="O9" s="0"/>
    </row>
    <row r="10" customFormat="false" ht="23.25" hidden="false" customHeight="true" outlineLevel="0" collapsed="false">
      <c r="B10" s="16" t="s">
        <v>16</v>
      </c>
      <c r="C10" s="16"/>
      <c r="D10" s="16"/>
      <c r="E10" s="16"/>
      <c r="F10" s="19" t="str">
        <f aca="false">IF(OR(H4='Таблиця 6.1'!B4,H4='Таблиця 6.1'!B5,H4='Таблиця 6.1'!B6),"А1 або А2",IF(AND(H4='Таблиця 6.1'!B7,H9='Tаблиця Б РозрахПараметНавантаж'!D13),"А2",IF(AND(H4='Таблиця 6.1'!B7,H9='Tаблиця Б РозрахПараметНавантаж'!D15),"А3",IF(H4='Таблиця 6.1'!B8,"А3",IF(OR(AND(H4='Таблиця 6.1'!B9,H9='Tаблиця Б РозрахПараметНавантаж'!D13),AND(H4='Таблиця 6.1'!B9,H9='Tаблиця Б РозрахПараметНавантаж'!D15)),"А3",IF(AND(H4='Таблиця 6.1'!B9,H9='Tаблиця Б РозрахПараметНавантаж'!D16),"В","error"))))))</f>
        <v>А1 або А2</v>
      </c>
      <c r="G10" s="19"/>
      <c r="H10" s="18" t="s">
        <v>17</v>
      </c>
      <c r="I10" s="0"/>
      <c r="J10" s="0"/>
      <c r="K10" s="0"/>
      <c r="L10" s="0"/>
      <c r="M10" s="0"/>
      <c r="N10" s="0"/>
      <c r="O10" s="0"/>
    </row>
    <row r="11" customFormat="false" ht="15.75" hidden="false" customHeight="false" outlineLevel="0" collapsed="false">
      <c r="B11" s="20" t="s">
        <v>18</v>
      </c>
      <c r="C11" s="20"/>
      <c r="D11" s="20"/>
      <c r="E11" s="20"/>
      <c r="F11" s="21" t="str">
        <f aca="false">'Розрахункові параметриПеревірка'!H32</f>
        <v>4; 6; 8</v>
      </c>
      <c r="G11" s="21"/>
      <c r="H11" s="18" t="n">
        <v>8</v>
      </c>
      <c r="I11" s="0"/>
      <c r="J11" s="22"/>
      <c r="K11" s="22"/>
      <c r="L11" s="22"/>
      <c r="M11" s="22"/>
      <c r="N11" s="22"/>
      <c r="O11" s="22"/>
    </row>
    <row r="12" customFormat="false" ht="32.25" hidden="false" customHeight="true" outlineLevel="0" collapsed="false">
      <c r="B12" s="23" t="s">
        <v>19</v>
      </c>
      <c r="C12" s="23"/>
      <c r="D12" s="23"/>
      <c r="E12" s="23"/>
      <c r="F12" s="23"/>
      <c r="G12" s="23"/>
      <c r="H12" s="24" t="s">
        <v>20</v>
      </c>
      <c r="I12" s="0"/>
      <c r="J12" s="0"/>
      <c r="K12" s="0"/>
    </row>
    <row r="13" customFormat="false" ht="14.25" hidden="false" customHeight="true" outlineLevel="0" collapsed="false">
      <c r="B13" s="25"/>
      <c r="C13" s="25"/>
      <c r="D13" s="25"/>
      <c r="E13" s="25"/>
      <c r="F13" s="25"/>
      <c r="G13" s="0"/>
      <c r="H13" s="0"/>
      <c r="I13" s="0"/>
      <c r="J13" s="0"/>
      <c r="K13" s="0"/>
    </row>
    <row r="14" customFormat="false" ht="31.5" hidden="false" customHeight="false" outlineLevel="0" collapsed="false">
      <c r="B14" s="26" t="s">
        <v>21</v>
      </c>
      <c r="C14" s="27"/>
      <c r="D14" s="28" t="s">
        <v>22</v>
      </c>
      <c r="E14" s="27"/>
      <c r="F14" s="27"/>
      <c r="G14" s="27"/>
      <c r="H14" s="29" t="s">
        <v>23</v>
      </c>
      <c r="I14" s="0"/>
      <c r="J14" s="0"/>
      <c r="K14" s="0"/>
    </row>
    <row r="15" customFormat="false" ht="25.5" hidden="false" customHeight="false" outlineLevel="0" collapsed="false">
      <c r="B15" s="30" t="n">
        <v>1</v>
      </c>
      <c r="C15" s="31"/>
      <c r="D15" s="32" t="n">
        <v>10</v>
      </c>
      <c r="E15" s="33" t="s">
        <v>24</v>
      </c>
      <c r="F15" s="33"/>
      <c r="G15" s="33"/>
      <c r="H15" s="34" t="s">
        <v>25</v>
      </c>
      <c r="I15" s="35" t="s">
        <v>26</v>
      </c>
      <c r="J15" s="0"/>
      <c r="K15" s="0"/>
    </row>
    <row r="16" customFormat="false" ht="25.5" hidden="false" customHeight="false" outlineLevel="0" collapsed="false">
      <c r="B16" s="36" t="n">
        <v>2</v>
      </c>
      <c r="C16" s="37"/>
      <c r="D16" s="38" t="n">
        <v>10</v>
      </c>
      <c r="E16" s="33"/>
      <c r="F16" s="33"/>
      <c r="G16" s="33"/>
      <c r="H16" s="39" t="s">
        <v>27</v>
      </c>
      <c r="I16" s="0"/>
      <c r="J16" s="0"/>
      <c r="K16" s="0"/>
    </row>
    <row r="17" customFormat="false" ht="71.25" hidden="false" customHeight="true" outlineLevel="0" collapsed="false">
      <c r="B17" s="40" t="n">
        <v>3</v>
      </c>
      <c r="C17" s="41"/>
      <c r="D17" s="42" t="n">
        <v>10</v>
      </c>
      <c r="E17" s="33"/>
      <c r="F17" s="33"/>
      <c r="G17" s="33"/>
      <c r="H17" s="43" t="s">
        <v>28</v>
      </c>
      <c r="I17" s="0"/>
      <c r="J17" s="0"/>
      <c r="K17" s="0"/>
    </row>
    <row r="18" customFormat="false" ht="72" hidden="false" customHeight="true" outlineLevel="0" collapsed="false">
      <c r="B18" s="36" t="n">
        <v>4</v>
      </c>
      <c r="C18" s="37"/>
      <c r="D18" s="44" t="n">
        <v>10</v>
      </c>
      <c r="E18" s="45" t="s">
        <v>29</v>
      </c>
      <c r="F18" s="45"/>
      <c r="G18" s="45"/>
      <c r="H18" s="46" t="s">
        <v>30</v>
      </c>
      <c r="I18" s="0"/>
      <c r="J18" s="0"/>
      <c r="K18" s="0"/>
    </row>
    <row r="19" customFormat="false" ht="15.75" hidden="false" customHeight="false" outlineLevel="0" collapsed="false">
      <c r="B19" s="40" t="n">
        <v>5</v>
      </c>
      <c r="C19" s="41"/>
      <c r="D19" s="47" t="n">
        <v>0</v>
      </c>
      <c r="E19" s="45"/>
      <c r="F19" s="45"/>
      <c r="G19" s="45"/>
      <c r="H19" s="46" t="s">
        <v>31</v>
      </c>
      <c r="I19" s="0"/>
      <c r="J19" s="0"/>
      <c r="K19" s="0"/>
    </row>
    <row r="20" customFormat="false" ht="15.75" hidden="false" customHeight="true" outlineLevel="0" collapsed="false">
      <c r="B20" s="36" t="n">
        <v>6</v>
      </c>
      <c r="C20" s="41"/>
      <c r="D20" s="48" t="n">
        <v>10</v>
      </c>
      <c r="E20" s="45"/>
      <c r="F20" s="45"/>
      <c r="G20" s="45"/>
      <c r="H20" s="46" t="s">
        <v>32</v>
      </c>
      <c r="I20" s="0"/>
      <c r="J20" s="0"/>
      <c r="K20" s="0"/>
    </row>
    <row r="21" customFormat="false" ht="101.25" hidden="false" customHeight="true" outlineLevel="0" collapsed="false">
      <c r="B21" s="40" t="n">
        <v>7</v>
      </c>
      <c r="C21" s="49"/>
      <c r="D21" s="44" t="n">
        <v>10</v>
      </c>
      <c r="E21" s="50" t="s">
        <v>33</v>
      </c>
      <c r="F21" s="50"/>
      <c r="G21" s="50"/>
      <c r="H21" s="46" t="s">
        <v>34</v>
      </c>
      <c r="I21" s="0"/>
      <c r="J21" s="0"/>
      <c r="K21" s="0"/>
    </row>
    <row r="22" customFormat="false" ht="25.5" hidden="false" customHeight="false" outlineLevel="0" collapsed="false">
      <c r="B22" s="36" t="n">
        <v>8</v>
      </c>
      <c r="C22" s="51"/>
      <c r="D22" s="52" t="n">
        <v>0</v>
      </c>
      <c r="E22" s="50"/>
      <c r="F22" s="50"/>
      <c r="G22" s="50"/>
      <c r="H22" s="46" t="s">
        <v>34</v>
      </c>
      <c r="I22" s="0"/>
      <c r="J22" s="0"/>
      <c r="K22" s="0"/>
    </row>
    <row r="23" customFormat="false" ht="47.25" hidden="false" customHeight="true" outlineLevel="0" collapsed="false">
      <c r="B23" s="53" t="n">
        <v>9</v>
      </c>
      <c r="C23" s="54"/>
      <c r="D23" s="55" t="n">
        <v>10</v>
      </c>
      <c r="E23" s="45" t="s">
        <v>35</v>
      </c>
      <c r="F23" s="45"/>
      <c r="G23" s="45"/>
      <c r="H23" s="56" t="s">
        <v>36</v>
      </c>
      <c r="I23" s="0"/>
      <c r="J23" s="0"/>
      <c r="K23" s="0"/>
    </row>
    <row r="24" customFormat="false" ht="38.25" hidden="false" customHeight="true" outlineLevel="0" collapsed="false">
      <c r="B24" s="57" t="n">
        <v>10</v>
      </c>
      <c r="C24" s="58"/>
      <c r="D24" s="59" t="n">
        <v>10</v>
      </c>
      <c r="E24" s="50" t="s">
        <v>37</v>
      </c>
      <c r="F24" s="50"/>
      <c r="G24" s="60"/>
      <c r="H24" s="61" t="s">
        <v>38</v>
      </c>
      <c r="I24" s="0"/>
      <c r="J24" s="0"/>
      <c r="K24" s="0"/>
    </row>
    <row r="25" customFormat="false" ht="15.75" hidden="false" customHeight="false" outlineLevel="0" collapsed="false">
      <c r="B25" s="62"/>
      <c r="C25" s="62"/>
      <c r="D25" s="62"/>
      <c r="E25" s="62"/>
      <c r="F25" s="62"/>
      <c r="G25" s="62"/>
      <c r="H25" s="0"/>
      <c r="I25" s="0"/>
      <c r="J25" s="0"/>
      <c r="K25" s="0"/>
    </row>
    <row r="26" customFormat="false" ht="15.75" hidden="false" customHeight="false" outlineLevel="0" collapsed="false">
      <c r="B26" s="63" t="s">
        <v>39</v>
      </c>
      <c r="C26" s="64"/>
      <c r="D26" s="65" t="n">
        <f aca="false">SUM(D15:D24)</f>
        <v>80</v>
      </c>
      <c r="E26" s="0"/>
      <c r="F26" s="0"/>
      <c r="G26" s="0"/>
      <c r="H26" s="0"/>
      <c r="I26" s="0"/>
      <c r="J26" s="0"/>
      <c r="K26" s="0"/>
    </row>
    <row r="27" customFormat="false" ht="30.75" hidden="false" customHeight="true" outlineLevel="0" collapsed="false">
      <c r="B27" s="66" t="s">
        <v>40</v>
      </c>
      <c r="C27" s="66"/>
      <c r="D27" s="66"/>
      <c r="E27" s="66"/>
      <c r="F27" s="66"/>
      <c r="G27" s="66"/>
      <c r="H27" s="67" t="n">
        <v>10800000</v>
      </c>
      <c r="I27" s="0"/>
      <c r="J27" s="0"/>
      <c r="K27" s="0"/>
    </row>
    <row r="28" customFormat="false" ht="15.75" hidden="false" customHeight="false" outlineLevel="0" collapsed="false">
      <c r="B28" s="68" t="s">
        <v>41</v>
      </c>
      <c r="C28" s="68"/>
      <c r="D28" s="68"/>
      <c r="E28" s="68"/>
      <c r="F28" s="68"/>
      <c r="G28" s="68"/>
      <c r="H28" s="69" t="n">
        <v>15</v>
      </c>
      <c r="I28" s="0"/>
      <c r="J28" s="0"/>
      <c r="K28" s="0"/>
    </row>
    <row r="29" customFormat="false" ht="15.75" hidden="false" customHeight="false" outlineLevel="0" collapsed="false">
      <c r="B29" s="0"/>
      <c r="C29" s="0"/>
      <c r="D29" s="0"/>
      <c r="E29" s="0"/>
      <c r="F29" s="0"/>
      <c r="G29" s="0"/>
      <c r="H29" s="0"/>
      <c r="I29" s="0"/>
      <c r="J29" s="0"/>
      <c r="K29" s="0"/>
    </row>
    <row r="30" customFormat="false" ht="15.75" hidden="false" customHeight="false" outlineLevel="0" collapsed="false">
      <c r="B30" s="0"/>
      <c r="C30" s="0"/>
      <c r="D30" s="0"/>
      <c r="E30" s="0"/>
      <c r="F30" s="70" t="n">
        <v>1</v>
      </c>
      <c r="G30" s="0"/>
      <c r="H30" s="71" t="s">
        <v>42</v>
      </c>
      <c r="I30" s="0"/>
      <c r="J30" s="0"/>
      <c r="K30" s="0"/>
    </row>
    <row r="31" customFormat="false" ht="15.75" hidden="false" customHeight="false" outlineLevel="0" collapsed="false">
      <c r="B31" s="0"/>
      <c r="C31" s="0"/>
      <c r="D31" s="0"/>
      <c r="E31" s="0"/>
      <c r="F31" s="70" t="n">
        <v>2</v>
      </c>
      <c r="G31" s="0"/>
      <c r="H31" s="72" t="s">
        <v>43</v>
      </c>
      <c r="I31" s="0"/>
      <c r="J31" s="0"/>
      <c r="K31" s="0"/>
    </row>
    <row r="32" customFormat="false" ht="15.75" hidden="false" customHeight="false" outlineLevel="0" collapsed="false">
      <c r="B32" s="0"/>
      <c r="C32" s="0"/>
      <c r="D32" s="0"/>
      <c r="E32" s="0"/>
      <c r="F32" s="70"/>
      <c r="G32" s="0"/>
      <c r="H32" s="72" t="s">
        <v>44</v>
      </c>
      <c r="I32" s="0"/>
      <c r="J32" s="0"/>
      <c r="K32" s="0"/>
    </row>
    <row r="33" customFormat="false" ht="15.75" hidden="false" customHeight="false" outlineLevel="0" collapsed="false">
      <c r="B33" s="0"/>
      <c r="C33" s="0"/>
      <c r="D33" s="0"/>
      <c r="E33" s="0"/>
      <c r="F33" s="70" t="n">
        <v>3</v>
      </c>
      <c r="G33" s="0"/>
      <c r="H33" s="72" t="s">
        <v>45</v>
      </c>
      <c r="I33" s="0"/>
      <c r="J33" s="0"/>
      <c r="K33" s="0"/>
    </row>
    <row r="34" customFormat="false" ht="15.75" hidden="false" customHeight="false" outlineLevel="0" collapsed="false">
      <c r="B34" s="0"/>
      <c r="C34" s="0"/>
      <c r="D34" s="0"/>
      <c r="E34" s="0"/>
      <c r="F34" s="70" t="n">
        <v>4</v>
      </c>
      <c r="G34" s="0"/>
      <c r="H34" s="72" t="s">
        <v>46</v>
      </c>
      <c r="I34" s="0"/>
      <c r="J34" s="0"/>
      <c r="K34" s="0"/>
    </row>
    <row r="35" customFormat="false" ht="15.75" hidden="false" customHeight="false" outlineLevel="0" collapsed="false">
      <c r="B35" s="0"/>
      <c r="C35" s="0"/>
      <c r="D35" s="0"/>
      <c r="E35" s="0"/>
      <c r="F35" s="70" t="n">
        <v>5</v>
      </c>
      <c r="G35" s="0"/>
      <c r="H35" s="72" t="s">
        <v>47</v>
      </c>
      <c r="I35" s="0"/>
      <c r="J35" s="0"/>
      <c r="K35" s="0"/>
    </row>
    <row r="36" customFormat="false" ht="15.75" hidden="false" customHeight="false" outlineLevel="0" collapsed="false">
      <c r="B36" s="0"/>
      <c r="C36" s="0"/>
      <c r="D36" s="0"/>
      <c r="E36" s="0"/>
      <c r="F36" s="70" t="n">
        <v>6</v>
      </c>
      <c r="G36" s="0"/>
      <c r="H36" s="73" t="s">
        <v>48</v>
      </c>
      <c r="I36" s="0"/>
      <c r="J36" s="0"/>
      <c r="K36" s="0"/>
    </row>
    <row r="37" customFormat="false" ht="15.75" hidden="false" customHeight="false" outlineLevel="0" collapsed="false">
      <c r="B37" s="0"/>
      <c r="C37" s="0"/>
      <c r="D37" s="0"/>
      <c r="E37" s="0"/>
      <c r="F37" s="0"/>
      <c r="G37" s="0"/>
      <c r="H37" s="0"/>
      <c r="I37" s="0"/>
      <c r="J37" s="0"/>
      <c r="K37" s="0"/>
    </row>
    <row r="38" customFormat="false" ht="15.75" hidden="false" customHeight="false" outlineLevel="0" collapsed="false">
      <c r="B38" s="0"/>
      <c r="C38" s="0"/>
      <c r="D38" s="0"/>
      <c r="E38" s="0"/>
      <c r="F38" s="0"/>
      <c r="G38" s="0"/>
      <c r="H38" s="0"/>
      <c r="I38" s="0"/>
      <c r="J38" s="0"/>
      <c r="K38" s="0"/>
    </row>
    <row r="39" customFormat="false" ht="15.75" hidden="false" customHeight="false" outlineLevel="0" collapsed="false">
      <c r="B39" s="0"/>
      <c r="C39" s="0"/>
      <c r="D39" s="0"/>
      <c r="E39" s="0"/>
      <c r="F39" s="0"/>
      <c r="G39" s="0"/>
      <c r="H39" s="0"/>
      <c r="I39" s="0"/>
      <c r="J39" s="0"/>
      <c r="K39" s="0"/>
    </row>
    <row r="40" customFormat="false" ht="15.75" hidden="false" customHeight="false" outlineLevel="0" collapsed="false">
      <c r="B40" s="70"/>
      <c r="C40" s="74" t="s">
        <v>49</v>
      </c>
      <c r="D40" s="74" t="s">
        <v>50</v>
      </c>
      <c r="E40" s="74" t="s">
        <v>51</v>
      </c>
      <c r="F40" s="74" t="s">
        <v>52</v>
      </c>
      <c r="G40" s="74" t="s">
        <v>51</v>
      </c>
      <c r="H40" s="74" t="s">
        <v>53</v>
      </c>
      <c r="I40" s="74" t="s">
        <v>54</v>
      </c>
      <c r="J40" s="74" t="s">
        <v>55</v>
      </c>
      <c r="K40" s="0"/>
    </row>
    <row r="41" customFormat="false" ht="15.75" hidden="false" customHeight="false" outlineLevel="0" collapsed="false">
      <c r="B41" s="70" t="s">
        <v>56</v>
      </c>
      <c r="C41" s="70" t="n">
        <v>60000000</v>
      </c>
      <c r="D41" s="70" t="n">
        <v>32000000</v>
      </c>
      <c r="E41" s="70" t="n">
        <v>10000000</v>
      </c>
      <c r="F41" s="70" t="n">
        <v>3000000</v>
      </c>
      <c r="G41" s="70"/>
      <c r="H41" s="70" t="n">
        <v>800000</v>
      </c>
      <c r="I41" s="70" t="n">
        <v>300000</v>
      </c>
      <c r="J41" s="70" t="n">
        <v>100000</v>
      </c>
      <c r="K41" s="0"/>
    </row>
    <row r="42" customFormat="false" ht="15.75" hidden="false" customHeight="false" outlineLevel="0" collapsed="false">
      <c r="B42" s="70" t="s">
        <v>57</v>
      </c>
      <c r="C42" s="70" t="n">
        <v>32000000</v>
      </c>
      <c r="D42" s="70" t="n">
        <v>10000000</v>
      </c>
      <c r="E42" s="70" t="n">
        <v>3000000</v>
      </c>
      <c r="F42" s="70" t="n">
        <v>800000</v>
      </c>
      <c r="G42" s="70"/>
      <c r="H42" s="70" t="n">
        <v>300000</v>
      </c>
      <c r="I42" s="70" t="n">
        <v>100000</v>
      </c>
      <c r="J42" s="70" t="n">
        <v>50000</v>
      </c>
      <c r="K42" s="0"/>
    </row>
    <row r="43" customFormat="false" ht="15.75" hidden="false" customHeight="false" outlineLevel="0" collapsed="false">
      <c r="B43" s="70"/>
      <c r="C43" s="75" t="n">
        <f aca="false">C41*$K$44</f>
        <v>32439993.0748455</v>
      </c>
      <c r="D43" s="75" t="n">
        <f aca="false">D41*$K$44</f>
        <v>17301329.6399176</v>
      </c>
      <c r="E43" s="75" t="n">
        <f aca="false">E41*$K$44</f>
        <v>5406665.51247424</v>
      </c>
      <c r="F43" s="75" t="n">
        <f aca="false">F41*$K$44</f>
        <v>1621999.65374227</v>
      </c>
      <c r="G43" s="75" t="n">
        <f aca="false">G41*$K$44</f>
        <v>0</v>
      </c>
      <c r="H43" s="75" t="n">
        <f aca="false">H41*$K$44</f>
        <v>432533.24099794</v>
      </c>
      <c r="I43" s="75" t="n">
        <f aca="false">I41*$K$44</f>
        <v>162199.965374227</v>
      </c>
      <c r="J43" s="75" t="n">
        <f aca="false">J41*$K$44</f>
        <v>54066.6551247424</v>
      </c>
      <c r="K43" s="70" t="s">
        <v>58</v>
      </c>
    </row>
    <row r="44" customFormat="false" ht="15.75" hidden="false" customHeight="false" outlineLevel="0" collapsed="false">
      <c r="B44" s="70"/>
      <c r="C44" s="75" t="n">
        <f aca="false">C42*$K$44</f>
        <v>17301329.6399176</v>
      </c>
      <c r="D44" s="75" t="n">
        <f aca="false">D42*$K$44</f>
        <v>5406665.51247424</v>
      </c>
      <c r="E44" s="75" t="n">
        <f aca="false">E42*$K$44</f>
        <v>1621999.65374227</v>
      </c>
      <c r="F44" s="75" t="n">
        <f aca="false">F42*$K$44</f>
        <v>432533.24099794</v>
      </c>
      <c r="G44" s="75" t="n">
        <f aca="false">G42*$K$44</f>
        <v>0</v>
      </c>
      <c r="H44" s="75" t="n">
        <f aca="false">H42*$K$44</f>
        <v>162199.965374227</v>
      </c>
      <c r="I44" s="75" t="n">
        <f aca="false">I42*$K$44</f>
        <v>54066.6551247424</v>
      </c>
      <c r="J44" s="75" t="n">
        <f aca="false">J42*$K$44</f>
        <v>27033.3275623712</v>
      </c>
      <c r="K44" s="70" t="n">
        <f aca="false">(100/115)^4.4</f>
        <v>0.540666551247424</v>
      </c>
    </row>
  </sheetData>
  <mergeCells count="23">
    <mergeCell ref="B3:G3"/>
    <mergeCell ref="B4:G4"/>
    <mergeCell ref="B5:H5"/>
    <mergeCell ref="B6:H6"/>
    <mergeCell ref="B7:G7"/>
    <mergeCell ref="B8:D8"/>
    <mergeCell ref="E8:G8"/>
    <mergeCell ref="B9:D9"/>
    <mergeCell ref="E9:G9"/>
    <mergeCell ref="B10:E10"/>
    <mergeCell ref="F10:G10"/>
    <mergeCell ref="B11:E11"/>
    <mergeCell ref="F11:G11"/>
    <mergeCell ref="J11:O11"/>
    <mergeCell ref="B12:G12"/>
    <mergeCell ref="E15:G17"/>
    <mergeCell ref="E18:G20"/>
    <mergeCell ref="E21:G22"/>
    <mergeCell ref="E23:G23"/>
    <mergeCell ref="E24:F24"/>
    <mergeCell ref="B25:G25"/>
    <mergeCell ref="B27:G27"/>
    <mergeCell ref="B28:G28"/>
  </mergeCells>
  <dataValidations count="4">
    <dataValidation allowBlank="true" operator="between" prompt="Виберіть з випадаючого списку конструктивні особливості використовуваних дренажних конструкцій&#10;" promptTitle="Конструктивні особливості" showDropDown="false" showErrorMessage="true" showInputMessage="true" sqref="H13" type="none">
      <formula1>0</formula1>
      <formula2>0</formula2>
    </dataValidation>
    <dataValidation allowBlank="true" operator="between" prompt="Введіть товщину шару ділянки дорожньго покриття&#10;" promptTitle="Товщина шару" showDropDown="false" showErrorMessage="true" showInputMessage="true" sqref="D15:D24" type="whole">
      <formula1>0</formula1>
      <formula2>50</formula2>
    </dataValidation>
    <dataValidation allowBlank="true" operator="between" prompt="Введіть сумарну кількість проїздів розрахункового навантаження за строк служби" promptTitle="СумКількПроїздРозрахНав" showDropDown="false" showErrorMessage="true" showInputMessage="true" sqref="H27" type="none">
      <formula1>0</formula1>
      <formula2>0</formula2>
    </dataValidation>
    <dataValidation allowBlank="true" operator="between" prompt="Введіть значення строку служби ділянки дороги, що розраховується (можливо згідно ДБН В. 2.3-4 додаток Е)" promptTitle="Строк служби" showDropDown="false" showErrorMessage="true" showInputMessage="true" sqref="H28" type="whole">
      <formula1>0</formula1>
      <formula2>100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R30"/>
  <sheetViews>
    <sheetView windowProtection="false" showFormulas="false" showGridLines="true" showRowColHeaders="true" showZeros="true" rightToLeft="false" tabSelected="false" showOutlineSymbols="true" defaultGridColor="true" view="normal" topLeftCell="C3" colorId="64" zoomScale="65" zoomScaleNormal="65" zoomScalePageLayoutView="100" workbookViewId="0">
      <selection pane="topLeft" activeCell="A57" activeCellId="0" sqref="A57"/>
    </sheetView>
  </sheetViews>
  <sheetFormatPr defaultRowHeight="15"/>
  <cols>
    <col collapsed="false" hidden="false" max="1" min="1" style="359" width="9.13917525773196"/>
    <col collapsed="false" hidden="false" max="2" min="2" style="359" width="57.9639175257732"/>
    <col collapsed="false" hidden="false" max="3" min="3" style="359" width="7.91237113402062"/>
    <col collapsed="false" hidden="false" max="4" min="4" style="359" width="12.2731958762887"/>
    <col collapsed="false" hidden="false" max="5" min="5" style="359" width="15.819587628866"/>
    <col collapsed="false" hidden="false" max="6" min="6" style="359" width="7.09278350515464"/>
    <col collapsed="false" hidden="false" max="7" min="7" style="359" width="7.5"/>
    <col collapsed="false" hidden="false" max="8" min="8" style="359" width="10.3659793814433"/>
    <col collapsed="false" hidden="false" max="9" min="9" style="359" width="9.13917525773196"/>
    <col collapsed="false" hidden="false" max="10" min="10" style="359" width="7.77319587628866"/>
    <col collapsed="false" hidden="false" max="11" min="11" style="359" width="13.3659793814433"/>
    <col collapsed="false" hidden="false" max="12" min="12" style="359" width="9.13917525773196"/>
    <col collapsed="false" hidden="false" max="13" min="13" style="359" width="68.7371134020619"/>
    <col collapsed="false" hidden="false" max="14" min="14" style="359" width="13.5"/>
    <col collapsed="false" hidden="false" max="15" min="15" style="359" width="1.77319587628866"/>
    <col collapsed="false" hidden="false" max="17" min="16" style="359" width="7.09278350515464"/>
    <col collapsed="false" hidden="false" max="1025" min="18" style="359" width="9.13917525773196"/>
  </cols>
  <sheetData>
    <row r="1" customFormat="false" ht="19.5" hidden="false" customHeight="true" outlineLevel="0" collapsed="false">
      <c r="B1" s="242" t="s">
        <v>144</v>
      </c>
      <c r="C1" s="242"/>
      <c r="D1" s="242"/>
      <c r="E1" s="242"/>
      <c r="F1" s="242"/>
      <c r="G1" s="242"/>
      <c r="H1" s="242"/>
      <c r="I1" s="0"/>
      <c r="J1" s="0"/>
      <c r="K1" s="0"/>
      <c r="L1" s="0"/>
      <c r="M1" s="4" t="s">
        <v>209</v>
      </c>
      <c r="N1" s="0"/>
      <c r="O1" s="0"/>
      <c r="P1" s="0"/>
      <c r="Q1" s="0"/>
      <c r="R1" s="0"/>
    </row>
    <row r="2" customFormat="false" ht="19.5" hidden="false" customHeight="true" outlineLevel="0" collapsed="false">
      <c r="B2" s="439" t="s">
        <v>210</v>
      </c>
      <c r="C2" s="439"/>
      <c r="D2" s="439"/>
      <c r="E2" s="439"/>
      <c r="F2" s="439"/>
      <c r="G2" s="439"/>
      <c r="H2" s="83" t="n">
        <f aca="false">'Розрахункові параметриПеревірка'!H7</f>
        <v>1.39</v>
      </c>
      <c r="I2" s="0"/>
      <c r="J2" s="0"/>
      <c r="K2" s="0"/>
      <c r="L2" s="0"/>
      <c r="M2" s="244" t="s">
        <v>211</v>
      </c>
      <c r="N2" s="245" t="n">
        <f aca="false">SUM(C26:C28)</f>
        <v>0.182625459664214</v>
      </c>
      <c r="O2" s="0"/>
      <c r="P2" s="0"/>
      <c r="Q2" s="0"/>
      <c r="R2" s="0"/>
    </row>
    <row r="3" customFormat="false" ht="18.75" hidden="false" customHeight="true" outlineLevel="0" collapsed="false">
      <c r="B3" s="246" t="str">
        <f aca="false">РозрахДопПружПрогин!B7</f>
        <v>Діаметр розрахункового відбитку колеса, D, м</v>
      </c>
      <c r="C3" s="246"/>
      <c r="D3" s="246"/>
      <c r="E3" s="246"/>
      <c r="F3" s="246"/>
      <c r="G3" s="246"/>
      <c r="H3" s="247" t="n">
        <f aca="false">РозрахДопПружПрогин!H7</f>
        <v>0.344917848176305</v>
      </c>
      <c r="I3" s="0"/>
      <c r="J3" s="0"/>
      <c r="K3" s="0"/>
      <c r="L3" s="0"/>
      <c r="M3" s="248" t="s">
        <v>212</v>
      </c>
      <c r="N3" s="249" t="n">
        <f aca="false">SUM(D26*C26,D27*C27,D28*C28)/N2</f>
        <v>3536.27894860003</v>
      </c>
      <c r="O3" s="0"/>
      <c r="P3" s="0"/>
      <c r="Q3" s="0"/>
      <c r="R3" s="0"/>
    </row>
    <row r="4" customFormat="false" ht="37.5" hidden="false" customHeight="true" outlineLevel="0" collapsed="false">
      <c r="B4" s="250" t="s">
        <v>213</v>
      </c>
      <c r="C4" s="250"/>
      <c r="D4" s="250"/>
      <c r="E4" s="250"/>
      <c r="F4" s="250"/>
      <c r="G4" s="250"/>
      <c r="H4" s="251" t="n">
        <f aca="false">'Розрахункові параметриПеревірка'!Z60*H14*H16*H15</f>
        <v>0.713350997992306</v>
      </c>
      <c r="I4" s="0"/>
      <c r="J4" s="0"/>
      <c r="K4" s="0"/>
      <c r="L4" s="0"/>
      <c r="M4" s="246" t="s">
        <v>214</v>
      </c>
      <c r="N4" s="252" t="n">
        <f aca="false">1/N3*N2*SQRT(SUM((D26*C26)^2*(J26*K26)^2,(D27*C27)^2*(J27*K27)^2,(D28*C28)^2*(J28*K28)^2))</f>
        <v>0.000471000526101177</v>
      </c>
      <c r="O4" s="0"/>
      <c r="P4" s="0"/>
      <c r="Q4" s="0"/>
      <c r="R4" s="0"/>
    </row>
    <row r="5" customFormat="false" ht="18.75" hidden="false" customHeight="true" outlineLevel="0" collapsed="false">
      <c r="B5" s="250" t="s">
        <v>215</v>
      </c>
      <c r="C5" s="250"/>
      <c r="D5" s="250"/>
      <c r="E5" s="250"/>
      <c r="F5" s="250"/>
      <c r="G5" s="250"/>
      <c r="H5" s="251" t="n">
        <f aca="false">H6*H7*H8</f>
        <v>0.507762505742448</v>
      </c>
      <c r="I5" s="0"/>
      <c r="J5" s="0"/>
      <c r="K5" s="0"/>
      <c r="L5" s="0"/>
      <c r="M5" s="20" t="s">
        <v>216</v>
      </c>
      <c r="N5" s="253" t="n">
        <f aca="false">1/N2*SQRT(SUM((J26*C26)^2,(J27*C27)^2,(J28*C28)^2))</f>
        <v>0.163620032958825</v>
      </c>
      <c r="O5" s="0"/>
      <c r="P5" s="0"/>
      <c r="Q5" s="0"/>
      <c r="R5" s="0"/>
    </row>
    <row r="6" customFormat="false" ht="18.75" hidden="false" customHeight="true" outlineLevel="0" collapsed="false">
      <c r="B6" s="250" t="s">
        <v>217</v>
      </c>
      <c r="C6" s="250"/>
      <c r="D6" s="250"/>
      <c r="E6" s="250"/>
      <c r="F6" s="250"/>
      <c r="G6" s="250"/>
      <c r="H6" s="251" t="n">
        <f aca="false">1.28*H12*H13*((1-0.637*ATAN(H11))*ATAN(1/H11)^2)</f>
        <v>0.746709567268306</v>
      </c>
      <c r="I6" s="0"/>
      <c r="J6" s="0"/>
      <c r="K6" s="0"/>
      <c r="L6" s="0"/>
      <c r="M6" s="250" t="s">
        <v>218</v>
      </c>
      <c r="N6" s="353" t="n">
        <f aca="false">VLOOKUP('Вхідні параметри'!H8,Таблица611[],5,0)</f>
        <v>0.2</v>
      </c>
      <c r="O6" s="0"/>
      <c r="P6" s="0"/>
      <c r="Q6" s="0"/>
      <c r="R6" s="0"/>
    </row>
    <row r="7" customFormat="false" ht="18.75" hidden="false" customHeight="true" outlineLevel="0" collapsed="false">
      <c r="B7" s="250" t="s">
        <v>219</v>
      </c>
      <c r="C7" s="250"/>
      <c r="D7" s="250"/>
      <c r="E7" s="250"/>
      <c r="F7" s="250"/>
      <c r="G7" s="250"/>
      <c r="H7" s="255" t="n">
        <f aca="false">'Розрахункові параметриПеревірка'!H25</f>
        <v>0.8</v>
      </c>
      <c r="I7" s="0"/>
      <c r="J7" s="0"/>
      <c r="K7" s="0"/>
      <c r="L7" s="0"/>
      <c r="M7" s="250" t="s">
        <v>220</v>
      </c>
      <c r="N7" s="353" t="n">
        <f aca="false">VLOOKUP('Вхідні параметри'!H8,Таблица611[],6,0)</f>
        <v>0.27</v>
      </c>
      <c r="O7" s="0"/>
      <c r="P7" s="0"/>
      <c r="Q7" s="0"/>
      <c r="R7" s="0"/>
    </row>
    <row r="8" customFormat="false" ht="15.75" hidden="false" customHeight="true" outlineLevel="0" collapsed="false">
      <c r="B8" s="250" t="s">
        <v>221</v>
      </c>
      <c r="C8" s="250"/>
      <c r="D8" s="250"/>
      <c r="E8" s="250"/>
      <c r="F8" s="250"/>
      <c r="G8" s="250"/>
      <c r="H8" s="255" t="n">
        <v>0.85</v>
      </c>
      <c r="I8" s="0"/>
      <c r="J8" s="0"/>
      <c r="K8" s="0"/>
      <c r="L8" s="0"/>
      <c r="M8" s="257" t="s">
        <v>88</v>
      </c>
      <c r="N8" s="258" t="n">
        <f aca="false">'Розрахункові параметриПеревірка'!H21</f>
        <v>16.3992</v>
      </c>
      <c r="O8" s="0"/>
      <c r="P8" s="0"/>
      <c r="Q8" s="0"/>
      <c r="R8" s="0"/>
    </row>
    <row r="9" customFormat="false" ht="15.75" hidden="false" customHeight="true" outlineLevel="0" collapsed="false">
      <c r="B9" s="259" t="s">
        <v>222</v>
      </c>
      <c r="C9" s="259"/>
      <c r="D9" s="259"/>
      <c r="E9" s="259"/>
      <c r="F9" s="259"/>
      <c r="G9" s="259"/>
      <c r="H9" s="260" t="n">
        <f aca="false">0.083*(LN(H12))^2.2+1.87</f>
        <v>2.11879375358917</v>
      </c>
      <c r="I9" s="0"/>
      <c r="J9" s="0"/>
      <c r="K9" s="0"/>
      <c r="L9" s="0"/>
      <c r="M9" s="261" t="s">
        <v>223</v>
      </c>
      <c r="N9" s="358" t="n">
        <f aca="false">H3</f>
        <v>0.344917848176305</v>
      </c>
      <c r="O9" s="0"/>
      <c r="P9" s="0"/>
      <c r="Q9" s="0"/>
      <c r="R9" s="0"/>
    </row>
    <row r="10" customFormat="false" ht="16.5" hidden="false" customHeight="true" outlineLevel="0" collapsed="false">
      <c r="B10" s="263" t="s">
        <v>224</v>
      </c>
      <c r="C10" s="263"/>
      <c r="D10" s="263"/>
      <c r="E10" s="263"/>
      <c r="F10" s="263"/>
      <c r="G10" s="263"/>
      <c r="H10" s="264" t="n">
        <f aca="false">0.00004*H12^(1.4)+0.007</f>
        <v>0.00740132237679612</v>
      </c>
      <c r="I10" s="0"/>
      <c r="J10" s="0"/>
      <c r="K10" s="0"/>
      <c r="L10" s="0"/>
      <c r="M10" s="265" t="s">
        <v>225</v>
      </c>
      <c r="N10" s="358" t="n">
        <f aca="false">VLOOKUP('Вхідні параметри'!H4,'Таблиця 6.1'!B4:M9,10,0)</f>
        <v>0.12</v>
      </c>
      <c r="O10" s="0"/>
      <c r="P10" s="0"/>
      <c r="Q10" s="0"/>
      <c r="R10" s="0"/>
    </row>
    <row r="11" customFormat="false" ht="18.75" hidden="false" customHeight="true" outlineLevel="0" collapsed="false">
      <c r="B11" s="266" t="s">
        <v>226</v>
      </c>
      <c r="C11" s="266"/>
      <c r="D11" s="266"/>
      <c r="E11" s="266"/>
      <c r="F11" s="266"/>
      <c r="G11" s="266"/>
      <c r="H11" s="260" t="n">
        <f aca="false">H9*H13^(0.9)+H10</f>
        <v>1.20290185117309</v>
      </c>
      <c r="I11" s="0"/>
      <c r="J11" s="0"/>
      <c r="K11" s="0"/>
      <c r="L11" s="0"/>
      <c r="M11" s="267" t="s">
        <v>227</v>
      </c>
      <c r="N11" s="191" t="n">
        <f aca="false">VLOOKUP('Вхідні параметри'!H4,'Таблиця 6.1'!B4:M9,7,0)</f>
        <v>0.12</v>
      </c>
      <c r="O11" s="0"/>
      <c r="P11" s="0"/>
      <c r="Q11" s="0"/>
      <c r="R11" s="0"/>
    </row>
    <row r="12" customFormat="false" ht="15.75" hidden="false" customHeight="true" outlineLevel="0" collapsed="false">
      <c r="B12" s="268" t="s">
        <v>228</v>
      </c>
      <c r="C12" s="268"/>
      <c r="D12" s="268"/>
      <c r="E12" s="268"/>
      <c r="F12" s="268"/>
      <c r="G12" s="268"/>
      <c r="H12" s="269" t="n">
        <f aca="false">E26/E29</f>
        <v>5.19169965597353</v>
      </c>
      <c r="I12" s="0"/>
      <c r="J12" s="0"/>
      <c r="K12" s="0"/>
      <c r="L12" s="0"/>
      <c r="M12" s="261" t="s">
        <v>304</v>
      </c>
      <c r="N12" s="262" t="n">
        <f aca="false">MROUND((H17-1)/SQRT(N11^2*H17^2+N10^2),0.2)</f>
        <v>2</v>
      </c>
      <c r="O12" s="0"/>
      <c r="P12" s="0"/>
      <c r="Q12" s="0"/>
      <c r="R12" s="0"/>
    </row>
    <row r="13" customFormat="false" ht="16.5" hidden="false" customHeight="true" outlineLevel="0" collapsed="false">
      <c r="B13" s="268" t="s">
        <v>230</v>
      </c>
      <c r="C13" s="268"/>
      <c r="D13" s="268"/>
      <c r="E13" s="268"/>
      <c r="F13" s="268"/>
      <c r="G13" s="268"/>
      <c r="H13" s="271" t="n">
        <f aca="false">SUM(C26:C28)/H3</f>
        <v>0.529475237740858</v>
      </c>
      <c r="I13" s="272"/>
      <c r="J13" s="0"/>
      <c r="K13" s="0"/>
      <c r="L13" s="0"/>
      <c r="M13" s="273" t="s">
        <v>173</v>
      </c>
      <c r="N13" s="440" t="n">
        <f aca="false">0.5+0.5*ERF(N12/SQRT(2))</f>
        <v>0.977249868051821</v>
      </c>
      <c r="O13" s="0"/>
      <c r="P13" s="0"/>
      <c r="Q13" s="0"/>
      <c r="R13" s="0"/>
    </row>
    <row r="14" customFormat="false" ht="15.75" hidden="false" customHeight="true" outlineLevel="0" collapsed="false">
      <c r="B14" s="268" t="s">
        <v>231</v>
      </c>
      <c r="C14" s="268"/>
      <c r="D14" s="268"/>
      <c r="E14" s="268"/>
      <c r="F14" s="268"/>
      <c r="G14" s="268"/>
      <c r="H14" s="275" t="n">
        <f aca="false">VLOOKUP('Вхідні параметри'!H17,Таблица22[[Матеріал]:[km]],9,0)</f>
        <v>0.75</v>
      </c>
      <c r="I14" s="276"/>
      <c r="J14" s="276"/>
      <c r="K14" s="276"/>
      <c r="L14" s="276"/>
      <c r="M14" s="277" t="s">
        <v>232</v>
      </c>
      <c r="N14" s="441" t="n">
        <v>0.25</v>
      </c>
      <c r="O14" s="167"/>
      <c r="P14" s="0"/>
      <c r="Q14" s="0"/>
      <c r="R14" s="0"/>
    </row>
    <row r="15" customFormat="false" ht="15.75" hidden="false" customHeight="true" outlineLevel="0" collapsed="false">
      <c r="B15" s="279" t="s">
        <v>233</v>
      </c>
      <c r="C15" s="279"/>
      <c r="D15" s="279"/>
      <c r="E15" s="279"/>
      <c r="F15" s="279"/>
      <c r="G15" s="279"/>
      <c r="H15" s="275" t="n">
        <f aca="false">VLOOKUP('Вхідні параметри'!H17,Таблица22[[Матеріал]:[kT]],10,0)</f>
        <v>0.8</v>
      </c>
      <c r="I15" s="276"/>
      <c r="J15" s="276"/>
      <c r="K15" s="276"/>
      <c r="L15" s="276"/>
      <c r="M15" s="277" t="s">
        <v>234</v>
      </c>
      <c r="N15" s="280" t="n">
        <f aca="false">PI()*H7*(1+N14)*H8</f>
        <v>2.67035375555132</v>
      </c>
      <c r="O15" s="167"/>
      <c r="P15" s="0"/>
      <c r="Q15" s="0"/>
      <c r="R15" s="0"/>
    </row>
    <row r="16" customFormat="false" ht="15.75" hidden="false" customHeight="true" outlineLevel="0" collapsed="false">
      <c r="B16" s="268" t="s">
        <v>235</v>
      </c>
      <c r="C16" s="268"/>
      <c r="D16" s="268"/>
      <c r="E16" s="268"/>
      <c r="F16" s="268"/>
      <c r="G16" s="268"/>
      <c r="H16" s="281" t="n">
        <f aca="false">'Розрахункові параметриПеревірка'!Z55*'Вхідні параметри'!H27^(-1/'Розрахункові параметриПеревірка'!Z54)</f>
        <v>0.189729083682366</v>
      </c>
      <c r="I16" s="276"/>
      <c r="J16" s="276"/>
      <c r="K16" s="276"/>
      <c r="L16" s="282"/>
      <c r="M16" s="167"/>
      <c r="N16" s="167"/>
      <c r="O16" s="167"/>
      <c r="P16" s="0"/>
      <c r="Q16" s="0"/>
      <c r="R16" s="0"/>
    </row>
    <row r="17" customFormat="false" ht="15.75" hidden="false" customHeight="true" outlineLevel="0" collapsed="false">
      <c r="B17" s="283" t="s">
        <v>236</v>
      </c>
      <c r="C17" s="283"/>
      <c r="D17" s="283"/>
      <c r="E17" s="283"/>
      <c r="F17" s="283"/>
      <c r="G17" s="283"/>
      <c r="H17" s="284" t="n">
        <f aca="false">H4/H5</f>
        <v>1.40489104635492</v>
      </c>
      <c r="J17" s="0"/>
      <c r="K17" s="0"/>
      <c r="M17" s="0"/>
      <c r="N17" s="0"/>
      <c r="O17" s="0"/>
      <c r="P17" s="0"/>
      <c r="Q17" s="0"/>
      <c r="R17" s="0"/>
    </row>
    <row r="18" customFormat="false" ht="18.75" hidden="false" customHeight="false" outlineLevel="0" collapsed="false">
      <c r="B18" s="285"/>
      <c r="C18" s="285"/>
      <c r="D18" s="285"/>
      <c r="E18" s="285"/>
      <c r="F18" s="285"/>
      <c r="G18" s="285"/>
      <c r="H18" s="285"/>
      <c r="J18" s="0"/>
      <c r="K18" s="0"/>
      <c r="M18" s="0"/>
      <c r="N18" s="0"/>
      <c r="O18" s="0"/>
      <c r="P18" s="0"/>
      <c r="Q18" s="0"/>
      <c r="R18" s="0"/>
    </row>
    <row r="19" customFormat="false" ht="18.75" hidden="false" customHeight="false" outlineLevel="0" collapsed="false">
      <c r="B19" s="286" t="s">
        <v>140</v>
      </c>
      <c r="C19" s="287"/>
      <c r="D19" s="287"/>
      <c r="E19" s="287"/>
      <c r="F19" s="287"/>
      <c r="G19" s="287"/>
      <c r="H19" s="288"/>
      <c r="J19" s="0"/>
      <c r="K19" s="0"/>
      <c r="M19" s="0"/>
      <c r="N19" s="0"/>
      <c r="O19" s="0"/>
      <c r="P19" s="0"/>
      <c r="Q19" s="0"/>
      <c r="R19" s="0"/>
    </row>
    <row r="20" customFormat="false" ht="18.75" hidden="false" customHeight="false" outlineLevel="0" collapsed="false">
      <c r="B20" s="289"/>
      <c r="C20" s="290" t="n">
        <f aca="false">H2</f>
        <v>1.39</v>
      </c>
      <c r="D20" s="291" t="s">
        <v>141</v>
      </c>
      <c r="E20" s="290" t="n">
        <f aca="false">H17</f>
        <v>1.40489104635492</v>
      </c>
      <c r="F20" s="292" t="str">
        <f aca="false">IF(C20&lt;E20," виконується.","НЕвиконується.")</f>
        <v>виконується.</v>
      </c>
      <c r="G20" s="292"/>
      <c r="H20" s="293"/>
      <c r="J20" s="0"/>
      <c r="K20" s="0"/>
      <c r="M20" s="0"/>
      <c r="N20" s="0"/>
      <c r="O20" s="0"/>
      <c r="P20" s="0"/>
      <c r="Q20" s="0"/>
      <c r="R20" s="0"/>
    </row>
    <row r="21" customFormat="false" ht="18.75" hidden="false" customHeight="false" outlineLevel="0" collapsed="false">
      <c r="B21" s="294" t="str">
        <f aca="false">IF(C20&lt;E20,"Відповідно, вибрана конструкція задовольняє умову міцності за критерієм опору шарів з монолітних матеріалів розтягу при згині.","Відповідно, вибрана конструкція НЕзадовольняє умову міцності за критерієм опору шарів з монолітних матеріалів розтягу при згині.")</f>
        <v>Відповідно, вибрана конструкція задовольняє умову міцності за критерієм опору шарів з монолітних матеріалів розтягу при згині.</v>
      </c>
      <c r="C21" s="294"/>
      <c r="D21" s="294"/>
      <c r="E21" s="294"/>
      <c r="F21" s="294"/>
      <c r="G21" s="294"/>
      <c r="H21" s="294"/>
      <c r="J21" s="0"/>
      <c r="K21" s="0"/>
      <c r="M21" s="295" t="s">
        <v>140</v>
      </c>
      <c r="N21" s="296"/>
      <c r="O21" s="296"/>
      <c r="P21" s="296"/>
      <c r="Q21" s="296"/>
      <c r="R21" s="297"/>
    </row>
    <row r="22" customFormat="false" ht="19.5" hidden="false" customHeight="true" outlineLevel="0" collapsed="false">
      <c r="B22" s="298" t="s">
        <v>313</v>
      </c>
      <c r="C22" s="298"/>
      <c r="D22" s="298"/>
      <c r="E22" s="298"/>
      <c r="F22" s="298"/>
      <c r="G22" s="298"/>
      <c r="H22" s="298"/>
      <c r="J22" s="0"/>
      <c r="K22" s="0"/>
      <c r="M22" s="299"/>
      <c r="N22" s="300" t="n">
        <f aca="false">'Розрахункові параметриПеревірка'!H5</f>
        <v>0.97</v>
      </c>
      <c r="O22" s="301" t="s">
        <v>141</v>
      </c>
      <c r="P22" s="300" t="n">
        <f aca="false">N13</f>
        <v>0.977249868051821</v>
      </c>
      <c r="Q22" s="302" t="str">
        <f aca="false">IF(N22&lt;P22," виконується."," НЕвиконується.")</f>
        <v>виконується.</v>
      </c>
      <c r="R22" s="303"/>
    </row>
    <row r="23" customFormat="false" ht="19.5" hidden="false" customHeight="true" outlineLevel="0" collapsed="false">
      <c r="B23" s="0"/>
      <c r="C23" s="0"/>
      <c r="D23" s="0"/>
      <c r="E23" s="0"/>
      <c r="F23" s="0"/>
      <c r="G23" s="0"/>
      <c r="J23" s="0"/>
      <c r="K23" s="0"/>
      <c r="M23" s="304" t="str">
        <f aca="false">IF(N22&lt;P22,"Відповідно, вибрана конструкція задовольняє вимоги надійності за критерієм опору шарів з монолітних матеріалів розтягу при згині.","Відповідно, вибрана конструкція НЕзадовольняє вимогу надійності за критерієм опору шарів з монолітних матеріалів розтягу при згині.")</f>
        <v>Відповідно, вибрана конструкція задовольняє вимоги надійності за критерієм опору шарів з монолітних матеріалів розтягу при згині.</v>
      </c>
      <c r="N23" s="304"/>
      <c r="O23" s="304"/>
      <c r="P23" s="304"/>
      <c r="Q23" s="304"/>
      <c r="R23" s="304"/>
    </row>
    <row r="24" customFormat="false" ht="18.75" hidden="false" customHeight="false" outlineLevel="0" collapsed="false">
      <c r="B24" s="201" t="s">
        <v>238</v>
      </c>
      <c r="C24" s="201"/>
      <c r="D24" s="201"/>
      <c r="E24" s="201"/>
      <c r="F24" s="201"/>
      <c r="G24" s="201"/>
      <c r="J24" s="0"/>
      <c r="K24" s="0"/>
    </row>
    <row r="25" customFormat="false" ht="20.25" hidden="false" customHeight="false" outlineLevel="0" collapsed="false">
      <c r="B25" s="305" t="s">
        <v>239</v>
      </c>
      <c r="C25" s="306" t="s">
        <v>240</v>
      </c>
      <c r="D25" s="306" t="s">
        <v>241</v>
      </c>
      <c r="E25" s="307" t="s">
        <v>242</v>
      </c>
      <c r="F25" s="306" t="s">
        <v>243</v>
      </c>
      <c r="G25" s="308" t="s">
        <v>244</v>
      </c>
      <c r="J25" s="306" t="s">
        <v>245</v>
      </c>
      <c r="K25" s="306" t="s">
        <v>246</v>
      </c>
    </row>
    <row r="26" customFormat="false" ht="18.75" hidden="false" customHeight="false" outlineLevel="0" collapsed="false">
      <c r="B26" s="309" t="n">
        <v>1</v>
      </c>
      <c r="C26" s="310" t="n">
        <f aca="false">Optimum!F3*0.01</f>
        <v>0.05</v>
      </c>
      <c r="D26" s="311" t="n">
        <f aca="false">'Розрахункові параметриПеревірка'!H50</f>
        <v>3700</v>
      </c>
      <c r="E26" s="312" t="n">
        <f aca="false">IF(C26=0,E27,((1.05-0.1*C26/$H$3*(1-POWER(E27/D26,1/3)))*D26)/(0.71*POWER(E27/D26,1/3)*ATAN(1.35*2*C26/$H$3*POWER(D26/(6*E27),1/3))+(D26/E27)*2/PI()*ATAN($H$3/(2*C26*POWER(D26/(6*E27),1/3)))))</f>
        <v>184.807894313758</v>
      </c>
      <c r="F26" s="313" t="n">
        <f aca="false">C26/$H$3</f>
        <v>0.144962054774395</v>
      </c>
      <c r="G26" s="314" t="s">
        <v>247</v>
      </c>
      <c r="J26" s="315" t="n">
        <f aca="false">2.84/(10.2+C26)</f>
        <v>0.277073170731707</v>
      </c>
      <c r="K26" s="316" t="n">
        <f aca="false">0.9056*D26^(-0.285)</f>
        <v>0.0870961429037354</v>
      </c>
    </row>
    <row r="27" customFormat="false" ht="18.75" hidden="false" customHeight="false" outlineLevel="0" collapsed="false">
      <c r="B27" s="317" t="n">
        <v>2</v>
      </c>
      <c r="C27" s="310" t="n">
        <f aca="false">Optimum!F4*0.01</f>
        <v>0.0526254596642143</v>
      </c>
      <c r="D27" s="319" t="n">
        <f aca="false">'Розрахункові параметриПеревірка'!Q50</f>
        <v>4500</v>
      </c>
      <c r="E27" s="312" t="n">
        <f aca="false">IF(C27=0,E28,((1.05-0.1*C27/$H$3*(1-POWER(E28/D27,1/3)))*D27)/(0.71*POWER(E28/D27,1/3)*ATAN(1.35*2*C27/$H$3*POWER(D27/(6*E28),1/3))+(D27/E28)*2/PI()*ATAN($H$3/(2*C27*POWER(D27/(6*E28),1/3)))))</f>
        <v>126.850253030641</v>
      </c>
      <c r="F27" s="313" t="n">
        <f aca="false">C27/$H$3</f>
        <v>0.152573895327431</v>
      </c>
      <c r="G27" s="314"/>
      <c r="J27" s="315" t="n">
        <f aca="false">2.84/(10.2+C27)</f>
        <v>0.277002218716864</v>
      </c>
      <c r="K27" s="316" t="n">
        <f aca="false">0.9056*D27^(-0.285)</f>
        <v>0.082370337874576</v>
      </c>
    </row>
    <row r="28" customFormat="false" ht="18.75" hidden="false" customHeight="false" outlineLevel="0" collapsed="false">
      <c r="B28" s="321" t="n">
        <v>3</v>
      </c>
      <c r="C28" s="310" t="n">
        <f aca="false">Optimum!F5*0.01</f>
        <v>0.08</v>
      </c>
      <c r="D28" s="323" t="n">
        <f aca="false">'Розрахункові параметриПеревірка'!Z50</f>
        <v>2800</v>
      </c>
      <c r="E28" s="312" t="n">
        <f aca="false">IF(C28=0,E29,((1.05-0.1*C28/$H$3*(1-POWER(E29/D28,1/3)))*D28)/(0.71*POWER(E29/D28,1/3)*ATAN(1.35*2*C28/$H$3*POWER(D28/(6*E29),1/3))+(D28/E29)*2/PI()*ATAN($H$3/(2*C28*POWER(D28/(6*E29),1/3)))))</f>
        <v>77.5911292885196</v>
      </c>
      <c r="F28" s="313" t="n">
        <f aca="false">C28/$H$3</f>
        <v>0.231939287639032</v>
      </c>
      <c r="G28" s="314"/>
      <c r="J28" s="315" t="n">
        <f aca="false">2.84/(10.2+C28)</f>
        <v>0.276264591439689</v>
      </c>
      <c r="K28" s="316" t="n">
        <f aca="false">0.9056*D28^(-0.285)</f>
        <v>0.0942966740413545</v>
      </c>
    </row>
    <row r="29" customFormat="false" ht="20.25" hidden="false" customHeight="true" outlineLevel="0" collapsed="false">
      <c r="B29" s="325" t="s">
        <v>249</v>
      </c>
      <c r="C29" s="325"/>
      <c r="D29" s="325"/>
      <c r="E29" s="326" t="n">
        <f aca="false">'Розрахункові параметриПеревірка'!$H$20</f>
        <v>35.5968</v>
      </c>
      <c r="F29" s="327"/>
      <c r="G29" s="328"/>
      <c r="J29" s="315"/>
      <c r="K29" s="316" t="n">
        <f aca="false">0.9056*E29^(-0.285)</f>
        <v>0.327178148697233</v>
      </c>
    </row>
    <row r="30" customFormat="false" ht="20.25" hidden="false" customHeight="true" outlineLevel="0" collapsed="false">
      <c r="B30" s="325"/>
      <c r="C30" s="325"/>
      <c r="D30" s="325"/>
      <c r="E30" s="326"/>
      <c r="F30" s="327"/>
      <c r="G30" s="328"/>
      <c r="J30" s="315"/>
      <c r="K30" s="316"/>
    </row>
  </sheetData>
  <mergeCells count="23">
    <mergeCell ref="B1:H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21:H21"/>
    <mergeCell ref="B22:H22"/>
    <mergeCell ref="M23:R23"/>
    <mergeCell ref="G26:G28"/>
    <mergeCell ref="B29:D29"/>
    <mergeCell ref="B30:D30"/>
  </mergeCells>
  <conditionalFormatting sqref="H17">
    <cfRule type="cellIs" priority="2" operator="lessThan" aboveAverage="0" equalAverage="0" bottom="0" percent="0" rank="0" text="" dxfId="0">
      <formula>$H$2</formula>
    </cfRule>
    <cfRule type="cellIs" priority="3" operator="greaterThan" aboveAverage="0" equalAverage="0" bottom="0" percent="0" rank="0" text="" dxfId="1">
      <formula>$H$2</formula>
    </cfRule>
  </conditionalFormatting>
  <dataValidations count="1">
    <dataValidation allowBlank="true" operator="between" prompt="для автомобілів зі спареними балонами kb = 0,85&#10;для автомобілів з одним балоном kb = 1&#10;" promptTitle="kb" showDropDown="false" showErrorMessage="true" showInputMessage="true" sqref="H8"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025" min="1" style="0" width="7.77319587628866"/>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P26"/>
  <sheetViews>
    <sheetView windowProtection="false" showFormulas="false" showGridLines="true" showRowColHeaders="true" showZeros="true" rightToLeft="false" tabSelected="false" showOutlineSymbols="true" defaultGridColor="true" view="normal" topLeftCell="L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25.5051546391753"/>
    <col collapsed="false" hidden="false" max="3" min="3" style="0" width="6.68041237113402"/>
    <col collapsed="false" hidden="false" max="4" min="4" style="0" width="12.2731958762887"/>
    <col collapsed="false" hidden="false" max="5" min="5" style="0" width="15.819587628866"/>
    <col collapsed="false" hidden="false" max="6" min="6" style="0" width="9.41237113402062"/>
    <col collapsed="false" hidden="false" max="7" min="7" style="0" width="13.3659793814433"/>
    <col collapsed="false" hidden="false" max="8" min="8" style="0" width="7.91237113402062"/>
    <col collapsed="false" hidden="false" max="9" min="9" style="0" width="7.63917525773196"/>
    <col collapsed="false" hidden="false" max="10" min="10" style="0" width="19.5051546391753"/>
    <col collapsed="false" hidden="false" max="11" min="11" style="0" width="13.3659793814433"/>
    <col collapsed="false" hidden="false" max="12" min="12" style="0" width="1.77319587628866"/>
    <col collapsed="false" hidden="false" max="13" min="13" style="0" width="67.6443298969072"/>
    <col collapsed="false" hidden="false" max="14" min="14" style="0" width="19.639175257732"/>
    <col collapsed="false" hidden="false" max="1025" min="15" style="0" width="7.63917525773196"/>
  </cols>
  <sheetData>
    <row r="1" customFormat="false" ht="18.75" hidden="false" customHeight="false" outlineLevel="0" collapsed="false">
      <c r="B1" s="4" t="s">
        <v>134</v>
      </c>
      <c r="C1" s="201"/>
      <c r="D1" s="201"/>
      <c r="E1" s="201"/>
      <c r="F1" s="201"/>
      <c r="G1" s="201"/>
      <c r="H1" s="201"/>
      <c r="M1" s="4" t="s">
        <v>277</v>
      </c>
    </row>
    <row r="2" customFormat="false" ht="18.75" hidden="false" customHeight="false" outlineLevel="0" collapsed="false">
      <c r="B2" s="442" t="str">
        <f aca="false">IF('Вхідні параметри'!H10='Tаблиця Б РозрахПараметНавантаж'!E13,"Для розрахункового навантаження А1 розрахунок  конструкції нежорсткого дорожнього одягу за критерієм загального модуля пружності не виконується"," ")</f>
        <v> </v>
      </c>
      <c r="C2" s="442"/>
      <c r="D2" s="442"/>
      <c r="E2" s="442"/>
      <c r="F2" s="442"/>
      <c r="G2" s="442"/>
      <c r="H2" s="442"/>
      <c r="M2" s="244" t="s">
        <v>211</v>
      </c>
      <c r="N2" s="245" t="n">
        <f aca="false">SUM(C12:C21)</f>
        <v>0.922625459664215</v>
      </c>
      <c r="O2" s="344"/>
      <c r="P2" s="344"/>
    </row>
    <row r="3" customFormat="false" ht="18.75" hidden="false" customHeight="true" outlineLevel="0" collapsed="false">
      <c r="B3" s="345" t="s">
        <v>278</v>
      </c>
      <c r="C3" s="345"/>
      <c r="D3" s="345"/>
      <c r="E3" s="345"/>
      <c r="F3" s="345"/>
      <c r="G3" s="345"/>
      <c r="H3" s="346" t="n">
        <f aca="false">'Розрахункові параметриПеревірка'!H8</f>
        <v>1.5</v>
      </c>
      <c r="M3" s="248" t="s">
        <v>212</v>
      </c>
      <c r="N3" s="249" t="n">
        <f aca="false">SUM(D12*C12,D13*C13,D14*C14,D15*C15,D16*C16,D17*C17,D18*C18,D19*C19,D20*C20,D21*C21)/N2</f>
        <v>844.006051175838</v>
      </c>
      <c r="O3" s="347"/>
      <c r="P3" s="347"/>
    </row>
    <row r="4" customFormat="false" ht="37.5" hidden="false" customHeight="true" outlineLevel="0" collapsed="false">
      <c r="B4" s="348" t="s">
        <v>279</v>
      </c>
      <c r="C4" s="348"/>
      <c r="D4" s="348"/>
      <c r="E4" s="348"/>
      <c r="F4" s="348"/>
      <c r="G4" s="348"/>
      <c r="H4" s="349" t="n">
        <f aca="false">IF('Вхідні параметри'!H10='Tаблиця Б РозрахПараметНавантаж'!E13,"-",IF('Вхідні параметри'!H10='Tаблиця Б РозрахПараметНавантаж'!E14,315.68,IF('Вхідні параметри'!H10='Tаблиця Б РозрахПараметНавантаж'!E15,350.21,IF('Вхідні параметри'!H10='Tаблиця Б РозрахПараметНавантаж'!E16,409.4,"error"))))</f>
        <v>315.68</v>
      </c>
      <c r="M4" s="246" t="s">
        <v>214</v>
      </c>
      <c r="N4" s="253" t="n">
        <f aca="false">1/N3*N2*SQRT(SUM((D12*C12)^2*(J12*K12)^2,(D13*C13)^2*(J13*K13)^2,(D14*C14)^2*(J14*K14)^2,(D15*C15)^2*(J15*K15)^2,(D16*C16)^2*(J16*K16)^2,(D17*C17)^2*(J17*K17)^2,(D18*C18)^2*(J18*K18)^2,(D19*C19)^2*(J19*K19)^2,(D20*C20)^2*(J20*K20)^2,(D21*C21)^2*(J21*K21)^2))</f>
        <v>0.0109125392940318</v>
      </c>
      <c r="O4" s="167"/>
      <c r="P4" s="167"/>
    </row>
    <row r="5" customFormat="false" ht="20.25" hidden="false" customHeight="false" outlineLevel="0" collapsed="false">
      <c r="B5" s="350" t="s">
        <v>280</v>
      </c>
      <c r="C5" s="350"/>
      <c r="D5" s="350"/>
      <c r="E5" s="350"/>
      <c r="F5" s="350"/>
      <c r="G5" s="350"/>
      <c r="H5" s="351" t="n">
        <f aca="false">IF(AND('Вхідні параметри'!H4='Таблиця 6.1'!B4,42.843*LN('Вхідні параметри'!H27)-H4&lt;'Таблиця 6.6'!C7),'Таблиця 6.6'!C7,IF(AND('Вхідні параметри'!H4='Таблиця 6.6'!B8,42.843*LN('Вхідні параметри'!H27)-H4&lt;'Таблиця 6.6'!C8),'Таблиця 6.6'!C8,IF(AND('Вхідні параметри'!H4='Таблиця 6.6'!B9,42.843*LN('Вхідні параметри'!H27)-H4&lt;'Таблиця 6.6'!C9),'Таблиця 6.6'!C9,IF(AND('Вхідні параметри'!H4='Таблиця 6.6'!B10,42.843*LN('Вхідні параметри'!H27)-H4&lt;'Таблиця 6.6'!C10),'Таблиця 6.6'!C10,IF(AND('Вхідні параметри'!H4='Таблиця 6.6'!B10,42.843*LN('Вхідні параметри'!H27)-H4&lt;'Таблиця 6.6'!D10,'Вхідні параметри'!H9='Таблиця 6.6'!D5),'Таблиця 6.6'!D10,IF(AND('Вхідні параметри'!H4='Таблиця 6.6'!B11,42.843*LN('Вхідні параметри'!H27)-H4&lt;'Таблиця 6.6'!C11),'Таблиця 6.6'!C11,IF(AND('Вхідні параметри'!H4='Таблиця 6.6'!B11,42.843*LN('Вхідні параметри'!H27)-H4&lt;'Таблиця 6.6'!D11,'Вхідні параметри'!H9='Таблиця 6.6'!D5),'Таблиця 6.6'!D11,IF(AND('Вхідні параметри'!H4='Таблиця 6.6'!B11,42.843*LN('Вхідні параметри'!H27)-H4&lt;'Таблиця 6.6'!E11,'Вхідні параметри'!H9='Таблиця 6.6'!E5),'Таблиця 6.6'!E11,IF(AND('Вхідні параметри'!H4='Таблиця 6.6'!B12,42.843*LN('Вхідні параметри'!H27)-H4&lt;'Таблиця 6.6'!E12),'Таблиця 6.6'!E12,42.843*LN('Вхідні параметри'!H27)-H4)))))))))</f>
        <v>378.164813859402</v>
      </c>
      <c r="M5" s="20" t="s">
        <v>216</v>
      </c>
      <c r="N5" s="253" t="n">
        <f aca="false">1/N2*SQRT(SUM((J12*C12)^2,(J13*C13)^2,(J14*C14)^2,(J15*C15)^2,(J16*C16)^2,(J17*C17)^2,(J18*C18)^2,(J19*C19)^2,(J20*C20)^2,(J21*C21)^2))</f>
        <v>0.106309173628814</v>
      </c>
    </row>
    <row r="6" customFormat="false" ht="20.25" hidden="false" customHeight="false" outlineLevel="0" collapsed="false">
      <c r="B6" s="350" t="s">
        <v>281</v>
      </c>
      <c r="C6" s="350"/>
      <c r="D6" s="350"/>
      <c r="E6" s="350"/>
      <c r="F6" s="350"/>
      <c r="G6" s="350"/>
      <c r="H6" s="352" t="n">
        <f aca="false">VLOOKUP('Вхідні параметри'!H4,Таблица28[],5,0)</f>
        <v>150</v>
      </c>
      <c r="M6" s="250" t="s">
        <v>218</v>
      </c>
      <c r="N6" s="353" t="n">
        <f aca="false">VLOOKUP('Вхідні параметри'!H8,Таблица611[],5,0)</f>
        <v>0.2</v>
      </c>
    </row>
    <row r="7" customFormat="false" ht="18.75" hidden="false" customHeight="false" outlineLevel="0" collapsed="false">
      <c r="B7" s="350" t="s">
        <v>282</v>
      </c>
      <c r="C7" s="350"/>
      <c r="D7" s="350"/>
      <c r="E7" s="350"/>
      <c r="F7" s="350"/>
      <c r="G7" s="350"/>
      <c r="H7" s="354" t="n">
        <f aca="false">SQRT(4*'Розрахункові параметриПеревірка'!H29*10/(2*3.1415926*'Розрахункові параметриПеревірка'!H25))*0.01</f>
        <v>0.344917848176305</v>
      </c>
      <c r="M7" s="250" t="s">
        <v>220</v>
      </c>
      <c r="N7" s="353" t="n">
        <f aca="false">VLOOKUP('Вхідні параметри'!H8,Таблица611[],6,0)</f>
        <v>0.27</v>
      </c>
    </row>
    <row r="8" customFormat="false" ht="20.25" hidden="false" customHeight="false" outlineLevel="0" collapsed="false">
      <c r="B8" s="355" t="s">
        <v>283</v>
      </c>
      <c r="C8" s="355"/>
      <c r="D8" s="355"/>
      <c r="E8" s="355"/>
      <c r="F8" s="355"/>
      <c r="G8" s="355"/>
      <c r="H8" s="356" t="n">
        <f aca="false">E12/H5</f>
        <v>1.73517851359786</v>
      </c>
      <c r="M8" s="257" t="s">
        <v>88</v>
      </c>
      <c r="N8" s="258" t="n">
        <f aca="false">'Розрахункові параметриПеревірка'!H21</f>
        <v>16.3992</v>
      </c>
    </row>
    <row r="9" customFormat="false" ht="18.75" hidden="false" customHeight="true" outlineLevel="0" collapsed="false">
      <c r="B9" s="443" t="s">
        <v>284</v>
      </c>
      <c r="C9" s="443"/>
      <c r="D9" s="443"/>
      <c r="E9" s="443"/>
      <c r="F9" s="443"/>
      <c r="G9" s="443"/>
      <c r="H9" s="443"/>
      <c r="K9" s="154"/>
      <c r="L9" s="154"/>
      <c r="M9" s="261" t="s">
        <v>223</v>
      </c>
      <c r="N9" s="358" t="n">
        <f aca="false">H7</f>
        <v>0.344917848176305</v>
      </c>
      <c r="P9" s="154"/>
    </row>
    <row r="10" customFormat="false" ht="18.75" hidden="false" customHeight="false" outlineLevel="0" collapsed="false">
      <c r="B10" s="201" t="s">
        <v>285</v>
      </c>
      <c r="C10" s="201"/>
      <c r="D10" s="201"/>
      <c r="E10" s="201"/>
      <c r="F10" s="201"/>
      <c r="G10" s="201"/>
      <c r="H10" s="201"/>
      <c r="I10" s="359"/>
      <c r="J10" s="360"/>
      <c r="K10" s="359"/>
      <c r="L10" s="359"/>
      <c r="M10" s="444" t="s">
        <v>286</v>
      </c>
      <c r="N10" s="262" t="n">
        <f aca="false">VLOOKUP('Вхідні параметри'!H4,'Таблиця 6.1'!B4:M9,11,0)</f>
        <v>0.08</v>
      </c>
      <c r="P10" s="359"/>
    </row>
    <row r="11" customFormat="false" ht="20.25" hidden="false" customHeight="false" outlineLevel="0" collapsed="false">
      <c r="B11" s="305" t="s">
        <v>239</v>
      </c>
      <c r="C11" s="306" t="s">
        <v>240</v>
      </c>
      <c r="D11" s="306" t="s">
        <v>241</v>
      </c>
      <c r="E11" s="307" t="s">
        <v>242</v>
      </c>
      <c r="F11" s="306" t="s">
        <v>243</v>
      </c>
      <c r="G11" s="308" t="s">
        <v>244</v>
      </c>
      <c r="I11" s="359"/>
      <c r="J11" s="306" t="s">
        <v>245</v>
      </c>
      <c r="K11" s="306" t="s">
        <v>246</v>
      </c>
      <c r="M11" s="445" t="s">
        <v>287</v>
      </c>
      <c r="N11" s="353" t="n">
        <f aca="false">VLOOKUP('Вхідні параметри'!H4,'Таблиця 6.1'!B4:M9,8,0)</f>
        <v>0.17</v>
      </c>
      <c r="P11" s="359"/>
    </row>
    <row r="12" customFormat="false" ht="18.75" hidden="false" customHeight="false" outlineLevel="0" collapsed="false">
      <c r="B12" s="309" t="n">
        <v>1</v>
      </c>
      <c r="C12" s="310" t="n">
        <f aca="false">Optimum!F3*0.01</f>
        <v>0.05</v>
      </c>
      <c r="D12" s="311" t="n">
        <f aca="false">'Розрахункові параметриПеревірка'!$H$56</f>
        <v>2700</v>
      </c>
      <c r="E12" s="362" t="n">
        <f aca="false">IF(C12=0,E13,((1.05-0.1*C12/$H$7*(1-POWER(E13/D12,1/3)))*D12)/(0.71*POWER(E13/D12,1/3)*ATAN(1.35*2*C12/$H$7*POWER(D12/(6*E13),1/3))+(D12/E13)*2/PI()*ATAN($H$7/(2*C12*POWER(D12/(6*E13),1/3)))))</f>
        <v>656.183459607569</v>
      </c>
      <c r="F12" s="363" t="n">
        <f aca="false">C12/$H$7</f>
        <v>0.144962054774395</v>
      </c>
      <c r="G12" s="367" t="s">
        <v>247</v>
      </c>
      <c r="I12" s="359"/>
      <c r="J12" s="315" t="n">
        <f aca="false">2.84/(10.2+C12)</f>
        <v>0.277073170731707</v>
      </c>
      <c r="K12" s="316" t="n">
        <f aca="false">0.9056*D12^(-0.285)</f>
        <v>0.0952791208158631</v>
      </c>
      <c r="M12" s="261" t="s">
        <v>304</v>
      </c>
      <c r="N12" s="262" t="n">
        <f aca="false">MROUND((H8-1)/SQRT(N11^2*H8^2+N10^2),0.02)</f>
        <v>2.4</v>
      </c>
      <c r="P12" s="359"/>
    </row>
    <row r="13" customFormat="false" ht="18.75" hidden="false" customHeight="false" outlineLevel="0" collapsed="false">
      <c r="B13" s="317" t="n">
        <v>2</v>
      </c>
      <c r="C13" s="310" t="n">
        <f aca="false">Optimum!F4*0.01</f>
        <v>0.0526254596642143</v>
      </c>
      <c r="D13" s="319" t="n">
        <f aca="false">'Розрахункові параметриПеревірка'!$Q$56</f>
        <v>3200</v>
      </c>
      <c r="E13" s="364" t="n">
        <f aca="false">IF(C13=0,E14,((1.05-0.1*C13/$H$7*(1-POWER(E14/D13,1/3)))*D13)/(0.71*POWER(E14/D13,1/3)*ATAN(1.35*2*C13/$H$7*POWER(D13/(6*E14),1/3))+(D13/E14)*2/PI()*ATAN($H$7/(2*C13*POWER(D13/(6*E14),1/3)))))</f>
        <v>540.423301122883</v>
      </c>
      <c r="F13" s="365" t="n">
        <f aca="false">C13/$H$7</f>
        <v>0.152573895327431</v>
      </c>
      <c r="G13" s="367"/>
      <c r="I13" s="359"/>
      <c r="J13" s="315" t="n">
        <f aca="false">2.84/(10.2+C13)</f>
        <v>0.277002218716864</v>
      </c>
      <c r="K13" s="316" t="n">
        <f aca="false">0.9056*D13^(-0.285)</f>
        <v>0.0907755042423637</v>
      </c>
      <c r="M13" s="273" t="s">
        <v>173</v>
      </c>
      <c r="N13" s="446" t="n">
        <f aca="false">0.5+0.5*ERF(N12/SQRT(2))</f>
        <v>0.991802464075404</v>
      </c>
      <c r="P13" s="359"/>
    </row>
    <row r="14" customFormat="false" ht="18.75" hidden="false" customHeight="false" outlineLevel="0" collapsed="false">
      <c r="B14" s="321" t="n">
        <v>3</v>
      </c>
      <c r="C14" s="310" t="n">
        <f aca="false">Optimum!F5*0.01</f>
        <v>0.08</v>
      </c>
      <c r="D14" s="323" t="n">
        <f aca="false">'Розрахункові параметриПеревірка'!$Z$56</f>
        <v>2000</v>
      </c>
      <c r="E14" s="312" t="n">
        <f aca="false">IF(C14=0,E15,((1.05-0.1*C14/$H$7*(1-POWER(E15/D14,1/3)))*D14)/(0.71*POWER(E15/D14,1/3)*ATAN(1.35*2*C14/$H$7*POWER(D14/(6*E15),1/3))+(D14/E15)*2/PI()*ATAN($H$7/(2*C14*POWER(D14/(6*E15),1/3)))))</f>
        <v>423.747431493322</v>
      </c>
      <c r="F14" s="313" t="n">
        <f aca="false">C14/$H$7</f>
        <v>0.231939287639032</v>
      </c>
      <c r="G14" s="367"/>
      <c r="I14" s="359"/>
      <c r="J14" s="315" t="n">
        <f aca="false">2.84/(10.2+C14)</f>
        <v>0.276264591439689</v>
      </c>
      <c r="K14" s="316" t="n">
        <f aca="false">0.9056*D14^(-0.285)</f>
        <v>0.103786977627543</v>
      </c>
      <c r="M14" s="277" t="s">
        <v>288</v>
      </c>
      <c r="N14" s="0" t="n">
        <v>0.05</v>
      </c>
      <c r="P14" s="359"/>
    </row>
    <row r="15" customFormat="false" ht="18.75" hidden="false" customHeight="false" outlineLevel="0" collapsed="false">
      <c r="B15" s="309" t="n">
        <v>4</v>
      </c>
      <c r="C15" s="310" t="n">
        <f aca="false">Optimum!F6*0.01</f>
        <v>0.18</v>
      </c>
      <c r="D15" s="311" t="n">
        <f aca="false">'Розрахункові параметриПеревірка'!$H$64</f>
        <v>700</v>
      </c>
      <c r="E15" s="362" t="n">
        <f aca="false">IF(C15=0,E16,((1.05-0.1*C15/$H$7*(1-POWER(E16/D15,1/3)))*D15)/(0.71*POWER(E16/D15,1/3)*ATAN(1.35*2*C15/$H$7*POWER(D15/(6*E16),1/3))+(D15/E16)*2/PI()*ATAN($H$7/(2*C15*POWER(D15/(6*E16),1/3)))))</f>
        <v>305.66854752434</v>
      </c>
      <c r="F15" s="363" t="n">
        <f aca="false">C15/$H$7</f>
        <v>0.521863397187822</v>
      </c>
      <c r="G15" s="367" t="s">
        <v>289</v>
      </c>
      <c r="I15" s="359"/>
      <c r="J15" s="315" t="n">
        <f aca="false">2.84/(10.2+C15)</f>
        <v>0.273603082851638</v>
      </c>
      <c r="K15" s="316" t="n">
        <f aca="false">0.9056*D15^(-0.285)</f>
        <v>0.139985635246315</v>
      </c>
      <c r="P15" s="359"/>
    </row>
    <row r="16" customFormat="false" ht="18.75" hidden="false" customHeight="false" outlineLevel="0" collapsed="false">
      <c r="B16" s="317" t="n">
        <v>5</v>
      </c>
      <c r="C16" s="310" t="n">
        <f aca="false">Optimum!F7*0.01</f>
        <v>0</v>
      </c>
      <c r="D16" s="319" t="n">
        <f aca="false">'Розрахункові параметриПеревірка'!$Q$64</f>
        <v>900</v>
      </c>
      <c r="E16" s="364" t="n">
        <f aca="false">IF(C16=0,E17,((1.05-0.1*C16/$H$7*(1-POWER(E17/D16,1/3)))*D16)/(0.71*POWER(E17/D16,1/3)*ATAN(1.35*2*C16/$H$7*POWER(D16/(6*E17),1/3))+(D16/E17)*2/PI()*ATAN($H$7/(2*C16*POWER(D16/(6*E17),1/3)))))</f>
        <v>192.719571017625</v>
      </c>
      <c r="F16" s="365" t="n">
        <f aca="false">C16/$H$7</f>
        <v>0</v>
      </c>
      <c r="G16" s="367"/>
      <c r="I16" s="359"/>
      <c r="J16" s="315" t="n">
        <f aca="false">2.84/(10.2+C16)</f>
        <v>0.27843137254902</v>
      </c>
      <c r="K16" s="316" t="n">
        <f aca="false">0.9056*D16^(-0.285)</f>
        <v>0.130309866138427</v>
      </c>
      <c r="P16" s="359"/>
    </row>
    <row r="17" customFormat="false" ht="18.75" hidden="false" customHeight="false" outlineLevel="0" collapsed="false">
      <c r="B17" s="368" t="n">
        <v>6</v>
      </c>
      <c r="C17" s="310" t="n">
        <f aca="false">Optimum!F8*0.01</f>
        <v>0.15</v>
      </c>
      <c r="D17" s="370" t="n">
        <f aca="false">'Розрахункові параметриПеревірка'!$Z$64</f>
        <v>700</v>
      </c>
      <c r="E17" s="371" t="n">
        <f aca="false">IF(C17=0,E18,((1.05-0.1*C17/$H$7*(1-POWER(E18/D17,1/3)))*D17)/(0.71*POWER(E18/D17,1/3)*ATAN(1.35*2*C17/$H$7*POWER(D17/(6*E18),1/3))+(D17/E18)*2/PI()*ATAN($H$7/(2*C17*POWER(D17/(6*E18),1/3)))))</f>
        <v>192.719571017625</v>
      </c>
      <c r="F17" s="372" t="n">
        <f aca="false">C17/$H$7</f>
        <v>0.434886164323185</v>
      </c>
      <c r="G17" s="367"/>
      <c r="I17" s="359"/>
      <c r="J17" s="315" t="n">
        <f aca="false">2.84/(10.2+C17)</f>
        <v>0.2743961352657</v>
      </c>
      <c r="K17" s="316" t="n">
        <f aca="false">0.9056*D17^(-0.285)</f>
        <v>0.139985635246315</v>
      </c>
      <c r="P17" s="359"/>
    </row>
    <row r="18" customFormat="false" ht="18.75" hidden="false" customHeight="false" outlineLevel="0" collapsed="false">
      <c r="B18" s="373" t="n">
        <v>7</v>
      </c>
      <c r="C18" s="310" t="n">
        <f aca="false">Optimum!F9*0.01</f>
        <v>0.18</v>
      </c>
      <c r="D18" s="375" t="n">
        <f aca="false">'Розрахункові параметриПеревірка'!$H$72</f>
        <v>280</v>
      </c>
      <c r="E18" s="376" t="n">
        <f aca="false">IF(C18=0,E19,((1.05-0.1*C18/$H$7*(1-POWER(E19/D18,1/3)))*D18)/(0.71*POWER(E19/D18,1/3)*ATAN(1.35*2*C18/$H$7*POWER(D18/(6*E19),1/3))+(D18/E19)*2/PI()*ATAN($H$7/(2*C18*POWER(D18/(6*E19),1/3)))))</f>
        <v>110.739545834739</v>
      </c>
      <c r="F18" s="377" t="n">
        <f aca="false">C18/$H$7</f>
        <v>0.521863397187822</v>
      </c>
      <c r="G18" s="367" t="s">
        <v>290</v>
      </c>
      <c r="I18" s="359"/>
      <c r="J18" s="315" t="n">
        <f aca="false">2.84/(10.2+C18)</f>
        <v>0.273603082851638</v>
      </c>
      <c r="K18" s="316" t="n">
        <f aca="false">0.9056*D18^(-0.285)</f>
        <v>0.181759188445756</v>
      </c>
      <c r="P18" s="359"/>
    </row>
    <row r="19" customFormat="false" ht="18.75" hidden="false" customHeight="false" outlineLevel="0" collapsed="false">
      <c r="B19" s="317" t="n">
        <v>8</v>
      </c>
      <c r="C19" s="310" t="n">
        <f aca="false">Optimum!F10*0.01</f>
        <v>0</v>
      </c>
      <c r="D19" s="319" t="n">
        <f aca="false">'Розрахункові параметриПеревірка'!$Q$72</f>
        <v>280</v>
      </c>
      <c r="E19" s="364" t="n">
        <f aca="false">IF(C19=0,E20,((1.05-0.1*C19/$H$7*(1-POWER(E20/D19,1/3)))*D19)/(0.71*POWER(E20/D19,1/3)*ATAN(1.35*2*C19/$H$7*POWER(D19/(6*E20),1/3))+(D19/E20)*2/PI()*ATAN($H$7/(2*C19*POWER(D19/(6*E20),1/3)))))</f>
        <v>66.3365434721012</v>
      </c>
      <c r="F19" s="365" t="n">
        <f aca="false">C19/$H$7</f>
        <v>0</v>
      </c>
      <c r="G19" s="367"/>
      <c r="I19" s="359"/>
      <c r="J19" s="315" t="n">
        <f aca="false">2.84/(10.2+C19)</f>
        <v>0.27843137254902</v>
      </c>
      <c r="K19" s="316" t="n">
        <f aca="false">0.9056*D19^(-0.285)</f>
        <v>0.181759188445756</v>
      </c>
      <c r="P19" s="359"/>
    </row>
    <row r="20" customFormat="false" ht="18.75" hidden="false" customHeight="false" outlineLevel="0" collapsed="false">
      <c r="B20" s="321" t="n">
        <v>9</v>
      </c>
      <c r="C20" s="310" t="n">
        <f aca="false">Optimum!F11*0.01</f>
        <v>0.08</v>
      </c>
      <c r="D20" s="323" t="n">
        <f aca="false">'Розрахункові параметриПеревірка'!$Z$72</f>
        <v>180</v>
      </c>
      <c r="E20" s="379" t="n">
        <f aca="false">IF(C20=0,E21,((1.05-0.1*C20/$H$7*(1-POWER(E21/D20,1/3)))*D20)/(0.71*POWER(E21/D20,1/3)*ATAN(1.35*2*C20/$H$7*POWER(D20/(6*E21),1/3))+(D20/E21)*2/PI()*ATAN($H$7/(2*C20*POWER(D20/(6*E21),1/3)))))</f>
        <v>66.3365434721012</v>
      </c>
      <c r="F20" s="313" t="n">
        <f aca="false">C20/$H$7</f>
        <v>0.231939287639032</v>
      </c>
      <c r="G20" s="367"/>
      <c r="I20" s="359"/>
      <c r="J20" s="315" t="n">
        <f aca="false">2.84/(10.2+C20)</f>
        <v>0.276264591439689</v>
      </c>
      <c r="K20" s="316" t="n">
        <f aca="false">0.9056*D20^(-0.285)</f>
        <v>0.206150194975175</v>
      </c>
      <c r="P20" s="359"/>
    </row>
    <row r="21" customFormat="false" ht="18.75" hidden="false" customHeight="false" outlineLevel="0" collapsed="false">
      <c r="B21" s="380" t="n">
        <v>10</v>
      </c>
      <c r="C21" s="310" t="n">
        <f aca="false">Optimum!F12*0.01</f>
        <v>0.15</v>
      </c>
      <c r="D21" s="381" t="n">
        <f aca="false">'Розрахункові параметриПеревірка'!$I$20</f>
        <v>130</v>
      </c>
      <c r="E21" s="379" t="n">
        <f aca="false">IF(C21=0,E22,((1.05-0.1*C21/$H$7*(1-POWER(E22/D21,1/3)))*D21)/(0.71*POWER(E22/D21,1/3)*ATAN(1.35*2*C21/$H$7*POWER(D21/(6*E22),1/3))+(D21/E22)*2/PI()*ATAN($H$7/(2*C21*POWER(D21/(6*E22),1/3)))))</f>
        <v>53.0394337978936</v>
      </c>
      <c r="F21" s="382" t="n">
        <f aca="false">C21/$H$7</f>
        <v>0.434886164323185</v>
      </c>
      <c r="G21" s="367" t="s">
        <v>86</v>
      </c>
      <c r="I21" s="359"/>
      <c r="J21" s="315" t="n">
        <f aca="false">2.84/(10.2+C21)</f>
        <v>0.2743961352657</v>
      </c>
      <c r="K21" s="316" t="n">
        <f aca="false">0.9056*D21^(-0.285)</f>
        <v>0.226184353243738</v>
      </c>
      <c r="P21" s="359"/>
    </row>
    <row r="22" customFormat="false" ht="20.25" hidden="false" customHeight="true" outlineLevel="0" collapsed="false">
      <c r="B22" s="325" t="s">
        <v>249</v>
      </c>
      <c r="C22" s="325"/>
      <c r="D22" s="325"/>
      <c r="E22" s="326" t="n">
        <f aca="false">'Розрахункові параметриПеревірка'!$H$20</f>
        <v>35.5968</v>
      </c>
      <c r="F22" s="327"/>
      <c r="G22" s="328"/>
      <c r="H22" s="201"/>
      <c r="I22" s="359"/>
      <c r="K22" s="316" t="n">
        <f aca="false">0.9056*E22^(-0.285)</f>
        <v>0.327178148697233</v>
      </c>
      <c r="P22" s="359"/>
    </row>
    <row r="23" customFormat="false" ht="18.75" hidden="false" customHeight="false" outlineLevel="0" collapsed="false">
      <c r="I23" s="359"/>
      <c r="K23" s="204"/>
      <c r="P23" s="359"/>
    </row>
    <row r="24" customFormat="false" ht="18.75" hidden="false" customHeight="false" outlineLevel="0" collapsed="false">
      <c r="B24" s="295" t="s">
        <v>140</v>
      </c>
      <c r="C24" s="296"/>
      <c r="D24" s="296"/>
      <c r="E24" s="296"/>
      <c r="F24" s="296"/>
      <c r="G24" s="297"/>
      <c r="H24" s="167"/>
      <c r="I24" s="359"/>
      <c r="J24" s="295" t="s">
        <v>140</v>
      </c>
      <c r="K24" s="296"/>
      <c r="L24" s="296"/>
      <c r="M24" s="296"/>
      <c r="N24" s="296"/>
      <c r="O24" s="297"/>
      <c r="P24" s="359"/>
    </row>
    <row r="25" customFormat="false" ht="18.75" hidden="false" customHeight="false" outlineLevel="0" collapsed="false">
      <c r="B25" s="299"/>
      <c r="C25" s="300" t="n">
        <f aca="false">H3</f>
        <v>1.5</v>
      </c>
      <c r="D25" s="301" t="s">
        <v>141</v>
      </c>
      <c r="E25" s="300" t="n">
        <f aca="false">H8</f>
        <v>1.73517851359786</v>
      </c>
      <c r="F25" s="302" t="str">
        <f aca="false">IF(C25&lt;E25," виконується."," НЕвиконується.")</f>
        <v>виконується.</v>
      </c>
      <c r="G25" s="303"/>
      <c r="H25" s="360"/>
      <c r="I25" s="359"/>
      <c r="J25" s="299"/>
      <c r="K25" s="300" t="n">
        <f aca="false">'Розрахункові параметриПеревірка'!H5</f>
        <v>0.97</v>
      </c>
      <c r="L25" s="301" t="s">
        <v>141</v>
      </c>
      <c r="M25" s="383" t="n">
        <f aca="false">N13</f>
        <v>0.991802464075404</v>
      </c>
      <c r="N25" s="302" t="str">
        <f aca="false">IF(K25&lt;M25," виконується."," НЕвиконується.")</f>
        <v>виконується.</v>
      </c>
      <c r="O25" s="303"/>
      <c r="P25" s="359"/>
    </row>
    <row r="26" customFormat="false" ht="18.75" hidden="false" customHeight="false" outlineLevel="0" collapsed="false">
      <c r="B26" s="304" t="str">
        <f aca="false">IF(C25&lt;E25,"Відповідно, вибрана конструкція задовольняє умову міцності за допустимим пружним прогином.","Відповідно, вибрана конструкція НЕзадовольняє умову міцності за допустимим пружним прогином.")</f>
        <v>Відповідно, вибрана конструкція задовольняє умову міцності за допустимим пружним прогином.</v>
      </c>
      <c r="C26" s="304"/>
      <c r="D26" s="304"/>
      <c r="E26" s="304"/>
      <c r="F26" s="304"/>
      <c r="G26" s="304"/>
      <c r="H26" s="384"/>
      <c r="J26" s="304" t="str">
        <f aca="false">IF(K25&lt;M25,"Відповідно, вибрана конструкція задовольняє умову надійності за допустимим пружним прогином.","Відповідно, вибрана конструкція НЕзадовольняє умову надійності за допустимим пружним прогином.")</f>
        <v>Відповідно, вибрана конструкція задовольняє умову надійності за допустимим пружним прогином.</v>
      </c>
      <c r="K26" s="304"/>
      <c r="L26" s="304"/>
      <c r="M26" s="304"/>
      <c r="N26" s="304"/>
      <c r="O26" s="304"/>
    </row>
  </sheetData>
  <mergeCells count="14">
    <mergeCell ref="B2:H2"/>
    <mergeCell ref="B3:G3"/>
    <mergeCell ref="B4:G4"/>
    <mergeCell ref="B5:G5"/>
    <mergeCell ref="B6:G6"/>
    <mergeCell ref="B7:G7"/>
    <mergeCell ref="B8:G8"/>
    <mergeCell ref="B9:H9"/>
    <mergeCell ref="G12:G14"/>
    <mergeCell ref="G15:G17"/>
    <mergeCell ref="G18:G20"/>
    <mergeCell ref="B22:D22"/>
    <mergeCell ref="B26:G26"/>
    <mergeCell ref="J26:O26"/>
  </mergeCells>
  <conditionalFormatting sqref="H8">
    <cfRule type="cellIs" priority="2" operator="lessThan" aboveAverage="0" equalAverage="0" bottom="0" percent="0" rank="0" text="" dxfId="0">
      <formula>$H$3</formula>
    </cfRule>
    <cfRule type="cellIs" priority="3" operator="greaterThan" aboveAverage="0" equalAverage="0" bottom="0" percent="0" rank="0" text="" dxfId="1">
      <formula>$H$3</formula>
    </cfRule>
    <cfRule type="cellIs" priority="4" operator="greaterThan" aboveAverage="0" equalAverage="0" bottom="0" percent="0" rank="0" text="" dxfId="2">
      <formula>$H$3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1:O37"/>
  <sheetViews>
    <sheetView windowProtection="false" showFormulas="false" showGridLines="true" showRowColHeaders="true" showZeros="true" rightToLeft="false" tabSelected="false" showOutlineSymbols="true" defaultGridColor="true" view="normal" topLeftCell="A6"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16.3659793814433"/>
    <col collapsed="false" hidden="false" max="3" min="3" style="0" width="6.68041237113402"/>
    <col collapsed="false" hidden="false" max="4" min="4" style="0" width="12.2731958762887"/>
    <col collapsed="false" hidden="false" max="5" min="5" style="0" width="15.819587628866"/>
    <col collapsed="false" hidden="false" max="6" min="6" style="0" width="16.3659793814433"/>
    <col collapsed="false" hidden="false" max="7" min="7" style="0" width="13.7731958762887"/>
    <col collapsed="false" hidden="false" max="8" min="8" style="0" width="10.3659793814433"/>
    <col collapsed="false" hidden="false" max="9" min="9" style="0" width="7.63917525773196"/>
    <col collapsed="false" hidden="false" max="10" min="10" style="0" width="19.5051546391753"/>
    <col collapsed="false" hidden="false" max="11" min="11" style="0" width="62.3247422680412"/>
    <col collapsed="false" hidden="false" max="12" min="12" style="0" width="10.9123711340206"/>
    <col collapsed="false" hidden="false" max="13" min="13" style="0" width="10.3659793814433"/>
    <col collapsed="false" hidden="false" max="14" min="14" style="0" width="19.639175257732"/>
    <col collapsed="false" hidden="false" max="1025" min="15" style="0" width="7.63917525773196"/>
  </cols>
  <sheetData>
    <row r="1" customFormat="false" ht="18.75" hidden="false" customHeight="false" outlineLevel="0" collapsed="false">
      <c r="B1" s="4" t="s">
        <v>291</v>
      </c>
      <c r="C1" s="201"/>
      <c r="D1" s="201"/>
      <c r="E1" s="201"/>
      <c r="F1" s="201"/>
      <c r="G1" s="201"/>
      <c r="H1" s="201"/>
      <c r="K1" s="4" t="s">
        <v>292</v>
      </c>
    </row>
    <row r="2" customFormat="false" ht="18.75" hidden="false" customHeight="false" outlineLevel="0" collapsed="false">
      <c r="B2" s="4"/>
      <c r="C2" s="201"/>
      <c r="D2" s="201"/>
      <c r="E2" s="201"/>
      <c r="F2" s="201"/>
      <c r="G2" s="201"/>
      <c r="H2" s="201" t="s">
        <v>293</v>
      </c>
      <c r="I2" s="201"/>
    </row>
    <row r="3" customFormat="false" ht="34.5" hidden="false" customHeight="true" outlineLevel="0" collapsed="false">
      <c r="B3" s="447" t="s">
        <v>294</v>
      </c>
      <c r="C3" s="447"/>
      <c r="D3" s="447"/>
      <c r="E3" s="447"/>
      <c r="F3" s="447"/>
      <c r="G3" s="447"/>
      <c r="H3" s="386" t="n">
        <f aca="false">'Розрахункові параметриПеревірка'!H9</f>
        <v>1.51</v>
      </c>
      <c r="I3" s="387"/>
      <c r="J3" s="359"/>
      <c r="K3" s="388" t="s">
        <v>214</v>
      </c>
      <c r="L3" s="389" t="n">
        <f aca="false">1/H5*H4*SQRT(SUM((D23*C23)^2*(K23+J23)^2,(D24*C24)^2*(K24+J24)^2,(D25*C25)^2*(K25+J25)^2,(D26*C26)^2*(K26+J26)^2,(D27*C27)^2*(K27+J27)^2,(D28*C28)^2*(K28+J28)^2,(D29*C29)^2*(K29+J29)^2,(D30*C30)^2*(K30+J30)^2,(D31*C31)^2*(K31+J31)^2,(D32*C32)^2*(K32+J32)^2))</f>
        <v>0.140628465847115</v>
      </c>
    </row>
    <row r="4" customFormat="false" ht="19.5" hidden="false" customHeight="false" outlineLevel="0" collapsed="false">
      <c r="B4" s="448" t="s">
        <v>211</v>
      </c>
      <c r="C4" s="448"/>
      <c r="D4" s="448"/>
      <c r="E4" s="448"/>
      <c r="F4" s="448"/>
      <c r="G4" s="448"/>
      <c r="H4" s="391" t="n">
        <f aca="false">SUM(C23:C32)</f>
        <v>0.922625459664215</v>
      </c>
      <c r="I4" s="147"/>
      <c r="J4" s="359"/>
      <c r="K4" s="392" t="s">
        <v>216</v>
      </c>
      <c r="L4" s="389" t="n">
        <f aca="false">1/H4*SQRT(SUM((J23*C23)^2,(J24*C24)^2,(J25*C25)^2,(J26*C26)^2,(J27*C27)^2,(J28*C28)^2,(J29*C29)^2,(J30*C30)^2,(J31*C31)^2,(J32*C32)^2))</f>
        <v>0.106309173628814</v>
      </c>
    </row>
    <row r="5" customFormat="false" ht="20.25" hidden="false" customHeight="false" outlineLevel="0" collapsed="false">
      <c r="B5" s="449" t="s">
        <v>295</v>
      </c>
      <c r="C5" s="449"/>
      <c r="D5" s="449"/>
      <c r="E5" s="449"/>
      <c r="F5" s="449"/>
      <c r="G5" s="449"/>
      <c r="H5" s="249" t="n">
        <f aca="false">SUM(D23*C23,D24*C24,D25*C25,D26*C26,D27*C27,D28*C28,D29*C29,D30*C30,D31*C31,D32*C32)/H4</f>
        <v>579.698256691663</v>
      </c>
      <c r="I5" s="394"/>
      <c r="J5" s="359"/>
      <c r="K5" s="395" t="s">
        <v>218</v>
      </c>
      <c r="L5" s="423" t="n">
        <f aca="false">VLOOKUP('Вхідні параметри'!H8,Таблица611[],5,0)</f>
        <v>0.2</v>
      </c>
    </row>
    <row r="6" customFormat="false" ht="34.5" hidden="false" customHeight="false" outlineLevel="0" collapsed="false">
      <c r="B6" s="449" t="s">
        <v>296</v>
      </c>
      <c r="C6" s="449"/>
      <c r="D6" s="449"/>
      <c r="E6" s="449"/>
      <c r="F6" s="449"/>
      <c r="G6" s="449"/>
      <c r="H6" s="397" t="n">
        <f aca="false">'Розрахункові параметриПеревірка'!H22</f>
        <v>0.0095988</v>
      </c>
      <c r="I6" s="147"/>
      <c r="J6" s="359"/>
      <c r="K6" s="395" t="s">
        <v>220</v>
      </c>
      <c r="L6" s="423" t="n">
        <f aca="false">VLOOKUP('Вхідні параметри'!H8,Таблица611[],6,0)</f>
        <v>0.27</v>
      </c>
    </row>
    <row r="7" customFormat="false" ht="19.5" hidden="false" customHeight="true" outlineLevel="0" collapsed="false">
      <c r="B7" s="401" t="s">
        <v>297</v>
      </c>
      <c r="C7" s="401"/>
      <c r="D7" s="401"/>
      <c r="E7" s="401"/>
      <c r="F7" s="401"/>
      <c r="G7" s="401"/>
      <c r="H7" s="391" t="n">
        <v>1</v>
      </c>
      <c r="I7" s="147"/>
      <c r="J7" s="359"/>
      <c r="K7" s="399" t="s">
        <v>88</v>
      </c>
      <c r="L7" s="400" t="n">
        <f aca="false">'Розрахункові параметриПеревірка'!H21</f>
        <v>16.3992</v>
      </c>
    </row>
    <row r="8" customFormat="false" ht="19.5" hidden="false" customHeight="true" outlineLevel="0" collapsed="false">
      <c r="B8" s="401" t="s">
        <v>298</v>
      </c>
      <c r="C8" s="401"/>
      <c r="D8" s="401"/>
      <c r="E8" s="401"/>
      <c r="F8" s="401"/>
      <c r="G8" s="401"/>
      <c r="H8" s="402" t="n">
        <f aca="false">1.816-0.15*LN('Розрахункові параметриПеревірка'!H30)</f>
        <v>0.528740243116929</v>
      </c>
      <c r="I8" s="403"/>
      <c r="J8" s="359"/>
      <c r="K8" s="404" t="s">
        <v>223</v>
      </c>
      <c r="L8" s="405" t="n">
        <f aca="false">РозрахДопПружПрогин!H7</f>
        <v>0.344917848176305</v>
      </c>
    </row>
    <row r="9" customFormat="false" ht="19.5" hidden="false" customHeight="true" outlineLevel="0" collapsed="false">
      <c r="B9" s="401" t="s">
        <v>299</v>
      </c>
      <c r="C9" s="401"/>
      <c r="D9" s="401"/>
      <c r="E9" s="401"/>
      <c r="F9" s="401"/>
      <c r="G9" s="401"/>
      <c r="H9" s="391" t="n">
        <f aca="false">VLOOKUP('Вхідні параметри'!H8,Таблица611[],4,0)</f>
        <v>1.5</v>
      </c>
      <c r="I9" s="147"/>
      <c r="J9" s="359"/>
      <c r="K9" s="404" t="s">
        <v>300</v>
      </c>
      <c r="L9" s="405" t="n">
        <f aca="false">VLOOKUP('Вхідні параметри'!H4,'Таблиця 6.1'!B4:M9,12,0)</f>
        <v>0.12</v>
      </c>
    </row>
    <row r="10" customFormat="false" ht="19.5" hidden="false" customHeight="true" outlineLevel="0" collapsed="false">
      <c r="B10" s="401" t="s">
        <v>301</v>
      </c>
      <c r="C10" s="401"/>
      <c r="D10" s="401"/>
      <c r="E10" s="401"/>
      <c r="F10" s="401"/>
      <c r="G10" s="401"/>
      <c r="H10" s="391" t="n">
        <v>1</v>
      </c>
      <c r="I10" s="147"/>
      <c r="J10" s="359"/>
      <c r="K10" s="407" t="s">
        <v>302</v>
      </c>
      <c r="L10" s="404" t="n">
        <f aca="false">VLOOKUP('Вхідні параметри'!H4,'Таблиця 6.1'!B4:M9,9,0)</f>
        <v>0.16</v>
      </c>
    </row>
    <row r="11" customFormat="false" ht="20.25" hidden="false" customHeight="false" outlineLevel="0" collapsed="false">
      <c r="B11" s="448" t="s">
        <v>303</v>
      </c>
      <c r="C11" s="448"/>
      <c r="D11" s="448"/>
      <c r="E11" s="448"/>
      <c r="F11" s="448"/>
      <c r="G11" s="448"/>
      <c r="H11" s="397" t="n">
        <f aca="false">H6*H7*H8*H9*H10</f>
        <v>0.00761290776844617</v>
      </c>
      <c r="I11" s="408"/>
      <c r="J11" s="359"/>
      <c r="K11" s="404" t="s">
        <v>304</v>
      </c>
      <c r="L11" s="409" t="n">
        <f aca="false">MROUND((H14-1)/SQRT(L10^2*H14^2+L9^2),0.02)</f>
        <v>2.7</v>
      </c>
    </row>
    <row r="12" customFormat="false" ht="19.5" hidden="false" customHeight="true" outlineLevel="0" collapsed="false">
      <c r="B12" s="401" t="s">
        <v>305</v>
      </c>
      <c r="C12" s="401"/>
      <c r="D12" s="401"/>
      <c r="E12" s="401"/>
      <c r="F12" s="401"/>
      <c r="G12" s="401"/>
      <c r="H12" s="397" t="n">
        <f aca="false">0.00001*(5-3*'Розрахункові параметриПеревірка'!H21)*H4</f>
        <v>-0.000407778310160551</v>
      </c>
      <c r="I12" s="408"/>
      <c r="J12" s="359"/>
      <c r="K12" s="404" t="s">
        <v>173</v>
      </c>
      <c r="L12" s="404" t="n">
        <f aca="false">0.5+0.5*ERF(L11/SQRT(2))</f>
        <v>0.996533026196959</v>
      </c>
    </row>
    <row r="13" customFormat="false" ht="19.5" hidden="false" customHeight="true" outlineLevel="0" collapsed="false">
      <c r="B13" s="401" t="s">
        <v>306</v>
      </c>
      <c r="C13" s="401"/>
      <c r="D13" s="401"/>
      <c r="E13" s="401"/>
      <c r="F13" s="401"/>
      <c r="G13" s="401"/>
      <c r="H13" s="397" t="n">
        <f aca="false">'Розрахункові параметриПеревірка'!$H$25*EXP(-'Розрахункові параметриПеревірка'!H21/33)/(4+57/25*(H4/РозрахДопПружПрогин!$H$7)^2*(H5/'Розрахункові параметриПеревірка'!H20)^(2/3))</f>
        <v>0.00447289405960322</v>
      </c>
      <c r="I13" s="408"/>
      <c r="J13" s="359"/>
    </row>
    <row r="14" customFormat="false" ht="18.75" hidden="false" customHeight="false" outlineLevel="0" collapsed="false">
      <c r="B14" s="450" t="s">
        <v>307</v>
      </c>
      <c r="C14" s="450"/>
      <c r="D14" s="450"/>
      <c r="E14" s="450"/>
      <c r="F14" s="450"/>
      <c r="G14" s="450"/>
      <c r="H14" s="412" t="n">
        <f aca="false">H11/(H12+H13)</f>
        <v>1.87274071334621</v>
      </c>
      <c r="I14" s="359"/>
    </row>
    <row r="15" customFormat="false" ht="18.75" hidden="false" customHeight="false" outlineLevel="0" collapsed="false">
      <c r="B15" s="295" t="s">
        <v>140</v>
      </c>
      <c r="C15" s="296"/>
      <c r="D15" s="296"/>
      <c r="E15" s="296"/>
      <c r="F15" s="296"/>
      <c r="G15" s="296"/>
      <c r="H15" s="413"/>
      <c r="I15" s="359"/>
      <c r="J15" s="359"/>
    </row>
    <row r="16" customFormat="false" ht="18.75" hidden="false" customHeight="false" outlineLevel="0" collapsed="false">
      <c r="B16" s="299"/>
      <c r="C16" s="414" t="n">
        <f aca="false">H3</f>
        <v>1.51</v>
      </c>
      <c r="D16" s="301" t="s">
        <v>141</v>
      </c>
      <c r="E16" s="414" t="n">
        <f aca="false">H14</f>
        <v>1.87274071334621</v>
      </c>
      <c r="F16" s="302" t="str">
        <f aca="false">IF(C16&lt;E16," виконується."," НЕвиконується.")</f>
        <v>виконується.</v>
      </c>
      <c r="G16" s="302"/>
      <c r="H16" s="303"/>
    </row>
    <row r="17" customFormat="false" ht="18.75" hidden="false" customHeight="false" outlineLevel="0" collapsed="false">
      <c r="B17" s="431" t="str">
        <f aca="false">IF(C16&lt;E16,"Відповідно, вибрана конструкція задовольняє умову міцності за критерієм опору зсуву земляного полотна.","Відповідно, вибрана конструкція НЕзадовольняє умову міцності за критерієм опору зсуву земляного полотна.")</f>
        <v>Відповідно, вибрана конструкція задовольняє умову міцності за критерієм опору зсуву земляного полотна.</v>
      </c>
      <c r="C17" s="431"/>
      <c r="D17" s="431"/>
      <c r="E17" s="431"/>
      <c r="F17" s="431"/>
      <c r="G17" s="431"/>
      <c r="H17" s="431"/>
    </row>
    <row r="18" customFormat="false" ht="19.5" hidden="false" customHeight="true" outlineLevel="0" collapsed="false">
      <c r="B18" s="298" t="s">
        <v>308</v>
      </c>
      <c r="C18" s="298"/>
      <c r="D18" s="298"/>
      <c r="E18" s="298"/>
      <c r="F18" s="298"/>
      <c r="G18" s="298"/>
      <c r="H18" s="298"/>
    </row>
    <row r="21" customFormat="false" ht="18.75" hidden="false" customHeight="false" outlineLevel="0" collapsed="false">
      <c r="B21" s="416" t="s">
        <v>238</v>
      </c>
      <c r="C21" s="417"/>
      <c r="D21" s="417"/>
      <c r="E21" s="417"/>
      <c r="F21" s="417"/>
      <c r="G21" s="418"/>
    </row>
    <row r="22" customFormat="false" ht="20.25" hidden="false" customHeight="false" outlineLevel="0" collapsed="false">
      <c r="B22" s="305" t="s">
        <v>239</v>
      </c>
      <c r="C22" s="306" t="s">
        <v>240</v>
      </c>
      <c r="D22" s="306" t="s">
        <v>241</v>
      </c>
      <c r="E22" s="307" t="s">
        <v>242</v>
      </c>
      <c r="F22" s="306" t="s">
        <v>243</v>
      </c>
      <c r="G22" s="419" t="s">
        <v>244</v>
      </c>
      <c r="J22" s="306" t="s">
        <v>245</v>
      </c>
      <c r="K22" s="306" t="s">
        <v>246</v>
      </c>
    </row>
    <row r="23" customFormat="false" ht="18.75" hidden="false" customHeight="false" outlineLevel="0" collapsed="false">
      <c r="B23" s="309" t="n">
        <v>1</v>
      </c>
      <c r="C23" s="310" t="n">
        <f aca="false">Optimum!F3*0.01</f>
        <v>0.05</v>
      </c>
      <c r="D23" s="311" t="n">
        <f aca="false">'Розрахункові параметриПеревірка'!H57</f>
        <v>1450</v>
      </c>
      <c r="E23" s="362" t="n">
        <f aca="false">IF(C23=0,E24,((1.05-0.1*C23/РозрахУмовЗсувуНевязких!$H$7*(1-POWER(E24/D23,1/3)))*D23)/(0.71*POWER(E24/D23,1/3)*ATAN(1.35*2*C23/РозрахУмовЗсувуНевязких!$H$7*POWER(D23/(6*E24),1/3))+(D23/E24)*2/PI()*ATAN(РозрахУмовЗсувуНевязких!$H$7/(2*C23*POWER(D23/(6*E24),1/3)))))</f>
        <v>161.91586603728</v>
      </c>
      <c r="F23" s="363" t="n">
        <f aca="false">C23/РозрахУмовЗсувуНевязких!$H$7</f>
        <v>0.05</v>
      </c>
      <c r="G23" s="367" t="s">
        <v>247</v>
      </c>
      <c r="J23" s="315" t="n">
        <f aca="false">2.84/(10.2+C23)</f>
        <v>0.277073170731707</v>
      </c>
      <c r="K23" s="316" t="n">
        <f aca="false">0.9056*D23^(-0.285)</f>
        <v>0.113748723905592</v>
      </c>
    </row>
    <row r="24" customFormat="false" ht="18.75" hidden="false" customHeight="false" outlineLevel="0" collapsed="false">
      <c r="B24" s="317" t="n">
        <v>2</v>
      </c>
      <c r="C24" s="310" t="n">
        <f aca="false">Optimum!F4*0.01</f>
        <v>0.0526254596642143</v>
      </c>
      <c r="D24" s="319" t="n">
        <f aca="false">'Розрахункові параметриПеревірка'!Q57</f>
        <v>1350</v>
      </c>
      <c r="E24" s="364" t="n">
        <f aca="false">IF(C24=0,E25,((1.05-0.1*C24/РозрахУмовЗсувуНевязких!$H$7*(1-POWER(E25/D24,1/3)))*D24)/(0.71*POWER(E25/D24,1/3)*ATAN(1.35*2*C24/РозрахУмовЗсувуНевязких!$H$7*POWER(D24/(6*E25),1/3))+(D24/E25)*2/PI()*ATAN(РозрахУмовЗсувуНевязких!$H$7/(2*C24*POWER(D24/(6*E25),1/3)))))</f>
        <v>143.754560871105</v>
      </c>
      <c r="F24" s="365" t="n">
        <f aca="false">C24/РозрахУмовЗсувуНевязких!$H$7</f>
        <v>0.0526254596642143</v>
      </c>
      <c r="G24" s="367"/>
      <c r="J24" s="315" t="n">
        <f aca="false">2.84/(10.2+C24)</f>
        <v>0.277002218716864</v>
      </c>
      <c r="K24" s="316" t="n">
        <f aca="false">0.9056*D24^(-0.285)</f>
        <v>0.116089058715996</v>
      </c>
    </row>
    <row r="25" customFormat="false" ht="18.75" hidden="false" customHeight="false" outlineLevel="0" collapsed="false">
      <c r="B25" s="321" t="n">
        <v>3</v>
      </c>
      <c r="C25" s="310" t="n">
        <f aca="false">Optimum!F5*0.01</f>
        <v>0.08</v>
      </c>
      <c r="D25" s="323" t="n">
        <f aca="false">'Розрахункові параметриПеревірка'!Z57</f>
        <v>950</v>
      </c>
      <c r="E25" s="312" t="n">
        <f aca="false">IF(C25=0,E26,((1.05-0.1*C25/РозрахУмовЗсувуНевязких!$H$7*(1-POWER(E26/D25,1/3)))*D25)/(0.71*POWER(E26/D25,1/3)*ATAN(1.35*2*C25/РозрахУмовЗсувуНевязких!$H$7*POWER(D25/(6*E26),1/3))+(D25/E26)*2/PI()*ATAN(РозрахУмовЗсувуНевязких!$H$7/(2*C25*POWER(D25/(6*E26),1/3)))))</f>
        <v>126.920604266731</v>
      </c>
      <c r="F25" s="313" t="n">
        <f aca="false">C25/РозрахУмовЗсувуНевязких!$H$7</f>
        <v>0.08</v>
      </c>
      <c r="G25" s="367"/>
      <c r="J25" s="315" t="n">
        <f aca="false">2.84/(10.2+C25)</f>
        <v>0.276264591439689</v>
      </c>
      <c r="K25" s="316" t="n">
        <f aca="false">0.9056*D25^(-0.285)</f>
        <v>0.128317292184162</v>
      </c>
    </row>
    <row r="26" customFormat="false" ht="18.75" hidden="false" customHeight="false" outlineLevel="0" collapsed="false">
      <c r="B26" s="309" t="n">
        <v>4</v>
      </c>
      <c r="C26" s="310" t="n">
        <f aca="false">Optimum!F6*0.01</f>
        <v>0.18</v>
      </c>
      <c r="D26" s="311" t="n">
        <f aca="false">'Розрахункові параметриПеревірка'!H64</f>
        <v>700</v>
      </c>
      <c r="E26" s="362" t="n">
        <f aca="false">IF(C26=0,E27,((1.05-0.1*C26/РозрахУмовЗсувуНевязких!$H$7*(1-POWER(E27/D26,1/3)))*D26)/(0.71*POWER(E27/D26,1/3)*ATAN(1.35*2*C26/РозрахУмовЗсувуНевязких!$H$7*POWER(D26/(6*E27),1/3))+(D26/E27)*2/PI()*ATAN(РозрахУмовЗсувуНевязких!$H$7/(2*C26*POWER(D26/(6*E27),1/3)))))</f>
        <v>108.637357113675</v>
      </c>
      <c r="F26" s="363" t="n">
        <f aca="false">C26/РозрахУмовЗсувуНевязких!$H$7</f>
        <v>0.18</v>
      </c>
      <c r="G26" s="367" t="s">
        <v>289</v>
      </c>
      <c r="J26" s="315" t="n">
        <f aca="false">2.84/(10.2+C26)</f>
        <v>0.273603082851638</v>
      </c>
      <c r="K26" s="316" t="n">
        <f aca="false">0.9056*D26^(-0.285)</f>
        <v>0.139985635246315</v>
      </c>
    </row>
    <row r="27" customFormat="false" ht="18.75" hidden="false" customHeight="false" outlineLevel="0" collapsed="false">
      <c r="B27" s="317" t="n">
        <v>5</v>
      </c>
      <c r="C27" s="310" t="n">
        <f aca="false">Optimum!F7*0.01</f>
        <v>0</v>
      </c>
      <c r="D27" s="319" t="n">
        <f aca="false">'Розрахункові параметриПеревірка'!$Q$64</f>
        <v>900</v>
      </c>
      <c r="E27" s="364" t="n">
        <f aca="false">IF(C27=0,E28,((1.05-0.1*C27/РозрахУмовЗсувуНевязких!$H$7*(1-POWER(E28/D27,1/3)))*D27)/(0.71*POWER(E28/D27,1/3)*ATAN(1.35*2*C27/РозрахУмовЗсувуНевязких!$H$7*POWER(D27/(6*E28),1/3))+(D27/E28)*2/PI()*ATAN(РозрахУмовЗсувуНевязких!$H$7/(2*C27*POWER(D27/(6*E28),1/3)))))</f>
        <v>80.7945521531362</v>
      </c>
      <c r="F27" s="365" t="n">
        <f aca="false">C27/РозрахУмовЗсувуНевязких!$H$7</f>
        <v>0</v>
      </c>
      <c r="G27" s="367"/>
      <c r="J27" s="315" t="n">
        <f aca="false">2.84/(10.2+C27)</f>
        <v>0.27843137254902</v>
      </c>
      <c r="K27" s="316" t="n">
        <f aca="false">0.9056*D27^(-0.285)</f>
        <v>0.130309866138427</v>
      </c>
    </row>
    <row r="28" customFormat="false" ht="18.75" hidden="false" customHeight="false" outlineLevel="0" collapsed="false">
      <c r="B28" s="368" t="n">
        <v>6</v>
      </c>
      <c r="C28" s="310" t="n">
        <f aca="false">Optimum!F8*0.01</f>
        <v>0.15</v>
      </c>
      <c r="D28" s="370" t="n">
        <f aca="false">'Розрахункові параметриПеревірка'!$Z$64</f>
        <v>700</v>
      </c>
      <c r="E28" s="371" t="n">
        <f aca="false">IF(C28=0,E29,((1.05-0.1*C28/РозрахУмовЗсувуНевязких!$H$7*(1-POWER(E29/D28,1/3)))*D28)/(0.71*POWER(E29/D28,1/3)*ATAN(1.35*2*C28/РозрахУмовЗсувуНевязких!$H$7*POWER(D28/(6*E29),1/3))+(D28/E29)*2/PI()*ATAN(РозрахУмовЗсувуНевязких!$H$7/(2*C28*POWER(D28/(6*E29),1/3)))))</f>
        <v>80.7945521531362</v>
      </c>
      <c r="F28" s="372" t="n">
        <f aca="false">C28/РозрахУмовЗсувуНевязких!$H$7</f>
        <v>0.15</v>
      </c>
      <c r="G28" s="367"/>
      <c r="J28" s="315" t="n">
        <f aca="false">2.84/(10.2+C28)</f>
        <v>0.2743961352657</v>
      </c>
      <c r="K28" s="316" t="n">
        <f aca="false">0.9056*D28^(-0.285)</f>
        <v>0.139985635246315</v>
      </c>
    </row>
    <row r="29" customFormat="false" ht="18.75" hidden="false" customHeight="false" outlineLevel="0" collapsed="false">
      <c r="B29" s="373" t="n">
        <v>7</v>
      </c>
      <c r="C29" s="310" t="n">
        <f aca="false">Optimum!F9*0.01</f>
        <v>0.18</v>
      </c>
      <c r="D29" s="375" t="n">
        <f aca="false">'Розрахункові параметриПеревірка'!$H$72</f>
        <v>280</v>
      </c>
      <c r="E29" s="376" t="n">
        <f aca="false">IF(C29=0,E30,((1.05-0.1*C29/РозрахУмовЗсувуНевязких!$H$7*(1-POWER(E30/D29,1/3)))*D29)/(0.71*POWER(E30/D29,1/3)*ATAN(1.35*2*C29/РозрахУмовЗсувуНевязких!$H$7*POWER(D29/(6*E30),1/3))+(D29/E30)*2/PI()*ATAN(РозрахУмовЗсувуНевязких!$H$7/(2*C29*POWER(D29/(6*E30),1/3)))))</f>
        <v>60.94724205713</v>
      </c>
      <c r="F29" s="377" t="n">
        <f aca="false">C29/РозрахУмовЗсувуНевязких!$H$7</f>
        <v>0.18</v>
      </c>
      <c r="G29" s="367" t="s">
        <v>290</v>
      </c>
      <c r="J29" s="315" t="n">
        <f aca="false">2.84/(10.2+C29)</f>
        <v>0.273603082851638</v>
      </c>
      <c r="K29" s="316" t="n">
        <f aca="false">0.9056*D29^(-0.285)</f>
        <v>0.181759188445756</v>
      </c>
    </row>
    <row r="30" customFormat="false" ht="18.75" hidden="false" customHeight="false" outlineLevel="0" collapsed="false">
      <c r="B30" s="317" t="n">
        <v>8</v>
      </c>
      <c r="C30" s="310" t="n">
        <f aca="false">Optimum!F10*0.01</f>
        <v>0</v>
      </c>
      <c r="D30" s="319" t="n">
        <f aca="false">'Розрахункові параметриПеревірка'!$Q$72</f>
        <v>280</v>
      </c>
      <c r="E30" s="364" t="n">
        <f aca="false">IF(C30=0,E31,((1.05-0.1*C30/РозрахУмовЗсувуНевязких!$H$7*(1-POWER(E31/D30,1/3)))*D30)/(0.71*POWER(E31/D30,1/3)*ATAN(1.35*2*C30/РозрахУмовЗсувуНевязких!$H$7*POWER(D30/(6*E31),1/3))+(D30/E31)*2/PI()*ATAN(РозрахУмовЗсувуНевязких!$H$7/(2*C30*POWER(D30/(6*E31),1/3)))))</f>
        <v>47.4434604528599</v>
      </c>
      <c r="F30" s="365" t="n">
        <f aca="false">C30/РозрахУмовЗсувуНевязких!$H$7</f>
        <v>0</v>
      </c>
      <c r="G30" s="367"/>
      <c r="J30" s="315" t="n">
        <f aca="false">2.84/(10.2+C30)</f>
        <v>0.27843137254902</v>
      </c>
      <c r="K30" s="316" t="n">
        <f aca="false">0.9056*D30^(-0.285)</f>
        <v>0.181759188445756</v>
      </c>
    </row>
    <row r="31" customFormat="false" ht="18.75" hidden="false" customHeight="false" outlineLevel="0" collapsed="false">
      <c r="B31" s="321" t="n">
        <v>9</v>
      </c>
      <c r="C31" s="310" t="n">
        <f aca="false">Optimum!F11*0.01</f>
        <v>0.08</v>
      </c>
      <c r="D31" s="323" t="n">
        <f aca="false">'Розрахункові параметриПеревірка'!$Z$72</f>
        <v>180</v>
      </c>
      <c r="E31" s="379" t="n">
        <f aca="false">IF(C31=0,E32,((1.05-0.1*C31/РозрахУмовЗсувуНевязких!$H$7*(1-POWER(E32/D31,1/3)))*D31)/(0.71*POWER(E32/D31,1/3)*ATAN(1.35*2*C31/РозрахУмовЗсувуНевязких!$H$7*POWER(D31/(6*E32),1/3))+(D31/E32)*2/PI()*ATAN(РозрахУмовЗсувуНевязких!$H$7/(2*C31*POWER(D31/(6*E32),1/3)))))</f>
        <v>47.4434604528599</v>
      </c>
      <c r="F31" s="313" t="n">
        <f aca="false">C31/РозрахУмовЗсувуНевязких!$H$7</f>
        <v>0.08</v>
      </c>
      <c r="G31" s="367"/>
      <c r="J31" s="315" t="n">
        <f aca="false">2.84/(10.2+C31)</f>
        <v>0.276264591439689</v>
      </c>
      <c r="K31" s="316" t="n">
        <f aca="false">0.9056*D31^(-0.285)</f>
        <v>0.206150194975175</v>
      </c>
    </row>
    <row r="32" customFormat="false" ht="18.75" hidden="false" customHeight="false" outlineLevel="0" collapsed="false">
      <c r="B32" s="380" t="n">
        <v>10</v>
      </c>
      <c r="C32" s="310" t="n">
        <f aca="false">Optimum!F12*0.01</f>
        <v>0.15</v>
      </c>
      <c r="D32" s="381" t="n">
        <f aca="false">'Розрахункові параметриПеревірка'!$I$20</f>
        <v>130</v>
      </c>
      <c r="E32" s="379" t="n">
        <f aca="false">IF(C32=0,E33,((1.05-0.1*C32/РозрахУмовЗсувуНевязких!$H$7*(1-POWER(E33/D32,1/3)))*D32)/(0.71*POWER(E33/D32,1/3)*ATAN(1.35*2*C32/РозрахУмовЗсувуНевязких!$H$7*POWER(D32/(6*E33),1/3))+(D32/E33)*2/PI()*ATAN(РозрахУмовЗсувуНевязких!$H$7/(2*C32*POWER(D32/(6*E33),1/3)))))</f>
        <v>42.1055545808554</v>
      </c>
      <c r="F32" s="382" t="n">
        <f aca="false">C32/РозрахУмовЗсувуНевязких!$H$7</f>
        <v>0.15</v>
      </c>
      <c r="G32" s="367" t="s">
        <v>86</v>
      </c>
      <c r="J32" s="315" t="n">
        <f aca="false">2.84/(10.2+C32)</f>
        <v>0.2743961352657</v>
      </c>
      <c r="K32" s="316" t="n">
        <f aca="false">0.9056*D32^(-0.285)</f>
        <v>0.226184353243738</v>
      </c>
    </row>
    <row r="33" customFormat="false" ht="19.5" hidden="false" customHeight="true" outlineLevel="0" collapsed="false">
      <c r="B33" s="325" t="s">
        <v>249</v>
      </c>
      <c r="C33" s="325"/>
      <c r="D33" s="325"/>
      <c r="E33" s="326" t="n">
        <f aca="false">'Розрахункові параметриПеревірка'!$H$20</f>
        <v>35.5968</v>
      </c>
      <c r="F33" s="327"/>
      <c r="G33" s="328"/>
      <c r="K33" s="316" t="n">
        <f aca="false">0.9056*E33^(-0.285)</f>
        <v>0.327178148697233</v>
      </c>
    </row>
    <row r="34" customFormat="false" ht="18.75" hidden="false" customHeight="false" outlineLevel="0" collapsed="false">
      <c r="K34" s="204"/>
    </row>
    <row r="35" customFormat="false" ht="18.75" hidden="false" customHeight="false" outlineLevel="0" collapsed="false">
      <c r="B35" s="295" t="s">
        <v>140</v>
      </c>
      <c r="C35" s="296"/>
      <c r="D35" s="296"/>
      <c r="E35" s="296"/>
      <c r="F35" s="296"/>
      <c r="G35" s="297"/>
      <c r="J35" s="295" t="s">
        <v>140</v>
      </c>
      <c r="K35" s="296"/>
      <c r="L35" s="296"/>
      <c r="M35" s="296"/>
      <c r="N35" s="296"/>
      <c r="O35" s="297"/>
    </row>
    <row r="36" customFormat="false" ht="18.75" hidden="false" customHeight="false" outlineLevel="0" collapsed="false">
      <c r="B36" s="299"/>
      <c r="C36" s="300" t="n">
        <f aca="false">H3</f>
        <v>1.51</v>
      </c>
      <c r="D36" s="301" t="s">
        <v>141</v>
      </c>
      <c r="E36" s="300" t="n">
        <f aca="false">H14</f>
        <v>1.87274071334621</v>
      </c>
      <c r="F36" s="302" t="str">
        <f aca="false">IF(C36&lt;E36," виконується."," НЕвиконується.")</f>
        <v>виконується.</v>
      </c>
      <c r="G36" s="303"/>
      <c r="J36" s="299"/>
      <c r="K36" s="300" t="n">
        <f aca="false">'Розрахункові параметриПеревірка'!H5</f>
        <v>0.97</v>
      </c>
      <c r="L36" s="301" t="s">
        <v>141</v>
      </c>
      <c r="M36" s="300" t="n">
        <f aca="false">L12</f>
        <v>0.996533026196959</v>
      </c>
      <c r="N36" s="302" t="str">
        <f aca="false">IF(K36&lt;M36," виконується."," НЕвиконується.")</f>
        <v>виконується.</v>
      </c>
      <c r="O36" s="303"/>
    </row>
    <row r="37" customFormat="false" ht="18.75" hidden="false" customHeight="false" outlineLevel="0" collapsed="false">
      <c r="B37" s="304" t="str">
        <f aca="false">IF(C36&lt;E36,"Відповідно, вибрана конструкція задовольняє умову міцності за допустимим зсувом грунтового покриття.","Відповідно, вибрана конструкція НЕзадовольняє умову міцності за допустимим зчувом грунтового покриття.")</f>
        <v>Відповідно, вибрана конструкція задовольняє умову міцності за допустимим зсувом грунтового покриття.</v>
      </c>
      <c r="C37" s="304"/>
      <c r="D37" s="304"/>
      <c r="E37" s="304"/>
      <c r="F37" s="304"/>
      <c r="G37" s="304"/>
      <c r="J37" s="304" t="str">
        <f aca="false">IF(K36&lt;M36,"Відповідно, вибрана конструкція задовольняє умову надійності за критерієм опору зсуву земляного полотна.","Відповідно, вибрана конструкція Незадовольняє умову надійності за критерієм опору зсуву земляного полотна.")</f>
        <v>Відповідно, вибрана конструкція задовольняє умову надійності за критерієм опору зсуву земляного полотна.</v>
      </c>
      <c r="K37" s="304"/>
      <c r="L37" s="304"/>
      <c r="M37" s="304"/>
      <c r="N37" s="304"/>
      <c r="O37" s="304"/>
    </row>
  </sheetData>
  <mergeCells count="20">
    <mergeCell ref="B3:G3"/>
    <mergeCell ref="B4:G4"/>
    <mergeCell ref="B5:G5"/>
    <mergeCell ref="B6:G6"/>
    <mergeCell ref="B7:G7"/>
    <mergeCell ref="B8:G8"/>
    <mergeCell ref="B9:G9"/>
    <mergeCell ref="B10:G10"/>
    <mergeCell ref="B11:G11"/>
    <mergeCell ref="B12:G12"/>
    <mergeCell ref="B13:G13"/>
    <mergeCell ref="B14:G14"/>
    <mergeCell ref="B17:H17"/>
    <mergeCell ref="B18:H18"/>
    <mergeCell ref="G23:G25"/>
    <mergeCell ref="G26:G28"/>
    <mergeCell ref="G29:G31"/>
    <mergeCell ref="B33:D33"/>
    <mergeCell ref="B37:G37"/>
    <mergeCell ref="J37:O37"/>
  </mergeCells>
  <conditionalFormatting sqref="H14">
    <cfRule type="cellIs" priority="2" operator="lessThan" aboveAverage="0" equalAverage="0" bottom="0" percent="0" rank="0" text="" dxfId="0">
      <formula>$H$3</formula>
    </cfRule>
    <cfRule type="cellIs" priority="3" operator="greaterThan" aboveAverage="0" equalAverage="0" bottom="0" percent="0" rank="0" text="" dxfId="1">
      <formula>$H$3</formula>
    </cfRule>
  </conditionalFormatting>
  <dataValidations count="2">
    <dataValidation allowBlank="true" operator="between" prompt="при розрахунку на вплив короткочасних навантажень к1 = 1, при тривалій дії навантажень з малою повторністю к1 = 1,5&#10;" promptTitle="Коефіцієнт зниження опору грунту" showDropDown="false" showErrorMessage="true" showInputMessage="true" sqref="H7" type="none">
      <formula1>0</formula1>
      <formula2>0</formula2>
    </dataValidation>
    <dataValidation allowBlank="true" operator="between" prompt="Встановлюється експериментально або за довідковими даними&#10;" promptTitle="Зчеплення в грунті Сгр, Мпа" showDropDown="false" showErrorMessage="true" showInputMessage="true" sqref="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O37"/>
  <sheetViews>
    <sheetView windowProtection="false" showFormulas="false" showGridLines="true" showRowColHeaders="true" showZeros="true" rightToLeft="false" tabSelected="false" showOutlineSymbols="true" defaultGridColor="true" view="normal" topLeftCell="F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10.3659793814433"/>
    <col collapsed="false" hidden="false" max="3" min="3" style="0" width="6.68041237113402"/>
    <col collapsed="false" hidden="false" max="4" min="4" style="0" width="12.2731958762887"/>
    <col collapsed="false" hidden="false" max="5" min="5" style="0" width="15.819587628866"/>
    <col collapsed="false" hidden="false" max="6" min="6" style="0" width="16.3659793814433"/>
    <col collapsed="false" hidden="false" max="7" min="7" style="0" width="13.7731958762887"/>
    <col collapsed="false" hidden="false" max="8" min="8" style="0" width="10.3659793814433"/>
    <col collapsed="false" hidden="false" max="9" min="9" style="0" width="7.63917525773196"/>
    <col collapsed="false" hidden="false" max="10" min="10" style="0" width="19.5051546391753"/>
    <col collapsed="false" hidden="false" max="11" min="11" style="0" width="62.5979381443299"/>
    <col collapsed="false" hidden="false" max="12" min="12" style="0" width="6.13917525773196"/>
    <col collapsed="false" hidden="false" max="13" min="13" style="0" width="4.77319587628866"/>
    <col collapsed="false" hidden="false" max="14" min="14" style="0" width="19.639175257732"/>
    <col collapsed="false" hidden="false" max="1025" min="15" style="0" width="7.63917525773196"/>
  </cols>
  <sheetData>
    <row r="1" customFormat="false" ht="18.75" hidden="false" customHeight="false" outlineLevel="0" collapsed="false">
      <c r="B1" s="4" t="s">
        <v>309</v>
      </c>
      <c r="C1" s="201"/>
      <c r="D1" s="201"/>
      <c r="E1" s="201"/>
      <c r="F1" s="201"/>
      <c r="G1" s="201"/>
      <c r="H1" s="201"/>
      <c r="K1" s="4" t="s">
        <v>310</v>
      </c>
    </row>
    <row r="2" customFormat="false" ht="18.75" hidden="false" customHeight="false" outlineLevel="0" collapsed="false">
      <c r="B2" s="4"/>
      <c r="C2" s="201"/>
      <c r="D2" s="201"/>
      <c r="E2" s="201"/>
      <c r="F2" s="201"/>
      <c r="G2" s="201"/>
      <c r="H2" s="201" t="s">
        <v>86</v>
      </c>
    </row>
    <row r="3" customFormat="false" ht="34.5" hidden="false" customHeight="true" outlineLevel="0" collapsed="false">
      <c r="B3" s="385" t="s">
        <v>311</v>
      </c>
      <c r="C3" s="385"/>
      <c r="D3" s="385"/>
      <c r="E3" s="385"/>
      <c r="F3" s="385"/>
      <c r="G3" s="385"/>
      <c r="H3" s="420" t="n">
        <f aca="false">'Розрахункові параметриПеревірка'!H9</f>
        <v>1.51</v>
      </c>
      <c r="I3" s="421"/>
      <c r="J3" s="359"/>
      <c r="K3" s="388" t="s">
        <v>214</v>
      </c>
      <c r="L3" s="389" t="n">
        <f aca="false">1/H5*H4*SQRT(SUM((D23*C23)^2*(K23+J23)^2,(D24*C24)^2*(K24+J24)^2,(D25*C25)^2*(K25+J25)^2,(D26*C26)^2*(K26+J26)^2,(D27*C27)^2*(K27+J27)^2,(D28*C28)^2*(K28+J28)^2,(D29*C29)^2*(K29+J29)^2,(D30*C30)^2*(K30+J30)^2,(D31*C31)^2*(K31+J31)^2,))</f>
        <v>0.101724093768254</v>
      </c>
    </row>
    <row r="4" customFormat="false" ht="19.5" hidden="false" customHeight="false" outlineLevel="0" collapsed="false">
      <c r="B4" s="390" t="s">
        <v>211</v>
      </c>
      <c r="C4" s="390"/>
      <c r="D4" s="390"/>
      <c r="E4" s="390"/>
      <c r="F4" s="390"/>
      <c r="G4" s="390"/>
      <c r="H4" s="422" t="n">
        <f aca="false">SUM(C23:C31)</f>
        <v>0.772625459664214</v>
      </c>
      <c r="I4" s="359"/>
      <c r="J4" s="359"/>
      <c r="K4" s="392" t="s">
        <v>216</v>
      </c>
      <c r="L4" s="389" t="n">
        <f aca="false">1/H4*SQRT(SUM((J23*C23)^2,(J24*C24)^2,(J25*C25)^2,(J26*C26)^2,(J27*C27)^2,(J28*C28)^2,(J29*C29)^2,(J30*C30)^2,(J31*C31)^2,))</f>
        <v>0.115230069888421</v>
      </c>
    </row>
    <row r="5" customFormat="false" ht="20.25" hidden="false" customHeight="false" outlineLevel="0" collapsed="false">
      <c r="B5" s="393" t="s">
        <v>295</v>
      </c>
      <c r="C5" s="393"/>
      <c r="D5" s="393"/>
      <c r="E5" s="393"/>
      <c r="F5" s="393"/>
      <c r="G5" s="393"/>
      <c r="H5" s="249" t="n">
        <f aca="false">SUM(C23*D23,C24*D24,C25*D25,C26*D26,C27*D27,C28*D28,C29*D29,C30*D30,C31*D31)/H4</f>
        <v>667.004127421144</v>
      </c>
      <c r="I5" s="194"/>
      <c r="J5" s="359"/>
      <c r="K5" s="395" t="s">
        <v>218</v>
      </c>
      <c r="L5" s="423" t="n">
        <f aca="false">VLOOKUP('Вхідні параметри'!H8,Таблица611[],5,0)</f>
        <v>0.2</v>
      </c>
    </row>
    <row r="6" customFormat="false" ht="34.5" hidden="false" customHeight="false" outlineLevel="0" collapsed="false">
      <c r="B6" s="393" t="s">
        <v>296</v>
      </c>
      <c r="C6" s="393"/>
      <c r="D6" s="393"/>
      <c r="E6" s="393"/>
      <c r="F6" s="393"/>
      <c r="G6" s="393"/>
      <c r="H6" s="424" t="n">
        <f aca="false">'Розрахункові параметриПеревірка'!I22</f>
        <v>0.004</v>
      </c>
      <c r="I6" s="359"/>
      <c r="J6" s="359"/>
      <c r="K6" s="395" t="s">
        <v>220</v>
      </c>
      <c r="L6" s="423" t="n">
        <f aca="false">VLOOKUP('Вхідні параметри'!H8,Таблица611[],6,0)</f>
        <v>0.27</v>
      </c>
    </row>
    <row r="7" customFormat="false" ht="18.75" hidden="false" customHeight="true" outlineLevel="0" collapsed="false">
      <c r="B7" s="398" t="s">
        <v>297</v>
      </c>
      <c r="C7" s="398"/>
      <c r="D7" s="398"/>
      <c r="E7" s="398"/>
      <c r="F7" s="398"/>
      <c r="G7" s="398"/>
      <c r="H7" s="391" t="n">
        <v>1</v>
      </c>
      <c r="I7" s="359"/>
      <c r="J7" s="359"/>
      <c r="K7" s="399" t="s">
        <v>88</v>
      </c>
      <c r="L7" s="400" t="n">
        <f aca="false">'Розрахункові параметриПеревірка'!I21</f>
        <v>35</v>
      </c>
    </row>
    <row r="8" customFormat="false" ht="19.5" hidden="false" customHeight="true" outlineLevel="0" collapsed="false">
      <c r="B8" s="401" t="s">
        <v>298</v>
      </c>
      <c r="C8" s="401"/>
      <c r="D8" s="401"/>
      <c r="E8" s="401"/>
      <c r="F8" s="401"/>
      <c r="G8" s="401"/>
      <c r="H8" s="425" t="n">
        <f aca="false">1.816-0.15*LN('Розрахункові параметриПеревірка'!H30)</f>
        <v>0.528740243116929</v>
      </c>
      <c r="I8" s="426"/>
      <c r="J8" s="359"/>
      <c r="K8" s="404" t="s">
        <v>223</v>
      </c>
      <c r="L8" s="405" t="n">
        <f aca="false">РозрахДопПружПрогин!H7</f>
        <v>0.344917848176305</v>
      </c>
    </row>
    <row r="9" customFormat="false" ht="19.5" hidden="false" customHeight="true" outlineLevel="0" collapsed="false">
      <c r="B9" s="398" t="s">
        <v>299</v>
      </c>
      <c r="C9" s="398"/>
      <c r="D9" s="398"/>
      <c r="E9" s="398"/>
      <c r="F9" s="398"/>
      <c r="G9" s="398"/>
      <c r="H9" s="391" t="n">
        <f aca="false">VLOOKUP('Вхідні параметри'!H24,Таблица611[],4,0)</f>
        <v>7</v>
      </c>
      <c r="I9" s="359"/>
      <c r="J9" s="359"/>
      <c r="K9" s="404" t="s">
        <v>300</v>
      </c>
      <c r="L9" s="405" t="n">
        <f aca="false">VLOOKUP('Вхідні параметри'!H4,'Таблиця 6.1'!B4:M9,12,0)</f>
        <v>0.12</v>
      </c>
    </row>
    <row r="10" customFormat="false" ht="19.5" hidden="false" customHeight="true" outlineLevel="0" collapsed="false">
      <c r="B10" s="398" t="s">
        <v>301</v>
      </c>
      <c r="C10" s="398"/>
      <c r="D10" s="398"/>
      <c r="E10" s="398"/>
      <c r="F10" s="398"/>
      <c r="G10" s="398"/>
      <c r="H10" s="422" t="n">
        <v>1</v>
      </c>
      <c r="I10" s="359"/>
      <c r="J10" s="359"/>
      <c r="K10" s="407" t="s">
        <v>302</v>
      </c>
      <c r="L10" s="404" t="n">
        <f aca="false">VLOOKUP('Вхідні параметри'!H4,'Таблиця 6.1'!B4:M9,9,0)</f>
        <v>0.16</v>
      </c>
    </row>
    <row r="11" customFormat="false" ht="20.25" hidden="false" customHeight="false" outlineLevel="0" collapsed="false">
      <c r="B11" s="390" t="s">
        <v>303</v>
      </c>
      <c r="C11" s="390"/>
      <c r="D11" s="390"/>
      <c r="E11" s="390"/>
      <c r="F11" s="390"/>
      <c r="G11" s="390"/>
      <c r="H11" s="427" t="n">
        <f aca="false">H6*H7*H8*H9*H10</f>
        <v>0.014804726807274</v>
      </c>
      <c r="I11" s="428"/>
      <c r="J11" s="359"/>
      <c r="K11" s="404" t="s">
        <v>304</v>
      </c>
      <c r="L11" s="409" t="n">
        <f aca="false">MROUND((H14-1)/SQRT((L10^2)*(H14^2)+(L9^2)),0.02)</f>
        <v>3.32</v>
      </c>
    </row>
    <row r="12" customFormat="false" ht="19.5" hidden="false" customHeight="true" outlineLevel="0" collapsed="false">
      <c r="B12" s="398" t="s">
        <v>305</v>
      </c>
      <c r="C12" s="398"/>
      <c r="D12" s="398"/>
      <c r="E12" s="398"/>
      <c r="F12" s="398"/>
      <c r="G12" s="398"/>
      <c r="H12" s="427" t="n">
        <f aca="false">0.00001*(5-3*'Розрахункові параметриПеревірка'!I21)*H4</f>
        <v>-0.000772625459664214</v>
      </c>
      <c r="I12" s="428"/>
      <c r="J12" s="359"/>
      <c r="K12" s="404" t="s">
        <v>173</v>
      </c>
      <c r="L12" s="409" t="n">
        <f aca="false">0.5+0.5*ERF(L11/SQRT(2))</f>
        <v>0.999549912759408</v>
      </c>
    </row>
    <row r="13" customFormat="false" ht="19.5" hidden="false" customHeight="true" outlineLevel="0" collapsed="false">
      <c r="B13" s="398" t="s">
        <v>306</v>
      </c>
      <c r="C13" s="398"/>
      <c r="D13" s="398"/>
      <c r="E13" s="398"/>
      <c r="F13" s="398"/>
      <c r="G13" s="398"/>
      <c r="H13" s="427" t="n">
        <f aca="false">'Розрахункові параметриПеревірка'!$H$25*EXP(-'Розрахункові параметриПеревірка'!I21/33)/(4+57/25*(H4/РозрахДопПружПрогин!$H$7)^2*(H5/'Розрахункові параметриПеревірка'!I20)^(2/3))</f>
        <v>0.00728309133258551</v>
      </c>
      <c r="I13" s="428"/>
      <c r="J13" s="359"/>
    </row>
    <row r="14" customFormat="false" ht="18.75" hidden="false" customHeight="false" outlineLevel="0" collapsed="false">
      <c r="B14" s="411" t="s">
        <v>307</v>
      </c>
      <c r="C14" s="411"/>
      <c r="D14" s="411"/>
      <c r="E14" s="411"/>
      <c r="F14" s="411"/>
      <c r="G14" s="411"/>
      <c r="H14" s="430" t="n">
        <f aca="false">H11/(H12+H13)</f>
        <v>2.27398885060602</v>
      </c>
      <c r="I14" s="359"/>
    </row>
    <row r="15" customFormat="false" ht="18.75" hidden="false" customHeight="false" outlineLevel="0" collapsed="false">
      <c r="B15" s="295" t="s">
        <v>140</v>
      </c>
      <c r="C15" s="296"/>
      <c r="D15" s="296"/>
      <c r="E15" s="296"/>
      <c r="F15" s="296"/>
      <c r="G15" s="296"/>
      <c r="H15" s="413"/>
      <c r="I15" s="359"/>
      <c r="J15" s="359"/>
    </row>
    <row r="16" customFormat="false" ht="18.75" hidden="false" customHeight="false" outlineLevel="0" collapsed="false">
      <c r="B16" s="299"/>
      <c r="C16" s="414" t="n">
        <f aca="false">H3</f>
        <v>1.51</v>
      </c>
      <c r="D16" s="301" t="s">
        <v>141</v>
      </c>
      <c r="E16" s="414" t="n">
        <f aca="false">H14</f>
        <v>2.27398885060602</v>
      </c>
      <c r="F16" s="302" t="str">
        <f aca="false">IF(C16&lt;E16," виконується."," НЕвиконується.")</f>
        <v>виконується.</v>
      </c>
      <c r="G16" s="302"/>
      <c r="H16" s="303"/>
      <c r="I16" s="167"/>
    </row>
    <row r="17" customFormat="false" ht="18.75" hidden="false" customHeight="false" outlineLevel="0" collapsed="false">
      <c r="B17" s="431" t="str">
        <f aca="false">IF(C16&lt;E16,"Відповідно, вибрана конструкція задовольняє умову міцності за критерієм опору зсуву піску.","Відповідно, вибрана конструкція НЕзадовольняє умову міцності за критерієм опору зсуву піску.")</f>
        <v>Відповідно, вибрана конструкція задовольняє умову міцності за критерієм опору зсуву піску.</v>
      </c>
      <c r="C17" s="431"/>
      <c r="D17" s="431"/>
      <c r="E17" s="431"/>
      <c r="F17" s="431"/>
      <c r="G17" s="431"/>
      <c r="H17" s="431"/>
      <c r="I17" s="167"/>
    </row>
    <row r="18" customFormat="false" ht="19.5" hidden="false" customHeight="true" outlineLevel="0" collapsed="false">
      <c r="B18" s="298" t="s">
        <v>308</v>
      </c>
      <c r="C18" s="298"/>
      <c r="D18" s="298"/>
      <c r="E18" s="298"/>
      <c r="F18" s="298"/>
      <c r="G18" s="298"/>
      <c r="H18" s="298"/>
    </row>
    <row r="21" customFormat="false" ht="18.75" hidden="false" customHeight="false" outlineLevel="0" collapsed="false">
      <c r="B21" s="416" t="s">
        <v>312</v>
      </c>
      <c r="C21" s="432"/>
      <c r="D21" s="432"/>
      <c r="E21" s="432"/>
      <c r="F21" s="432"/>
      <c r="G21" s="413"/>
    </row>
    <row r="22" customFormat="false" ht="20.25" hidden="false" customHeight="false" outlineLevel="0" collapsed="false">
      <c r="B22" s="305" t="s">
        <v>239</v>
      </c>
      <c r="C22" s="306" t="s">
        <v>240</v>
      </c>
      <c r="D22" s="306" t="s">
        <v>241</v>
      </c>
      <c r="E22" s="307" t="s">
        <v>242</v>
      </c>
      <c r="F22" s="306" t="s">
        <v>243</v>
      </c>
      <c r="G22" s="419" t="s">
        <v>244</v>
      </c>
      <c r="J22" s="306" t="s">
        <v>245</v>
      </c>
      <c r="K22" s="306" t="s">
        <v>246</v>
      </c>
    </row>
    <row r="23" customFormat="false" ht="18.75" hidden="false" customHeight="false" outlineLevel="0" collapsed="false">
      <c r="B23" s="309" t="n">
        <v>1</v>
      </c>
      <c r="C23" s="310" t="n">
        <f aca="false">Optimum!F3*0.01</f>
        <v>0.05</v>
      </c>
      <c r="D23" s="311" t="n">
        <f aca="false">'Розрахункові параметриПеревірка'!H57</f>
        <v>1450</v>
      </c>
      <c r="E23" s="362" t="n">
        <f aca="false">IF(C23=0,E24,((1.05-0.1*C23/РозрахУмовЗсувуНевязких!$H$7*(1-POWER(E24/D23,1/3)))*D23)/(0.71*POWER(E24/D23,1/3)*ATAN(1.35*2*C23/РозрахУмовЗсувуНевязких!$H$7*POWER(D23/(6*E24),1/3))+(D23/E24)*2/PI()*ATAN(РозрахУмовЗсувуНевязких!$H$7/(2*C23*POWER(D23/(6*E24),1/3)))))</f>
        <v>310.503280906124</v>
      </c>
      <c r="F23" s="363" t="n">
        <f aca="false">C23/РозрахУмовЗсувуНевязких!$H$7</f>
        <v>0.05</v>
      </c>
      <c r="G23" s="433" t="s">
        <v>247</v>
      </c>
      <c r="J23" s="315" t="n">
        <f aca="false">2.84/(10.2+C23)</f>
        <v>0.277073170731707</v>
      </c>
      <c r="K23" s="316" t="n">
        <f aca="false">0.9056*D23^(-0.285)</f>
        <v>0.113748723905592</v>
      </c>
    </row>
    <row r="24" customFormat="false" ht="18.75" hidden="false" customHeight="false" outlineLevel="0" collapsed="false">
      <c r="B24" s="317" t="n">
        <v>2</v>
      </c>
      <c r="C24" s="310" t="n">
        <f aca="false">Optimum!F4*0.01</f>
        <v>0.0526254596642143</v>
      </c>
      <c r="D24" s="319" t="n">
        <f aca="false">'Розрахункові параметриПеревірка'!Q57</f>
        <v>1350</v>
      </c>
      <c r="E24" s="364" t="n">
        <f aca="false">IF(C24=0,E25,((1.05-0.1*C24/РозрахУмовЗсувуНевязких!$H$7*(1-POWER(E25/D24,1/3)))*D24)/(0.71*POWER(E25/D24,1/3)*ATAN(1.35*2*C24/РозрахУмовЗсувуНевязких!$H$7*POWER(D24/(6*E25),1/3))+(D24/E25)*2/PI()*ATAN(РозрахУмовЗсувуНевязких!$H$7/(2*C24*POWER(D24/(6*E25),1/3)))))</f>
        <v>281.453123511495</v>
      </c>
      <c r="F24" s="365" t="n">
        <f aca="false">C24/РозрахУмовЗсувуНевязких!$H$7</f>
        <v>0.0526254596642143</v>
      </c>
      <c r="G24" s="434"/>
      <c r="J24" s="315" t="n">
        <f aca="false">2.84/(10.2+C24)</f>
        <v>0.277002218716864</v>
      </c>
      <c r="K24" s="316" t="n">
        <f aca="false">0.9056*D24^(-0.285)</f>
        <v>0.116089058715996</v>
      </c>
    </row>
    <row r="25" customFormat="false" ht="18.75" hidden="false" customHeight="false" outlineLevel="0" collapsed="false">
      <c r="B25" s="321" t="n">
        <v>3</v>
      </c>
      <c r="C25" s="310" t="n">
        <f aca="false">Optimum!F5*0.01</f>
        <v>0.08</v>
      </c>
      <c r="D25" s="323" t="n">
        <f aca="false">'Розрахункові параметриПеревірка'!Z57</f>
        <v>950</v>
      </c>
      <c r="E25" s="312" t="n">
        <f aca="false">IF(C25=0,E26,((1.05-0.1*C25/РозрахУмовЗсувуНевязких!$H$7*(1-POWER(E26/D25,1/3)))*D25)/(0.71*POWER(E26/D25,1/3)*ATAN(1.35*2*C25/РозрахУмовЗсувуНевязких!$H$7*POWER(D25/(6*E26),1/3))+(D25/E26)*2/PI()*ATAN(РозрахУмовЗсувуНевязких!$H$7/(2*C25*POWER(D25/(6*E26),1/3)))))</f>
        <v>254.192642402961</v>
      </c>
      <c r="F25" s="313" t="n">
        <f aca="false">C25/РозрахУмовЗсувуНевязких!$H$7</f>
        <v>0.08</v>
      </c>
      <c r="G25" s="435"/>
      <c r="J25" s="315" t="n">
        <f aca="false">2.84/(10.2+C25)</f>
        <v>0.276264591439689</v>
      </c>
      <c r="K25" s="316" t="n">
        <f aca="false">0.9056*D25^(-0.285)</f>
        <v>0.128317292184162</v>
      </c>
    </row>
    <row r="26" customFormat="false" ht="18.75" hidden="false" customHeight="false" outlineLevel="0" collapsed="false">
      <c r="B26" s="309" t="n">
        <v>4</v>
      </c>
      <c r="C26" s="310" t="n">
        <f aca="false">Optimum!F6*0.01</f>
        <v>0.18</v>
      </c>
      <c r="D26" s="311" t="n">
        <f aca="false">'Розрахункові параметриПеревірка'!$H$64</f>
        <v>700</v>
      </c>
      <c r="E26" s="362" t="n">
        <f aca="false">IF(C26=0,E27,((1.05-0.1*C26/РозрахУмовЗсувуНевязких!$H$7*(1-POWER(E27/D26,1/3)))*D26)/(0.71*POWER(E27/D26,1/3)*ATAN(1.35*2*C26/РозрахУмовЗсувуНевязких!$H$7*POWER(D26/(6*E27),1/3))+(D26/E27)*2/PI()*ATAN(РозрахУмовЗсувуНевязких!$H$7/(2*C26*POWER(D26/(6*E27),1/3)))))</f>
        <v>225.778116839329</v>
      </c>
      <c r="F26" s="363" t="n">
        <f aca="false">C26/РозрахУмовЗсувуНевязких!$H$7</f>
        <v>0.18</v>
      </c>
      <c r="G26" s="433" t="s">
        <v>289</v>
      </c>
      <c r="J26" s="315" t="n">
        <f aca="false">2.84/(10.2+C26)</f>
        <v>0.273603082851638</v>
      </c>
      <c r="K26" s="316" t="n">
        <f aca="false">0.9056*D26^(-0.285)</f>
        <v>0.139985635246315</v>
      </c>
    </row>
    <row r="27" customFormat="false" ht="18.75" hidden="false" customHeight="false" outlineLevel="0" collapsed="false">
      <c r="B27" s="317" t="n">
        <v>5</v>
      </c>
      <c r="C27" s="310" t="n">
        <f aca="false">Optimum!F7*0.01</f>
        <v>0</v>
      </c>
      <c r="D27" s="319" t="n">
        <f aca="false">'Розрахункові параметриПеревірка'!$Q$64</f>
        <v>900</v>
      </c>
      <c r="E27" s="364" t="n">
        <f aca="false">IF(C27=0,E28,((1.05-0.1*C27/РозрахУмовЗсувуНевязких!$H$7*(1-POWER(E28/D27,1/3)))*D27)/(0.71*POWER(E28/D27,1/3)*ATAN(1.35*2*C27/РозрахУмовЗсувуНевязких!$H$7*POWER(D27/(6*E28),1/3))+(D27/E28)*2/PI()*ATAN(РозрахУмовЗсувуНевязких!$H$7/(2*C27*POWER(D27/(6*E28),1/3)))))</f>
        <v>185.456732618117</v>
      </c>
      <c r="F27" s="365" t="n">
        <f aca="false">C27/РозрахУмовЗсувуНевязких!$H$7</f>
        <v>0</v>
      </c>
      <c r="G27" s="434"/>
      <c r="J27" s="315" t="n">
        <f aca="false">2.84/(10.2+C27)</f>
        <v>0.27843137254902</v>
      </c>
      <c r="K27" s="316" t="n">
        <f aca="false">0.9056*D27^(-0.285)</f>
        <v>0.130309866138427</v>
      </c>
    </row>
    <row r="28" customFormat="false" ht="18.75" hidden="false" customHeight="false" outlineLevel="0" collapsed="false">
      <c r="B28" s="368" t="n">
        <v>6</v>
      </c>
      <c r="C28" s="310" t="n">
        <f aca="false">Optimum!F8*0.01</f>
        <v>0.15</v>
      </c>
      <c r="D28" s="370" t="n">
        <f aca="false">'Розрахункові параметриПеревірка'!$Z$64</f>
        <v>700</v>
      </c>
      <c r="E28" s="371" t="n">
        <f aca="false">IF(C28=0,E29,((1.05-0.1*C28/РозрахУмовЗсувуНевязких!$H$7*(1-POWER(E29/D28,1/3)))*D28)/(0.71*POWER(E29/D28,1/3)*ATAN(1.35*2*C28/РозрахУмовЗсувуНевязких!$H$7*POWER(D28/(6*E29),1/3))+(D28/E29)*2/PI()*ATAN(РозрахУмовЗсувуНевязких!$H$7/(2*C28*POWER(D28/(6*E29),1/3)))))</f>
        <v>185.456732618117</v>
      </c>
      <c r="F28" s="372" t="n">
        <f aca="false">C28/РозрахУмовЗсувуНевязких!$H$7</f>
        <v>0.15</v>
      </c>
      <c r="G28" s="436"/>
      <c r="J28" s="315" t="n">
        <f aca="false">2.84/(10.2+C28)</f>
        <v>0.2743961352657</v>
      </c>
      <c r="K28" s="316" t="n">
        <f aca="false">0.9056*D28^(-0.285)</f>
        <v>0.139985635246315</v>
      </c>
    </row>
    <row r="29" customFormat="false" ht="18.75" hidden="false" customHeight="false" outlineLevel="0" collapsed="false">
      <c r="B29" s="373" t="n">
        <v>7</v>
      </c>
      <c r="C29" s="310" t="n">
        <f aca="false">Optimum!F9*0.01</f>
        <v>0.18</v>
      </c>
      <c r="D29" s="375" t="n">
        <f aca="false">'Розрахункові параметриПеревірка'!$H$72</f>
        <v>280</v>
      </c>
      <c r="E29" s="376" t="n">
        <f aca="false">IF(C29=0,E30,((1.05-0.1*C29/РозрахУмовЗсувуНевязких!$H$7*(1-POWER(E30/D29,1/3)))*D29)/(0.71*POWER(E30/D29,1/3)*ATAN(1.35*2*C29/РозрахУмовЗсувуНевязких!$H$7*POWER(D29/(6*E30),1/3))+(D29/E30)*2/PI()*ATAN(РозрахУмовЗсувуНевязких!$H$7/(2*C29*POWER(D29/(6*E30),1/3)))))</f>
        <v>153.297307435283</v>
      </c>
      <c r="F29" s="377" t="n">
        <f aca="false">C29/РозрахУмовЗсувуНевязких!$H$7</f>
        <v>0.18</v>
      </c>
      <c r="G29" s="437" t="s">
        <v>290</v>
      </c>
      <c r="J29" s="315" t="n">
        <f aca="false">2.84/(10.2+C29)</f>
        <v>0.273603082851638</v>
      </c>
      <c r="K29" s="316" t="n">
        <f aca="false">0.9056*D29^(-0.285)</f>
        <v>0.181759188445756</v>
      </c>
    </row>
    <row r="30" customFormat="false" ht="18.75" hidden="false" customHeight="false" outlineLevel="0" collapsed="false">
      <c r="B30" s="317" t="n">
        <v>8</v>
      </c>
      <c r="C30" s="310" t="n">
        <f aca="false">Optimum!F10*0.01</f>
        <v>0</v>
      </c>
      <c r="D30" s="319" t="n">
        <f aca="false">'Розрахункові параметриПеревірка'!$Q$72</f>
        <v>280</v>
      </c>
      <c r="E30" s="364" t="n">
        <f aca="false">IF(C30=0,E31,((1.05-0.1*C30/РозрахУмовЗсувуНевязких!$H$7*(1-POWER(E31/D30,1/3)))*D30)/(0.71*POWER(E31/D30,1/3)*ATAN(1.35*2*C30/РозрахУмовЗсувуНевязких!$H$7*POWER(D30/(6*E31),1/3))+(D30/E31)*2/PI()*ATAN(РозрахУмовЗсувуНевязких!$H$7/(2*C30*POWER(D30/(6*E31),1/3)))))</f>
        <v>136.622311804819</v>
      </c>
      <c r="F30" s="365" t="n">
        <f aca="false">C30/РозрахУмовЗсувуНевязких!$H$7</f>
        <v>0</v>
      </c>
      <c r="G30" s="434"/>
      <c r="J30" s="315" t="n">
        <f aca="false">2.84/(10.2+C30)</f>
        <v>0.27843137254902</v>
      </c>
      <c r="K30" s="316" t="n">
        <f aca="false">0.9056*D30^(-0.285)</f>
        <v>0.181759188445756</v>
      </c>
    </row>
    <row r="31" customFormat="false" ht="18.75" hidden="false" customHeight="false" outlineLevel="0" collapsed="false">
      <c r="B31" s="321" t="n">
        <v>9</v>
      </c>
      <c r="C31" s="310" t="n">
        <f aca="false">Optimum!F11*0.01</f>
        <v>0.08</v>
      </c>
      <c r="D31" s="323" t="n">
        <f aca="false">'Розрахункові параметриПеревірка'!$Z$72</f>
        <v>180</v>
      </c>
      <c r="E31" s="379" t="n">
        <f aca="false">IF(C31=0,E32,((1.05-0.1*C31/РозрахУмовЗсувуНевязких!$H$7*(1-POWER(E32/D31,1/3)))*D31)/(0.71*POWER(E32/D31,1/3)*ATAN(1.35*2*C31/РозрахУмовЗсувуНевязких!$H$7*POWER(D31/(6*E32),1/3))+(D31/E32)*2/PI()*ATAN(РозрахУмовЗсувуНевязких!$H$7/(2*C31*POWER(D31/(6*E32),1/3)))))</f>
        <v>136.622311804819</v>
      </c>
      <c r="F31" s="313" t="n">
        <f aca="false">C31/РозрахУмовЗсувуНевязких!$H$7</f>
        <v>0.08</v>
      </c>
      <c r="G31" s="435"/>
      <c r="J31" s="315" t="n">
        <f aca="false">2.84/(10.2+C31)</f>
        <v>0.276264591439689</v>
      </c>
      <c r="K31" s="316" t="n">
        <f aca="false">0.9056*D31^(-0.285)</f>
        <v>0.206150194975175</v>
      </c>
    </row>
    <row r="32" customFormat="false" ht="18.75" hidden="false" customHeight="false" outlineLevel="0" collapsed="false">
      <c r="B32" s="380" t="n">
        <v>10</v>
      </c>
      <c r="C32" s="419"/>
      <c r="D32" s="381" t="n">
        <f aca="false">'Розрахункові параметриПеревірка'!$I$20</f>
        <v>130</v>
      </c>
      <c r="E32" s="379" t="n">
        <f aca="false">'Розрахункові параметриПеревірка'!I20</f>
        <v>130</v>
      </c>
      <c r="F32" s="382"/>
      <c r="G32" s="367" t="s">
        <v>86</v>
      </c>
      <c r="J32" s="315"/>
      <c r="K32" s="316" t="n">
        <f aca="false">0.9056*D32^(-0.285)</f>
        <v>0.226184353243738</v>
      </c>
    </row>
    <row r="33" customFormat="false" ht="18.75" hidden="false" customHeight="false" outlineLevel="0" collapsed="false">
      <c r="B33" s="325"/>
      <c r="C33" s="326"/>
      <c r="D33" s="326"/>
      <c r="E33" s="326"/>
      <c r="F33" s="327"/>
      <c r="G33" s="328"/>
      <c r="K33" s="316"/>
    </row>
    <row r="34" customFormat="false" ht="18.75" hidden="false" customHeight="false" outlineLevel="0" collapsed="false">
      <c r="K34" s="204"/>
    </row>
    <row r="35" customFormat="false" ht="18.75" hidden="false" customHeight="false" outlineLevel="0" collapsed="false">
      <c r="B35" s="295" t="s">
        <v>140</v>
      </c>
      <c r="C35" s="296"/>
      <c r="D35" s="296"/>
      <c r="E35" s="296"/>
      <c r="F35" s="296"/>
      <c r="G35" s="297"/>
      <c r="J35" s="295" t="s">
        <v>140</v>
      </c>
      <c r="K35" s="296"/>
      <c r="L35" s="296"/>
      <c r="M35" s="296"/>
      <c r="N35" s="296"/>
      <c r="O35" s="297"/>
    </row>
    <row r="36" customFormat="false" ht="18.75" hidden="false" customHeight="false" outlineLevel="0" collapsed="false">
      <c r="B36" s="299"/>
      <c r="C36" s="300" t="n">
        <f aca="false">H3</f>
        <v>1.51</v>
      </c>
      <c r="D36" s="301" t="s">
        <v>141</v>
      </c>
      <c r="E36" s="300" t="n">
        <f aca="false">H14</f>
        <v>2.27398885060602</v>
      </c>
      <c r="F36" s="302" t="str">
        <f aca="false">IF(C36&lt;E36," виконується."," НЕвиконується.")</f>
        <v>виконується.</v>
      </c>
      <c r="G36" s="303"/>
      <c r="J36" s="299"/>
      <c r="K36" s="300" t="n">
        <f aca="false">'Розрахункові параметриПеревірка'!H5</f>
        <v>0.97</v>
      </c>
      <c r="L36" s="301" t="s">
        <v>141</v>
      </c>
      <c r="M36" s="300" t="n">
        <f aca="false">L12</f>
        <v>0.999549912759408</v>
      </c>
      <c r="N36" s="302" t="str">
        <f aca="false">IF(K36&lt;M36," виконується."," НЕвиконується.")</f>
        <v>виконується.</v>
      </c>
      <c r="O36" s="303"/>
    </row>
    <row r="37" customFormat="false" ht="18.75" hidden="false" customHeight="false" outlineLevel="0" collapsed="false">
      <c r="B37" s="304" t="str">
        <f aca="false">IF(C36&lt;E36,"Відповідно, вибрана конструкція задовольняє умову міцності за допустимим пружним прогином.","Відповідно, вибрана конструкція НЕзадовольняє умову міцності за допустимим пружним прогином.")</f>
        <v>Відповідно, вибрана конструкція задовольняє умову міцності за допустимим пружним прогином.</v>
      </c>
      <c r="C37" s="304"/>
      <c r="D37" s="304"/>
      <c r="E37" s="304"/>
      <c r="F37" s="304"/>
      <c r="G37" s="304"/>
      <c r="J37" s="304" t="str">
        <f aca="false">IF(K36&lt;M36,"Відповідно, вибрана конструкція задовольняє умову надійності за критерієм опору зсуву піску.","Відповідно, вибрана конструкція НЕзадовольняє умову надійності за критерієм опору зсуву піску.")</f>
        <v>Відповідно, вибрана конструкція задовольняє умову надійності за критерієм опору зсуву піску.</v>
      </c>
      <c r="K37" s="304"/>
      <c r="L37" s="304"/>
      <c r="M37" s="304"/>
      <c r="N37" s="304"/>
      <c r="O37" s="304"/>
    </row>
  </sheetData>
  <mergeCells count="16">
    <mergeCell ref="B3:G3"/>
    <mergeCell ref="B4:G4"/>
    <mergeCell ref="B5:G5"/>
    <mergeCell ref="B6:G6"/>
    <mergeCell ref="B7:G7"/>
    <mergeCell ref="B8:G8"/>
    <mergeCell ref="B9:G9"/>
    <mergeCell ref="B10:G10"/>
    <mergeCell ref="B11:G11"/>
    <mergeCell ref="B12:G12"/>
    <mergeCell ref="B13:G13"/>
    <mergeCell ref="B14:G14"/>
    <mergeCell ref="B17:H17"/>
    <mergeCell ref="B18:H18"/>
    <mergeCell ref="B37:G37"/>
    <mergeCell ref="J37:O37"/>
  </mergeCells>
  <conditionalFormatting sqref="H14">
    <cfRule type="cellIs" priority="2" operator="lessThan" aboveAverage="0" equalAverage="0" bottom="0" percent="0" rank="0" text="" dxfId="0">
      <formula>$H$3</formula>
    </cfRule>
    <cfRule type="cellIs" priority="3" operator="greaterThan" aboveAverage="0" equalAverage="0" bottom="0" percent="0" rank="0" text="" dxfId="1">
      <formula>$H$3</formula>
    </cfRule>
  </conditionalFormatting>
  <dataValidations count="2">
    <dataValidation allowBlank="true" operator="between" prompt="при розрахунку на вплив короткочасних навантажень к1 = 1, при тривалій дії навантажень з малою повторністю к1 = 1,5&#10;" promptTitle="Коефіцієнт зниження опору грунту" showDropDown="false" showErrorMessage="true" showInputMessage="true" sqref="H7" type="none">
      <formula1>0</formula1>
      <formula2>0</formula2>
    </dataValidation>
    <dataValidation allowBlank="true" operator="between" prompt="Встановлюється експериментально або за довідковими даними&#10;" promptTitle="Зчеплення в грунті Сгр, Мпа" showDropDown="false" showErrorMessage="true" showInputMessage="true" sqref="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B1:L13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10.3659793814433"/>
    <col collapsed="false" hidden="false" max="2" min="2" style="0" width="23.1855670103093"/>
    <col collapsed="false" hidden="false" max="3" min="3" style="0" width="52.5051546391753"/>
    <col collapsed="false" hidden="false" max="4" min="4" style="0" width="10.3659793814433"/>
    <col collapsed="false" hidden="false" max="5" min="5" style="0" width="13.3659793814433"/>
    <col collapsed="false" hidden="false" max="8" min="6" style="0" width="10.3659793814433"/>
    <col collapsed="false" hidden="false" max="13" min="9" style="0" width="22.5051546391753"/>
    <col collapsed="false" hidden="false" max="1025" min="14" style="0" width="10.3659793814433"/>
  </cols>
  <sheetData>
    <row r="1" customFormat="false" ht="31.5" hidden="false" customHeight="false" outlineLevel="0" collapsed="false">
      <c r="B1" s="451" t="s">
        <v>314</v>
      </c>
      <c r="C1" s="452" t="s">
        <v>315</v>
      </c>
      <c r="D1" s="453" t="s">
        <v>316</v>
      </c>
      <c r="E1" s="454" t="s">
        <v>317</v>
      </c>
      <c r="F1" s="455" t="s">
        <v>208</v>
      </c>
    </row>
    <row r="2" customFormat="false" ht="30" hidden="false" customHeight="false" outlineLevel="0" collapsed="false">
      <c r="B2" s="456" t="s">
        <v>318</v>
      </c>
      <c r="C2" s="457" t="s">
        <v>319</v>
      </c>
      <c r="D2" s="458" t="n">
        <v>4</v>
      </c>
      <c r="E2" s="459" t="n">
        <v>6</v>
      </c>
      <c r="F2" s="460" t="n">
        <v>2186.73</v>
      </c>
    </row>
    <row r="3" customFormat="false" ht="30" hidden="false" customHeight="false" outlineLevel="0" collapsed="false">
      <c r="B3" s="461" t="s">
        <v>320</v>
      </c>
      <c r="C3" s="462" t="s">
        <v>321</v>
      </c>
      <c r="D3" s="261" t="n">
        <v>4</v>
      </c>
      <c r="E3" s="404" t="n">
        <v>6</v>
      </c>
      <c r="F3" s="460" t="n">
        <v>2186.73</v>
      </c>
      <c r="J3" s="463" t="s">
        <v>322</v>
      </c>
    </row>
    <row r="4" customFormat="false" ht="47.25" hidden="false" customHeight="false" outlineLevel="0" collapsed="false">
      <c r="B4" s="464" t="s">
        <v>323</v>
      </c>
      <c r="C4" s="465" t="s">
        <v>324</v>
      </c>
      <c r="D4" s="261" t="n">
        <v>5</v>
      </c>
      <c r="E4" s="404" t="n">
        <v>10</v>
      </c>
      <c r="F4" s="460" t="n">
        <v>1840.61</v>
      </c>
      <c r="J4" s="466" t="s">
        <v>325</v>
      </c>
      <c r="K4" s="467" t="s">
        <v>326</v>
      </c>
      <c r="L4" s="467" t="s">
        <v>327</v>
      </c>
    </row>
    <row r="5" customFormat="false" ht="30" hidden="false" customHeight="false" outlineLevel="0" collapsed="false">
      <c r="B5" s="461" t="s">
        <v>328</v>
      </c>
      <c r="C5" s="462" t="s">
        <v>27</v>
      </c>
      <c r="D5" s="261" t="n">
        <v>5</v>
      </c>
      <c r="E5" s="404" t="n">
        <v>10</v>
      </c>
      <c r="F5" s="460" t="n">
        <v>1841.61</v>
      </c>
      <c r="J5" s="468" t="n">
        <v>1</v>
      </c>
      <c r="K5" s="469" t="n">
        <v>2</v>
      </c>
      <c r="L5" s="469" t="n">
        <v>3</v>
      </c>
    </row>
    <row r="6" customFormat="false" ht="30" hidden="false" customHeight="false" outlineLevel="0" collapsed="false">
      <c r="B6" s="464" t="s">
        <v>329</v>
      </c>
      <c r="C6" s="465" t="s">
        <v>330</v>
      </c>
      <c r="D6" s="261" t="n">
        <v>5</v>
      </c>
      <c r="E6" s="404" t="n">
        <v>10</v>
      </c>
      <c r="F6" s="460" t="n">
        <v>1842.61</v>
      </c>
      <c r="J6" s="468" t="n">
        <v>1</v>
      </c>
      <c r="K6" s="470" t="s">
        <v>331</v>
      </c>
      <c r="L6" s="469"/>
    </row>
    <row r="7" customFormat="false" ht="30" hidden="false" customHeight="false" outlineLevel="0" collapsed="false">
      <c r="B7" s="461" t="s">
        <v>332</v>
      </c>
      <c r="C7" s="462" t="s">
        <v>333</v>
      </c>
      <c r="D7" s="261" t="n">
        <v>5</v>
      </c>
      <c r="E7" s="404" t="n">
        <v>10</v>
      </c>
      <c r="F7" s="460" t="n">
        <v>1843.61</v>
      </c>
      <c r="J7" s="468"/>
      <c r="K7" s="470" t="s">
        <v>334</v>
      </c>
      <c r="L7" s="469" t="n">
        <v>8</v>
      </c>
    </row>
    <row r="8" customFormat="false" ht="47.25" hidden="false" customHeight="false" outlineLevel="0" collapsed="false">
      <c r="B8" s="464" t="s">
        <v>335</v>
      </c>
      <c r="C8" s="465" t="s">
        <v>336</v>
      </c>
      <c r="D8" s="261" t="n">
        <v>8</v>
      </c>
      <c r="E8" s="404" t="n">
        <v>12</v>
      </c>
      <c r="F8" s="460" t="n">
        <v>1829.02</v>
      </c>
      <c r="J8" s="468"/>
      <c r="K8" s="470" t="s">
        <v>337</v>
      </c>
      <c r="L8" s="469"/>
    </row>
    <row r="9" customFormat="false" ht="31.5" hidden="false" customHeight="false" outlineLevel="0" collapsed="false">
      <c r="B9" s="461" t="s">
        <v>338</v>
      </c>
      <c r="C9" s="462" t="s">
        <v>28</v>
      </c>
      <c r="D9" s="261" t="n">
        <v>8</v>
      </c>
      <c r="E9" s="404" t="n">
        <v>12</v>
      </c>
      <c r="F9" s="460" t="n">
        <v>1830.02</v>
      </c>
      <c r="J9" s="468"/>
      <c r="K9" s="471" t="s">
        <v>339</v>
      </c>
      <c r="L9" s="469" t="n">
        <v>5</v>
      </c>
    </row>
    <row r="10" customFormat="false" ht="31.5" hidden="false" customHeight="false" outlineLevel="0" collapsed="false">
      <c r="B10" s="464" t="s">
        <v>340</v>
      </c>
      <c r="C10" s="465" t="s">
        <v>341</v>
      </c>
      <c r="D10" s="261" t="n">
        <v>8</v>
      </c>
      <c r="E10" s="404" t="n">
        <v>12</v>
      </c>
      <c r="F10" s="460" t="n">
        <v>1831.02</v>
      </c>
      <c r="J10" s="468"/>
      <c r="K10" s="471" t="s">
        <v>342</v>
      </c>
      <c r="L10" s="469" t="n">
        <v>4</v>
      </c>
    </row>
    <row r="11" customFormat="false" ht="31.5" hidden="false" customHeight="false" outlineLevel="0" collapsed="false">
      <c r="B11" s="461" t="s">
        <v>343</v>
      </c>
      <c r="C11" s="462" t="s">
        <v>344</v>
      </c>
      <c r="D11" s="261" t="n">
        <v>8</v>
      </c>
      <c r="E11" s="404" t="n">
        <v>12</v>
      </c>
      <c r="F11" s="460" t="n">
        <v>1832.02</v>
      </c>
      <c r="J11" s="468"/>
      <c r="K11" s="471" t="s">
        <v>345</v>
      </c>
      <c r="L11" s="469" t="n">
        <v>3</v>
      </c>
    </row>
    <row r="12" customFormat="false" ht="30" hidden="false" customHeight="false" outlineLevel="0" collapsed="false">
      <c r="B12" s="464" t="s">
        <v>346</v>
      </c>
      <c r="C12" s="465" t="s">
        <v>347</v>
      </c>
      <c r="D12" s="261" t="n">
        <v>8</v>
      </c>
      <c r="E12" s="404" t="n">
        <v>15</v>
      </c>
      <c r="F12" s="460" t="n">
        <v>1362.59</v>
      </c>
      <c r="J12" s="468"/>
      <c r="K12" s="470" t="s">
        <v>348</v>
      </c>
      <c r="L12" s="469" t="n">
        <v>3</v>
      </c>
    </row>
    <row r="13" customFormat="false" ht="31.5" hidden="false" customHeight="false" outlineLevel="0" collapsed="false">
      <c r="B13" s="461" t="s">
        <v>349</v>
      </c>
      <c r="C13" s="462" t="s">
        <v>350</v>
      </c>
      <c r="D13" s="261" t="n">
        <v>8</v>
      </c>
      <c r="E13" s="404" t="n">
        <v>15</v>
      </c>
      <c r="F13" s="460" t="n">
        <v>1363.59</v>
      </c>
      <c r="J13" s="468"/>
      <c r="K13" s="470" t="s">
        <v>351</v>
      </c>
      <c r="L13" s="469" t="n">
        <v>5</v>
      </c>
    </row>
    <row r="14" customFormat="false" ht="30" hidden="false" customHeight="false" outlineLevel="0" collapsed="false">
      <c r="B14" s="464" t="s">
        <v>352</v>
      </c>
      <c r="C14" s="465" t="s">
        <v>353</v>
      </c>
      <c r="D14" s="261" t="n">
        <v>8</v>
      </c>
      <c r="E14" s="404" t="n">
        <v>15</v>
      </c>
      <c r="F14" s="460" t="n">
        <v>1364.59</v>
      </c>
      <c r="J14" s="468"/>
      <c r="K14" s="470" t="s">
        <v>354</v>
      </c>
      <c r="L14" s="469" t="n">
        <v>3</v>
      </c>
    </row>
    <row r="15" customFormat="false" ht="78.75" hidden="false" customHeight="false" outlineLevel="0" collapsed="false">
      <c r="B15" s="461" t="s">
        <v>355</v>
      </c>
      <c r="C15" s="462" t="s">
        <v>356</v>
      </c>
      <c r="D15" s="261" t="n">
        <v>3</v>
      </c>
      <c r="E15" s="404" t="n">
        <v>5</v>
      </c>
      <c r="F15" s="460" t="n">
        <v>2421.43</v>
      </c>
      <c r="J15" s="468" t="n">
        <v>2</v>
      </c>
      <c r="K15" s="470" t="s">
        <v>357</v>
      </c>
      <c r="L15" s="469"/>
    </row>
    <row r="16" customFormat="false" ht="31.5" hidden="false" customHeight="false" outlineLevel="0" collapsed="false">
      <c r="B16" s="464" t="s">
        <v>358</v>
      </c>
      <c r="C16" s="465" t="s">
        <v>359</v>
      </c>
      <c r="D16" s="261" t="n">
        <v>3</v>
      </c>
      <c r="E16" s="404" t="n">
        <v>5</v>
      </c>
      <c r="F16" s="460" t="n">
        <v>2422.43</v>
      </c>
      <c r="J16" s="468"/>
      <c r="K16" s="471" t="s">
        <v>360</v>
      </c>
      <c r="L16" s="469" t="n">
        <v>5</v>
      </c>
    </row>
    <row r="17" customFormat="false" ht="31.5" hidden="false" customHeight="false" outlineLevel="0" collapsed="false">
      <c r="B17" s="461" t="s">
        <v>361</v>
      </c>
      <c r="C17" s="462" t="s">
        <v>362</v>
      </c>
      <c r="D17" s="261" t="n">
        <v>3</v>
      </c>
      <c r="E17" s="404" t="n">
        <v>5</v>
      </c>
      <c r="F17" s="460" t="n">
        <v>2423.43</v>
      </c>
      <c r="J17" s="468"/>
      <c r="K17" s="471" t="s">
        <v>363</v>
      </c>
      <c r="L17" s="469" t="n">
        <v>4</v>
      </c>
    </row>
    <row r="18" customFormat="false" ht="31.5" hidden="false" customHeight="false" outlineLevel="0" collapsed="false">
      <c r="B18" s="464" t="s">
        <v>364</v>
      </c>
      <c r="C18" s="465" t="s">
        <v>365</v>
      </c>
      <c r="D18" s="261" t="n">
        <v>3</v>
      </c>
      <c r="E18" s="404" t="n">
        <v>5</v>
      </c>
      <c r="F18" s="460" t="n">
        <v>2424.43</v>
      </c>
      <c r="J18" s="468"/>
      <c r="K18" s="471" t="s">
        <v>366</v>
      </c>
      <c r="L18" s="469" t="n">
        <v>3</v>
      </c>
    </row>
    <row r="19" customFormat="false" ht="126" hidden="false" customHeight="false" outlineLevel="0" collapsed="false">
      <c r="B19" s="461" t="s">
        <v>367</v>
      </c>
      <c r="C19" s="462" t="s">
        <v>368</v>
      </c>
      <c r="D19" s="261" t="n">
        <v>4.5</v>
      </c>
      <c r="E19" s="404" t="n">
        <v>6</v>
      </c>
      <c r="F19" s="460" t="n">
        <v>2425.43</v>
      </c>
      <c r="J19" s="468" t="n">
        <v>3</v>
      </c>
      <c r="K19" s="470" t="s">
        <v>369</v>
      </c>
      <c r="L19" s="469" t="n">
        <v>8</v>
      </c>
    </row>
    <row r="20" customFormat="false" ht="94.5" hidden="false" customHeight="false" outlineLevel="0" collapsed="false">
      <c r="B20" s="464" t="s">
        <v>370</v>
      </c>
      <c r="C20" s="465" t="s">
        <v>371</v>
      </c>
      <c r="D20" s="261" t="n">
        <v>4.5</v>
      </c>
      <c r="E20" s="404" t="n">
        <v>6</v>
      </c>
      <c r="F20" s="460" t="n">
        <v>2426.43</v>
      </c>
      <c r="J20" s="468" t="n">
        <v>4</v>
      </c>
      <c r="K20" s="470" t="s">
        <v>372</v>
      </c>
      <c r="L20" s="469" t="n">
        <v>10</v>
      </c>
    </row>
    <row r="21" customFormat="false" ht="78.75" hidden="false" customHeight="false" outlineLevel="0" collapsed="false">
      <c r="B21" s="461" t="s">
        <v>373</v>
      </c>
      <c r="C21" s="462" t="s">
        <v>374</v>
      </c>
      <c r="D21" s="261" t="n">
        <v>5</v>
      </c>
      <c r="E21" s="404" t="n">
        <v>7</v>
      </c>
      <c r="F21" s="460" t="n">
        <v>2427.43</v>
      </c>
      <c r="J21" s="468" t="n">
        <v>5</v>
      </c>
      <c r="K21" s="470" t="s">
        <v>375</v>
      </c>
      <c r="L21" s="469"/>
    </row>
    <row r="22" customFormat="false" ht="47.25" hidden="false" customHeight="false" outlineLevel="0" collapsed="false">
      <c r="B22" s="464" t="s">
        <v>376</v>
      </c>
      <c r="C22" s="465" t="s">
        <v>377</v>
      </c>
      <c r="D22" s="261" t="n">
        <v>5</v>
      </c>
      <c r="E22" s="404" t="n">
        <v>7</v>
      </c>
      <c r="F22" s="460" t="n">
        <v>2428.43</v>
      </c>
      <c r="J22" s="468"/>
      <c r="K22" s="470" t="s">
        <v>378</v>
      </c>
      <c r="L22" s="469"/>
    </row>
    <row r="23" customFormat="false" ht="47.25" hidden="false" customHeight="false" outlineLevel="0" collapsed="false">
      <c r="B23" s="461" t="s">
        <v>379</v>
      </c>
      <c r="C23" s="462" t="s">
        <v>380</v>
      </c>
      <c r="D23" s="261" t="n">
        <v>3</v>
      </c>
      <c r="E23" s="404" t="n">
        <v>4</v>
      </c>
      <c r="F23" s="460" t="n">
        <v>2429.43</v>
      </c>
      <c r="J23" s="468"/>
      <c r="K23" s="471" t="s">
        <v>381</v>
      </c>
      <c r="L23" s="469" t="n">
        <v>12</v>
      </c>
    </row>
    <row r="24" customFormat="false" ht="31.5" hidden="false" customHeight="false" outlineLevel="0" collapsed="false">
      <c r="B24" s="464" t="s">
        <v>382</v>
      </c>
      <c r="C24" s="465" t="s">
        <v>383</v>
      </c>
      <c r="D24" s="261" t="n">
        <v>4</v>
      </c>
      <c r="E24" s="404" t="n">
        <v>5</v>
      </c>
      <c r="F24" s="460" t="n">
        <v>2430.43</v>
      </c>
      <c r="J24" s="468"/>
      <c r="K24" s="471" t="s">
        <v>384</v>
      </c>
      <c r="L24" s="469" t="n">
        <v>10</v>
      </c>
    </row>
    <row r="25" customFormat="false" ht="31.5" hidden="false" customHeight="false" outlineLevel="0" collapsed="false">
      <c r="B25" s="461" t="s">
        <v>385</v>
      </c>
      <c r="C25" s="462" t="s">
        <v>386</v>
      </c>
      <c r="D25" s="261" t="n">
        <v>4.5</v>
      </c>
      <c r="E25" s="404" t="n">
        <v>6</v>
      </c>
      <c r="F25" s="460" t="n">
        <v>2431.43</v>
      </c>
      <c r="J25" s="468"/>
      <c r="K25" s="471" t="s">
        <v>387</v>
      </c>
      <c r="L25" s="469" t="n">
        <v>8</v>
      </c>
    </row>
    <row r="26" customFormat="false" ht="47.25" hidden="false" customHeight="false" outlineLevel="0" collapsed="false">
      <c r="B26" s="472" t="s">
        <v>388</v>
      </c>
      <c r="C26" s="473" t="s">
        <v>25</v>
      </c>
      <c r="D26" s="261" t="n">
        <v>5</v>
      </c>
      <c r="E26" s="404" t="n">
        <v>7</v>
      </c>
      <c r="F26" s="460" t="n">
        <v>2432.43</v>
      </c>
      <c r="J26" s="468"/>
      <c r="K26" s="470" t="s">
        <v>389</v>
      </c>
      <c r="L26" s="469"/>
    </row>
    <row r="27" customFormat="false" ht="30" hidden="false" customHeight="true" outlineLevel="0" collapsed="false">
      <c r="B27" s="474" t="s">
        <v>390</v>
      </c>
      <c r="C27" s="475" t="s">
        <v>391</v>
      </c>
      <c r="D27" s="261" t="n">
        <v>14</v>
      </c>
      <c r="E27" s="404" t="n">
        <v>25</v>
      </c>
      <c r="F27" s="476" t="n">
        <v>750</v>
      </c>
      <c r="J27" s="468"/>
      <c r="K27" s="471" t="s">
        <v>381</v>
      </c>
      <c r="L27" s="469" t="n">
        <v>18</v>
      </c>
    </row>
    <row r="28" customFormat="false" ht="31.5" hidden="false" customHeight="false" outlineLevel="0" collapsed="false">
      <c r="B28" s="461" t="s">
        <v>392</v>
      </c>
      <c r="C28" s="477" t="s">
        <v>31</v>
      </c>
      <c r="D28" s="261" t="n">
        <v>16</v>
      </c>
      <c r="E28" s="404" t="n">
        <v>25</v>
      </c>
      <c r="F28" s="476" t="n">
        <v>700</v>
      </c>
      <c r="J28" s="468"/>
      <c r="K28" s="471" t="s">
        <v>384</v>
      </c>
      <c r="L28" s="469" t="n">
        <v>16</v>
      </c>
    </row>
    <row r="29" customFormat="false" ht="31.5" hidden="false" customHeight="false" outlineLevel="0" collapsed="false">
      <c r="B29" s="461" t="s">
        <v>393</v>
      </c>
      <c r="C29" s="477" t="s">
        <v>30</v>
      </c>
      <c r="D29" s="261" t="n">
        <v>18</v>
      </c>
      <c r="E29" s="404" t="n">
        <v>25</v>
      </c>
      <c r="F29" s="476" t="n">
        <v>650</v>
      </c>
      <c r="J29" s="468"/>
      <c r="K29" s="471" t="s">
        <v>387</v>
      </c>
      <c r="L29" s="469" t="n">
        <v>14</v>
      </c>
    </row>
    <row r="30" customFormat="false" ht="47.25" hidden="false" customHeight="false" outlineLevel="0" collapsed="false">
      <c r="B30" s="461" t="s">
        <v>394</v>
      </c>
      <c r="C30" s="477" t="s">
        <v>395</v>
      </c>
      <c r="D30" s="261" t="n">
        <v>18</v>
      </c>
      <c r="E30" s="404" t="n">
        <v>25</v>
      </c>
      <c r="F30" s="476" t="n">
        <v>600</v>
      </c>
      <c r="J30" s="468"/>
      <c r="K30" s="470" t="s">
        <v>396</v>
      </c>
      <c r="L30" s="469"/>
    </row>
    <row r="31" customFormat="false" ht="47.25" hidden="false" customHeight="false" outlineLevel="0" collapsed="false">
      <c r="B31" s="461" t="s">
        <v>397</v>
      </c>
      <c r="C31" s="477" t="s">
        <v>398</v>
      </c>
      <c r="D31" s="261" t="n">
        <v>18</v>
      </c>
      <c r="E31" s="404" t="n">
        <v>25</v>
      </c>
      <c r="F31" s="476" t="n">
        <v>550</v>
      </c>
      <c r="J31" s="468"/>
      <c r="K31" s="471" t="s">
        <v>381</v>
      </c>
      <c r="L31" s="469" t="n">
        <v>14</v>
      </c>
    </row>
    <row r="32" customFormat="false" ht="75" hidden="false" customHeight="true" outlineLevel="0" collapsed="false">
      <c r="B32" s="461" t="s">
        <v>399</v>
      </c>
      <c r="C32" s="477" t="s">
        <v>400</v>
      </c>
      <c r="D32" s="261" t="n">
        <v>10</v>
      </c>
      <c r="E32" s="404" t="n">
        <v>24</v>
      </c>
      <c r="F32" s="476" t="n">
        <v>900</v>
      </c>
      <c r="J32" s="468"/>
      <c r="K32" s="471" t="s">
        <v>384</v>
      </c>
      <c r="L32" s="469" t="n">
        <v>12</v>
      </c>
    </row>
    <row r="33" customFormat="false" ht="60" hidden="false" customHeight="false" outlineLevel="0" collapsed="false">
      <c r="B33" s="461" t="s">
        <v>401</v>
      </c>
      <c r="C33" s="477" t="s">
        <v>402</v>
      </c>
      <c r="D33" s="261" t="n">
        <v>10</v>
      </c>
      <c r="E33" s="404" t="n">
        <v>24</v>
      </c>
      <c r="F33" s="476" t="n">
        <v>850</v>
      </c>
      <c r="J33" s="468"/>
      <c r="K33" s="471" t="s">
        <v>387</v>
      </c>
      <c r="L33" s="469" t="n">
        <v>10</v>
      </c>
    </row>
    <row r="34" customFormat="false" ht="94.5" hidden="false" customHeight="false" outlineLevel="0" collapsed="false">
      <c r="B34" s="461" t="s">
        <v>403</v>
      </c>
      <c r="C34" s="477" t="s">
        <v>404</v>
      </c>
      <c r="D34" s="261" t="n">
        <v>10</v>
      </c>
      <c r="E34" s="404" t="n">
        <v>24</v>
      </c>
      <c r="F34" s="476" t="n">
        <v>800</v>
      </c>
      <c r="J34" s="468" t="n">
        <v>6</v>
      </c>
      <c r="K34" s="470" t="s">
        <v>405</v>
      </c>
      <c r="L34" s="469" t="n">
        <v>15</v>
      </c>
    </row>
    <row r="35" customFormat="false" ht="105" hidden="false" customHeight="true" outlineLevel="0" collapsed="false">
      <c r="B35" s="461" t="s">
        <v>406</v>
      </c>
      <c r="C35" s="477" t="s">
        <v>407</v>
      </c>
      <c r="D35" s="261" t="n">
        <v>10</v>
      </c>
      <c r="E35" s="404" t="n">
        <v>24</v>
      </c>
      <c r="F35" s="476" t="n">
        <v>900</v>
      </c>
      <c r="J35" s="468" t="n">
        <v>7</v>
      </c>
      <c r="K35" s="470" t="s">
        <v>408</v>
      </c>
      <c r="L35" s="469" t="n">
        <v>8</v>
      </c>
    </row>
    <row r="36" customFormat="false" ht="75" hidden="false" customHeight="false" outlineLevel="0" collapsed="false">
      <c r="B36" s="461" t="s">
        <v>409</v>
      </c>
      <c r="C36" s="477" t="s">
        <v>410</v>
      </c>
      <c r="D36" s="261" t="n">
        <v>10</v>
      </c>
      <c r="E36" s="404" t="n">
        <v>24</v>
      </c>
      <c r="F36" s="476" t="n">
        <v>850</v>
      </c>
      <c r="J36" s="468" t="n">
        <v>8</v>
      </c>
      <c r="K36" s="470" t="s">
        <v>411</v>
      </c>
      <c r="L36" s="469" t="n">
        <v>12</v>
      </c>
    </row>
    <row r="37" customFormat="false" ht="75" hidden="false" customHeight="false" outlineLevel="0" collapsed="false">
      <c r="B37" s="461" t="s">
        <v>412</v>
      </c>
      <c r="C37" s="477" t="s">
        <v>413</v>
      </c>
      <c r="D37" s="261" t="n">
        <v>10</v>
      </c>
      <c r="E37" s="404" t="n">
        <v>24</v>
      </c>
      <c r="F37" s="476" t="n">
        <v>800</v>
      </c>
      <c r="J37" s="468" t="n">
        <v>9</v>
      </c>
      <c r="K37" s="470" t="s">
        <v>414</v>
      </c>
      <c r="L37" s="469"/>
    </row>
    <row r="38" customFormat="false" ht="90" hidden="false" customHeight="true" outlineLevel="0" collapsed="false">
      <c r="B38" s="461" t="s">
        <v>415</v>
      </c>
      <c r="C38" s="477" t="s">
        <v>416</v>
      </c>
      <c r="D38" s="261" t="n">
        <v>10</v>
      </c>
      <c r="E38" s="404" t="n">
        <v>24</v>
      </c>
      <c r="F38" s="476" t="n">
        <v>900</v>
      </c>
      <c r="J38" s="468"/>
      <c r="K38" s="470" t="s">
        <v>417</v>
      </c>
      <c r="L38" s="469" t="n">
        <v>12</v>
      </c>
    </row>
    <row r="39" customFormat="false" ht="60" hidden="false" customHeight="false" outlineLevel="0" collapsed="false">
      <c r="B39" s="461" t="s">
        <v>418</v>
      </c>
      <c r="C39" s="477" t="s">
        <v>419</v>
      </c>
      <c r="D39" s="261" t="n">
        <v>10</v>
      </c>
      <c r="E39" s="404" t="n">
        <v>24</v>
      </c>
      <c r="F39" s="476" t="n">
        <v>850</v>
      </c>
      <c r="J39" s="468"/>
      <c r="K39" s="470" t="s">
        <v>420</v>
      </c>
      <c r="L39" s="469" t="n">
        <v>15</v>
      </c>
    </row>
    <row r="40" customFormat="false" ht="60" hidden="false" customHeight="false" outlineLevel="0" collapsed="false">
      <c r="B40" s="461" t="s">
        <v>421</v>
      </c>
      <c r="C40" s="477" t="s">
        <v>422</v>
      </c>
      <c r="D40" s="261" t="n">
        <v>10</v>
      </c>
      <c r="E40" s="404" t="n">
        <v>24</v>
      </c>
      <c r="F40" s="476" t="n">
        <v>800</v>
      </c>
      <c r="J40" s="468" t="n">
        <v>10</v>
      </c>
      <c r="K40" s="470" t="s">
        <v>423</v>
      </c>
      <c r="L40" s="469" t="n">
        <v>12</v>
      </c>
    </row>
    <row r="41" customFormat="false" ht="75" hidden="false" customHeight="true" outlineLevel="0" collapsed="false">
      <c r="B41" s="461" t="s">
        <v>424</v>
      </c>
      <c r="C41" s="477" t="s">
        <v>425</v>
      </c>
      <c r="D41" s="261" t="n">
        <v>10</v>
      </c>
      <c r="E41" s="404" t="n">
        <v>24</v>
      </c>
      <c r="F41" s="476" t="n">
        <v>900</v>
      </c>
      <c r="J41" s="468" t="n">
        <v>11</v>
      </c>
      <c r="K41" s="470" t="s">
        <v>426</v>
      </c>
      <c r="L41" s="469" t="n">
        <v>15</v>
      </c>
    </row>
    <row r="42" customFormat="false" ht="52.5" hidden="false" customHeight="true" outlineLevel="0" collapsed="false">
      <c r="B42" s="461" t="s">
        <v>427</v>
      </c>
      <c r="C42" s="477" t="s">
        <v>428</v>
      </c>
      <c r="D42" s="261" t="n">
        <v>10</v>
      </c>
      <c r="E42" s="404" t="n">
        <v>24</v>
      </c>
      <c r="F42" s="476" t="n">
        <v>850</v>
      </c>
      <c r="J42" s="478" t="s">
        <v>429</v>
      </c>
      <c r="K42" s="478"/>
      <c r="L42" s="478"/>
    </row>
    <row r="43" customFormat="false" ht="60" hidden="false" customHeight="false" outlineLevel="0" collapsed="false">
      <c r="B43" s="461" t="s">
        <v>430</v>
      </c>
      <c r="C43" s="477" t="s">
        <v>431</v>
      </c>
      <c r="D43" s="261" t="n">
        <v>10</v>
      </c>
      <c r="E43" s="404" t="n">
        <v>24</v>
      </c>
      <c r="F43" s="476" t="n">
        <v>800</v>
      </c>
    </row>
    <row r="44" customFormat="false" ht="105" hidden="false" customHeight="true" outlineLevel="0" collapsed="false">
      <c r="B44" s="461" t="s">
        <v>432</v>
      </c>
      <c r="C44" s="477" t="s">
        <v>433</v>
      </c>
      <c r="D44" s="261" t="n">
        <v>10</v>
      </c>
      <c r="E44" s="404" t="n">
        <v>24</v>
      </c>
      <c r="F44" s="476" t="n">
        <v>900</v>
      </c>
    </row>
    <row r="45" customFormat="false" ht="75" hidden="false" customHeight="false" outlineLevel="0" collapsed="false">
      <c r="B45" s="461" t="s">
        <v>434</v>
      </c>
      <c r="C45" s="477" t="s">
        <v>435</v>
      </c>
      <c r="D45" s="261" t="n">
        <v>10</v>
      </c>
      <c r="E45" s="404" t="n">
        <v>24</v>
      </c>
      <c r="F45" s="476" t="n">
        <v>850</v>
      </c>
    </row>
    <row r="46" customFormat="false" ht="75" hidden="false" customHeight="false" outlineLevel="0" collapsed="false">
      <c r="B46" s="461" t="s">
        <v>436</v>
      </c>
      <c r="C46" s="477" t="s">
        <v>437</v>
      </c>
      <c r="D46" s="261" t="n">
        <v>10</v>
      </c>
      <c r="E46" s="404" t="n">
        <v>24</v>
      </c>
      <c r="F46" s="476" t="n">
        <v>800</v>
      </c>
    </row>
    <row r="47" customFormat="false" ht="60" hidden="false" customHeight="false" outlineLevel="0" collapsed="false">
      <c r="B47" s="461" t="s">
        <v>438</v>
      </c>
      <c r="C47" s="477" t="s">
        <v>439</v>
      </c>
      <c r="D47" s="261" t="n">
        <v>10</v>
      </c>
      <c r="E47" s="404" t="n">
        <v>24</v>
      </c>
      <c r="F47" s="476" t="n">
        <v>900</v>
      </c>
    </row>
    <row r="48" customFormat="false" ht="60" hidden="false" customHeight="false" outlineLevel="0" collapsed="false">
      <c r="B48" s="461" t="s">
        <v>440</v>
      </c>
      <c r="C48" s="477" t="s">
        <v>441</v>
      </c>
      <c r="D48" s="261" t="n">
        <v>10</v>
      </c>
      <c r="E48" s="404" t="n">
        <v>24</v>
      </c>
      <c r="F48" s="476" t="n">
        <v>850</v>
      </c>
    </row>
    <row r="49" customFormat="false" ht="60" hidden="false" customHeight="false" outlineLevel="0" collapsed="false">
      <c r="B49" s="461" t="s">
        <v>442</v>
      </c>
      <c r="C49" s="477" t="s">
        <v>443</v>
      </c>
      <c r="D49" s="261" t="n">
        <v>10</v>
      </c>
      <c r="E49" s="404" t="n">
        <v>24</v>
      </c>
      <c r="F49" s="476" t="n">
        <v>800</v>
      </c>
    </row>
    <row r="50" customFormat="false" ht="60" hidden="false" customHeight="true" outlineLevel="0" collapsed="false">
      <c r="B50" s="461" t="s">
        <v>444</v>
      </c>
      <c r="C50" s="477" t="s">
        <v>445</v>
      </c>
      <c r="D50" s="261" t="n">
        <v>15</v>
      </c>
      <c r="E50" s="404" t="n">
        <v>25</v>
      </c>
      <c r="F50" s="476" t="n">
        <v>450</v>
      </c>
    </row>
    <row r="51" customFormat="false" ht="60" hidden="false" customHeight="false" outlineLevel="0" collapsed="false">
      <c r="B51" s="461" t="s">
        <v>446</v>
      </c>
      <c r="C51" s="477" t="s">
        <v>447</v>
      </c>
      <c r="D51" s="261" t="n">
        <v>15</v>
      </c>
      <c r="E51" s="404" t="n">
        <v>25</v>
      </c>
      <c r="F51" s="476" t="n">
        <v>400</v>
      </c>
    </row>
    <row r="52" customFormat="false" ht="60" hidden="false" customHeight="false" outlineLevel="0" collapsed="false">
      <c r="B52" s="461" t="s">
        <v>448</v>
      </c>
      <c r="C52" s="477" t="s">
        <v>449</v>
      </c>
      <c r="D52" s="261" t="n">
        <v>15</v>
      </c>
      <c r="E52" s="404" t="n">
        <v>25</v>
      </c>
      <c r="F52" s="476" t="n">
        <v>350</v>
      </c>
    </row>
    <row r="53" customFormat="false" ht="45" hidden="false" customHeight="false" outlineLevel="0" collapsed="false">
      <c r="B53" s="461" t="s">
        <v>450</v>
      </c>
      <c r="C53" s="477" t="s">
        <v>451</v>
      </c>
      <c r="D53" s="261" t="n">
        <v>15</v>
      </c>
      <c r="E53" s="404" t="n">
        <v>25</v>
      </c>
      <c r="F53" s="476" t="n">
        <v>400</v>
      </c>
    </row>
    <row r="54" customFormat="false" ht="45" hidden="false" customHeight="false" outlineLevel="0" collapsed="false">
      <c r="B54" s="461" t="s">
        <v>452</v>
      </c>
      <c r="C54" s="477" t="s">
        <v>453</v>
      </c>
      <c r="D54" s="261" t="n">
        <v>15</v>
      </c>
      <c r="E54" s="404" t="n">
        <v>25</v>
      </c>
      <c r="F54" s="476" t="n">
        <v>350</v>
      </c>
    </row>
    <row r="55" customFormat="false" ht="45" hidden="false" customHeight="false" outlineLevel="0" collapsed="false">
      <c r="B55" s="461" t="s">
        <v>454</v>
      </c>
      <c r="C55" s="477" t="s">
        <v>455</v>
      </c>
      <c r="D55" s="261" t="n">
        <v>15</v>
      </c>
      <c r="E55" s="404" t="n">
        <v>25</v>
      </c>
      <c r="F55" s="476" t="n">
        <v>300</v>
      </c>
    </row>
    <row r="56" customFormat="false" ht="105" hidden="false" customHeight="false" outlineLevel="0" collapsed="false">
      <c r="B56" s="461" t="s">
        <v>456</v>
      </c>
      <c r="C56" s="477" t="s">
        <v>32</v>
      </c>
      <c r="D56" s="261" t="n">
        <v>15</v>
      </c>
      <c r="E56" s="404" t="n">
        <v>25</v>
      </c>
      <c r="F56" s="476" t="n">
        <v>400</v>
      </c>
    </row>
    <row r="57" customFormat="false" ht="105" hidden="false" customHeight="false" outlineLevel="0" collapsed="false">
      <c r="B57" s="461" t="s">
        <v>457</v>
      </c>
      <c r="C57" s="477" t="s">
        <v>458</v>
      </c>
      <c r="D57" s="261" t="n">
        <v>15</v>
      </c>
      <c r="E57" s="404" t="n">
        <v>25</v>
      </c>
      <c r="F57" s="476" t="n">
        <v>350</v>
      </c>
    </row>
    <row r="58" customFormat="false" ht="105" hidden="false" customHeight="false" outlineLevel="0" collapsed="false">
      <c r="B58" s="461" t="s">
        <v>459</v>
      </c>
      <c r="C58" s="477" t="s">
        <v>460</v>
      </c>
      <c r="D58" s="261" t="n">
        <v>15</v>
      </c>
      <c r="E58" s="404" t="n">
        <v>25</v>
      </c>
      <c r="F58" s="476" t="n">
        <v>300</v>
      </c>
    </row>
    <row r="59" customFormat="false" ht="45" hidden="false" customHeight="false" outlineLevel="0" collapsed="false">
      <c r="B59" s="461" t="s">
        <v>461</v>
      </c>
      <c r="C59" s="479" t="s">
        <v>462</v>
      </c>
      <c r="D59" s="261" t="n">
        <v>15</v>
      </c>
      <c r="E59" s="404" t="n">
        <v>25</v>
      </c>
      <c r="F59" s="476" t="n">
        <v>500</v>
      </c>
    </row>
    <row r="60" customFormat="false" ht="90" hidden="false" customHeight="false" outlineLevel="0" collapsed="false">
      <c r="B60" s="461" t="s">
        <v>463</v>
      </c>
      <c r="C60" s="477" t="s">
        <v>464</v>
      </c>
      <c r="D60" s="261" t="n">
        <v>15</v>
      </c>
      <c r="E60" s="404" t="n">
        <v>25</v>
      </c>
      <c r="F60" s="476" t="n">
        <v>450</v>
      </c>
    </row>
    <row r="61" customFormat="false" ht="90" hidden="false" customHeight="false" outlineLevel="0" collapsed="false">
      <c r="B61" s="461" t="s">
        <v>465</v>
      </c>
      <c r="C61" s="477" t="s">
        <v>466</v>
      </c>
      <c r="D61" s="261" t="n">
        <v>15</v>
      </c>
      <c r="E61" s="404" t="n">
        <v>25</v>
      </c>
      <c r="F61" s="476" t="n">
        <v>400</v>
      </c>
    </row>
    <row r="62" customFormat="false" ht="90" hidden="false" customHeight="false" outlineLevel="0" collapsed="false">
      <c r="B62" s="461" t="s">
        <v>467</v>
      </c>
      <c r="C62" s="477" t="s">
        <v>468</v>
      </c>
      <c r="D62" s="261" t="n">
        <v>15</v>
      </c>
      <c r="E62" s="404" t="n">
        <v>25</v>
      </c>
      <c r="F62" s="476" t="n">
        <v>350</v>
      </c>
    </row>
    <row r="63" customFormat="false" ht="90" hidden="false" customHeight="false" outlineLevel="0" collapsed="false">
      <c r="B63" s="461" t="s">
        <v>469</v>
      </c>
      <c r="C63" s="477" t="s">
        <v>470</v>
      </c>
      <c r="D63" s="261" t="n">
        <v>15</v>
      </c>
      <c r="E63" s="404" t="n">
        <v>25</v>
      </c>
      <c r="F63" s="476" t="n">
        <v>450</v>
      </c>
    </row>
    <row r="64" customFormat="false" ht="90" hidden="false" customHeight="false" outlineLevel="0" collapsed="false">
      <c r="B64" s="461" t="s">
        <v>471</v>
      </c>
      <c r="C64" s="477" t="s">
        <v>472</v>
      </c>
      <c r="D64" s="261" t="n">
        <v>15</v>
      </c>
      <c r="E64" s="404" t="n">
        <v>25</v>
      </c>
      <c r="F64" s="476" t="n">
        <v>400</v>
      </c>
    </row>
    <row r="65" customFormat="false" ht="90" hidden="false" customHeight="false" outlineLevel="0" collapsed="false">
      <c r="B65" s="461" t="s">
        <v>473</v>
      </c>
      <c r="C65" s="477" t="s">
        <v>474</v>
      </c>
      <c r="D65" s="261" t="n">
        <v>15</v>
      </c>
      <c r="E65" s="404" t="n">
        <v>25</v>
      </c>
      <c r="F65" s="476" t="n">
        <v>350</v>
      </c>
    </row>
    <row r="66" customFormat="false" ht="165" hidden="false" customHeight="true" outlineLevel="0" collapsed="false">
      <c r="B66" s="461" t="s">
        <v>475</v>
      </c>
      <c r="C66" s="477" t="s">
        <v>476</v>
      </c>
      <c r="D66" s="261" t="n">
        <v>15</v>
      </c>
      <c r="E66" s="404" t="n">
        <v>25</v>
      </c>
      <c r="F66" s="476" t="n">
        <v>350</v>
      </c>
    </row>
    <row r="67" customFormat="false" ht="135" hidden="false" customHeight="false" outlineLevel="0" collapsed="false">
      <c r="B67" s="461" t="s">
        <v>477</v>
      </c>
      <c r="C67" s="477" t="s">
        <v>478</v>
      </c>
      <c r="D67" s="261" t="n">
        <v>15</v>
      </c>
      <c r="E67" s="404" t="n">
        <v>25</v>
      </c>
      <c r="F67" s="476" t="n">
        <v>300</v>
      </c>
    </row>
    <row r="68" customFormat="false" ht="105" hidden="false" customHeight="false" outlineLevel="0" collapsed="false">
      <c r="B68" s="461" t="s">
        <v>479</v>
      </c>
      <c r="C68" s="477" t="s">
        <v>480</v>
      </c>
      <c r="D68" s="261" t="n">
        <v>15</v>
      </c>
      <c r="E68" s="404" t="n">
        <v>25</v>
      </c>
      <c r="F68" s="476" t="n">
        <v>350</v>
      </c>
    </row>
    <row r="69" customFormat="false" ht="45" hidden="false" customHeight="true" outlineLevel="0" collapsed="false">
      <c r="B69" s="461" t="s">
        <v>481</v>
      </c>
      <c r="C69" s="477" t="s">
        <v>482</v>
      </c>
      <c r="D69" s="261" t="n">
        <v>15</v>
      </c>
      <c r="E69" s="404" t="n">
        <v>30</v>
      </c>
      <c r="F69" s="476" t="n">
        <v>450</v>
      </c>
    </row>
    <row r="70" customFormat="false" ht="45" hidden="false" customHeight="false" outlineLevel="0" collapsed="false">
      <c r="B70" s="461" t="s">
        <v>483</v>
      </c>
      <c r="C70" s="477" t="s">
        <v>484</v>
      </c>
      <c r="D70" s="261" t="n">
        <v>15</v>
      </c>
      <c r="E70" s="404" t="n">
        <v>30</v>
      </c>
      <c r="F70" s="476" t="n">
        <v>400</v>
      </c>
    </row>
    <row r="71" customFormat="false" ht="45" hidden="false" customHeight="false" outlineLevel="0" collapsed="false">
      <c r="B71" s="461" t="s">
        <v>485</v>
      </c>
      <c r="C71" s="477" t="s">
        <v>486</v>
      </c>
      <c r="D71" s="261" t="n">
        <v>15</v>
      </c>
      <c r="E71" s="404" t="n">
        <v>30</v>
      </c>
      <c r="F71" s="476" t="n">
        <v>350</v>
      </c>
    </row>
    <row r="72" customFormat="false" ht="30" hidden="false" customHeight="false" outlineLevel="0" collapsed="false">
      <c r="B72" s="461" t="s">
        <v>487</v>
      </c>
      <c r="C72" s="477" t="s">
        <v>488</v>
      </c>
      <c r="D72" s="261" t="n">
        <v>15</v>
      </c>
      <c r="E72" s="404" t="n">
        <v>30</v>
      </c>
      <c r="F72" s="476" t="n">
        <v>400</v>
      </c>
    </row>
    <row r="73" customFormat="false" ht="30" hidden="false" customHeight="false" outlineLevel="0" collapsed="false">
      <c r="B73" s="461" t="s">
        <v>489</v>
      </c>
      <c r="C73" s="477" t="s">
        <v>490</v>
      </c>
      <c r="D73" s="261" t="n">
        <v>15</v>
      </c>
      <c r="E73" s="404" t="n">
        <v>30</v>
      </c>
      <c r="F73" s="476" t="n">
        <v>350</v>
      </c>
    </row>
    <row r="74" customFormat="false" ht="30" hidden="false" customHeight="false" outlineLevel="0" collapsed="false">
      <c r="B74" s="461" t="s">
        <v>491</v>
      </c>
      <c r="C74" s="477" t="s">
        <v>492</v>
      </c>
      <c r="D74" s="261" t="n">
        <v>15</v>
      </c>
      <c r="E74" s="404" t="n">
        <v>30</v>
      </c>
      <c r="F74" s="476" t="n">
        <v>300</v>
      </c>
    </row>
    <row r="75" customFormat="false" ht="105" hidden="false" customHeight="true" outlineLevel="0" collapsed="false">
      <c r="B75" s="461" t="s">
        <v>493</v>
      </c>
      <c r="C75" s="477" t="s">
        <v>494</v>
      </c>
      <c r="D75" s="261" t="n">
        <v>15</v>
      </c>
      <c r="E75" s="404" t="n">
        <v>30</v>
      </c>
      <c r="F75" s="476" t="n">
        <v>300</v>
      </c>
    </row>
    <row r="76" customFormat="false" ht="90" hidden="false" customHeight="false" outlineLevel="0" collapsed="false">
      <c r="B76" s="461" t="s">
        <v>495</v>
      </c>
      <c r="C76" s="477" t="s">
        <v>496</v>
      </c>
      <c r="D76" s="261" t="n">
        <v>15</v>
      </c>
      <c r="E76" s="404" t="n">
        <v>30</v>
      </c>
      <c r="F76" s="476" t="n">
        <v>250</v>
      </c>
    </row>
    <row r="77" customFormat="false" ht="45" hidden="false" customHeight="false" outlineLevel="0" collapsed="false">
      <c r="B77" s="461" t="s">
        <v>497</v>
      </c>
      <c r="C77" s="479" t="s">
        <v>498</v>
      </c>
      <c r="D77" s="261" t="n">
        <v>15</v>
      </c>
      <c r="E77" s="404" t="n">
        <v>30</v>
      </c>
      <c r="F77" s="476" t="n">
        <v>300</v>
      </c>
    </row>
    <row r="78" customFormat="false" ht="90" hidden="false" customHeight="true" outlineLevel="0" collapsed="false">
      <c r="B78" s="461" t="s">
        <v>499</v>
      </c>
      <c r="C78" s="477" t="s">
        <v>500</v>
      </c>
      <c r="D78" s="261" t="n">
        <v>12</v>
      </c>
      <c r="E78" s="404" t="n">
        <v>25</v>
      </c>
      <c r="F78" s="476" t="n">
        <v>450</v>
      </c>
    </row>
    <row r="79" customFormat="false" ht="75" hidden="false" customHeight="false" outlineLevel="0" collapsed="false">
      <c r="B79" s="461" t="s">
        <v>501</v>
      </c>
      <c r="C79" s="477" t="s">
        <v>502</v>
      </c>
      <c r="D79" s="261" t="n">
        <v>12</v>
      </c>
      <c r="E79" s="404" t="n">
        <v>25</v>
      </c>
      <c r="F79" s="476" t="n">
        <v>400</v>
      </c>
    </row>
    <row r="80" customFormat="false" ht="75" hidden="false" customHeight="false" outlineLevel="0" collapsed="false">
      <c r="B80" s="461" t="s">
        <v>503</v>
      </c>
      <c r="C80" s="477" t="s">
        <v>504</v>
      </c>
      <c r="D80" s="261" t="n">
        <v>12</v>
      </c>
      <c r="E80" s="404" t="n">
        <v>25</v>
      </c>
      <c r="F80" s="476" t="n">
        <v>250</v>
      </c>
    </row>
    <row r="81" customFormat="false" ht="75" hidden="false" customHeight="false" outlineLevel="0" collapsed="false">
      <c r="B81" s="461" t="s">
        <v>505</v>
      </c>
      <c r="C81" s="477" t="s">
        <v>506</v>
      </c>
      <c r="D81" s="261" t="n">
        <v>12</v>
      </c>
      <c r="E81" s="404" t="n">
        <v>25</v>
      </c>
      <c r="F81" s="476" t="n">
        <v>400</v>
      </c>
    </row>
    <row r="82" customFormat="false" ht="75" hidden="false" customHeight="false" outlineLevel="0" collapsed="false">
      <c r="B82" s="461" t="s">
        <v>507</v>
      </c>
      <c r="C82" s="477" t="s">
        <v>508</v>
      </c>
      <c r="D82" s="261" t="n">
        <v>12</v>
      </c>
      <c r="E82" s="404" t="n">
        <v>25</v>
      </c>
      <c r="F82" s="476" t="n">
        <v>300</v>
      </c>
    </row>
    <row r="83" customFormat="false" ht="75" hidden="false" customHeight="false" outlineLevel="0" collapsed="false">
      <c r="B83" s="461" t="s">
        <v>509</v>
      </c>
      <c r="C83" s="477" t="s">
        <v>510</v>
      </c>
      <c r="D83" s="261" t="n">
        <v>12</v>
      </c>
      <c r="E83" s="404" t="n">
        <v>25</v>
      </c>
      <c r="F83" s="476" t="n">
        <v>250</v>
      </c>
    </row>
    <row r="84" customFormat="false" ht="45" hidden="false" customHeight="true" outlineLevel="0" collapsed="false">
      <c r="B84" s="461" t="s">
        <v>511</v>
      </c>
      <c r="C84" s="477" t="s">
        <v>512</v>
      </c>
      <c r="D84" s="261" t="n">
        <v>12</v>
      </c>
      <c r="E84" s="404" t="n">
        <v>24</v>
      </c>
      <c r="F84" s="476" t="n">
        <v>450</v>
      </c>
    </row>
    <row r="85" customFormat="false" ht="30" hidden="false" customHeight="false" outlineLevel="0" collapsed="false">
      <c r="B85" s="461" t="s">
        <v>513</v>
      </c>
      <c r="C85" s="477" t="s">
        <v>514</v>
      </c>
      <c r="D85" s="261" t="n">
        <v>12</v>
      </c>
      <c r="E85" s="404" t="n">
        <v>24</v>
      </c>
      <c r="F85" s="476" t="n">
        <v>400</v>
      </c>
    </row>
    <row r="86" customFormat="false" ht="30" hidden="false" customHeight="false" outlineLevel="0" collapsed="false">
      <c r="B86" s="461" t="s">
        <v>515</v>
      </c>
      <c r="C86" s="477" t="s">
        <v>516</v>
      </c>
      <c r="D86" s="261" t="n">
        <v>12</v>
      </c>
      <c r="E86" s="404" t="n">
        <v>24</v>
      </c>
      <c r="F86" s="476" t="n">
        <v>350</v>
      </c>
    </row>
    <row r="87" customFormat="false" ht="30" hidden="false" customHeight="true" outlineLevel="0" collapsed="false">
      <c r="B87" s="461" t="s">
        <v>517</v>
      </c>
      <c r="C87" s="477" t="s">
        <v>518</v>
      </c>
      <c r="D87" s="261" t="n">
        <v>12</v>
      </c>
      <c r="E87" s="404" t="n">
        <v>24</v>
      </c>
      <c r="F87" s="476" t="n">
        <v>400</v>
      </c>
    </row>
    <row r="88" customFormat="false" ht="30" hidden="false" customHeight="false" outlineLevel="0" collapsed="false">
      <c r="B88" s="461" t="s">
        <v>519</v>
      </c>
      <c r="C88" s="477" t="s">
        <v>520</v>
      </c>
      <c r="D88" s="261" t="n">
        <v>12</v>
      </c>
      <c r="E88" s="404" t="n">
        <v>24</v>
      </c>
      <c r="F88" s="476" t="n">
        <v>350</v>
      </c>
    </row>
    <row r="89" customFormat="false" ht="30" hidden="false" customHeight="false" outlineLevel="0" collapsed="false">
      <c r="B89" s="461" t="s">
        <v>521</v>
      </c>
      <c r="C89" s="477" t="s">
        <v>522</v>
      </c>
      <c r="D89" s="261" t="n">
        <v>12</v>
      </c>
      <c r="E89" s="404" t="n">
        <v>24</v>
      </c>
      <c r="F89" s="476" t="n">
        <v>300</v>
      </c>
    </row>
    <row r="90" customFormat="false" ht="105" hidden="false" customHeight="true" outlineLevel="0" collapsed="false">
      <c r="B90" s="461" t="s">
        <v>523</v>
      </c>
      <c r="C90" s="477" t="s">
        <v>524</v>
      </c>
      <c r="D90" s="261" t="n">
        <v>12</v>
      </c>
      <c r="E90" s="404" t="n">
        <v>24</v>
      </c>
      <c r="F90" s="476" t="n">
        <v>300</v>
      </c>
    </row>
    <row r="91" customFormat="false" ht="90" hidden="false" customHeight="false" outlineLevel="0" collapsed="false">
      <c r="B91" s="461" t="s">
        <v>525</v>
      </c>
      <c r="C91" s="477" t="s">
        <v>526</v>
      </c>
      <c r="D91" s="261" t="n">
        <v>12</v>
      </c>
      <c r="E91" s="404" t="n">
        <v>24</v>
      </c>
      <c r="F91" s="476" t="n">
        <v>250</v>
      </c>
    </row>
    <row r="92" customFormat="false" ht="30" hidden="false" customHeight="false" outlineLevel="0" collapsed="false">
      <c r="B92" s="461" t="s">
        <v>527</v>
      </c>
      <c r="C92" s="479" t="s">
        <v>528</v>
      </c>
      <c r="D92" s="261" t="n">
        <v>12</v>
      </c>
      <c r="E92" s="404" t="n">
        <v>24</v>
      </c>
      <c r="F92" s="476" t="n">
        <v>300</v>
      </c>
    </row>
    <row r="93" customFormat="false" ht="60" hidden="false" customHeight="true" outlineLevel="0" collapsed="false">
      <c r="B93" s="461" t="s">
        <v>529</v>
      </c>
      <c r="C93" s="477" t="s">
        <v>530</v>
      </c>
      <c r="D93" s="261" t="n">
        <v>12</v>
      </c>
      <c r="E93" s="404" t="n">
        <v>24</v>
      </c>
      <c r="F93" s="476" t="n">
        <v>250</v>
      </c>
    </row>
    <row r="94" customFormat="false" ht="45" hidden="false" customHeight="false" outlineLevel="0" collapsed="false">
      <c r="B94" s="461" t="s">
        <v>531</v>
      </c>
      <c r="C94" s="477" t="s">
        <v>532</v>
      </c>
      <c r="D94" s="261" t="n">
        <v>12</v>
      </c>
      <c r="E94" s="404" t="n">
        <v>24</v>
      </c>
      <c r="F94" s="476" t="n">
        <v>200</v>
      </c>
    </row>
    <row r="95" customFormat="false" ht="30" hidden="false" customHeight="false" outlineLevel="0" collapsed="false">
      <c r="B95" s="480" t="s">
        <v>533</v>
      </c>
      <c r="C95" s="481" t="s">
        <v>534</v>
      </c>
      <c r="D95" s="261" t="n">
        <v>12</v>
      </c>
      <c r="E95" s="404" t="n">
        <v>24</v>
      </c>
      <c r="F95" s="476" t="n">
        <v>150</v>
      </c>
    </row>
    <row r="96" customFormat="false" ht="30" hidden="false" customHeight="false" outlineLevel="0" collapsed="false">
      <c r="B96" s="474" t="s">
        <v>535</v>
      </c>
      <c r="C96" s="482" t="s">
        <v>536</v>
      </c>
      <c r="D96" s="261" t="n">
        <v>8</v>
      </c>
      <c r="E96" s="404" t="n">
        <v>16</v>
      </c>
      <c r="F96" s="476" t="n">
        <v>700</v>
      </c>
    </row>
    <row r="97" customFormat="false" ht="30" hidden="false" customHeight="false" outlineLevel="0" collapsed="false">
      <c r="B97" s="461" t="s">
        <v>537</v>
      </c>
      <c r="C97" s="462" t="s">
        <v>538</v>
      </c>
      <c r="D97" s="261" t="n">
        <v>6</v>
      </c>
      <c r="E97" s="404" t="n">
        <v>12</v>
      </c>
      <c r="F97" s="476" t="n">
        <v>600</v>
      </c>
    </row>
    <row r="98" customFormat="false" ht="45" hidden="false" customHeight="false" outlineLevel="0" collapsed="false">
      <c r="B98" s="461" t="s">
        <v>539</v>
      </c>
      <c r="C98" s="462" t="s">
        <v>540</v>
      </c>
      <c r="D98" s="261" t="n">
        <v>12</v>
      </c>
      <c r="E98" s="404" t="n">
        <v>25</v>
      </c>
      <c r="F98" s="476" t="n">
        <v>200</v>
      </c>
    </row>
    <row r="99" customFormat="false" ht="30" hidden="false" customHeight="false" outlineLevel="0" collapsed="false">
      <c r="B99" s="461" t="s">
        <v>541</v>
      </c>
      <c r="C99" s="462" t="s">
        <v>542</v>
      </c>
      <c r="D99" s="261" t="n">
        <v>12</v>
      </c>
      <c r="E99" s="404" t="n">
        <v>25</v>
      </c>
      <c r="F99" s="476" t="n">
        <v>230</v>
      </c>
    </row>
    <row r="100" customFormat="false" ht="15.75" hidden="false" customHeight="false" outlineLevel="0" collapsed="false">
      <c r="B100" s="461" t="s">
        <v>543</v>
      </c>
      <c r="C100" s="462" t="s">
        <v>544</v>
      </c>
      <c r="D100" s="261" t="n">
        <v>12</v>
      </c>
      <c r="E100" s="404" t="n">
        <v>30</v>
      </c>
      <c r="F100" s="476" t="n">
        <v>150</v>
      </c>
    </row>
    <row r="101" customFormat="false" ht="31.5" hidden="false" customHeight="false" outlineLevel="0" collapsed="false">
      <c r="B101" s="461" t="s">
        <v>545</v>
      </c>
      <c r="C101" s="483" t="s">
        <v>546</v>
      </c>
      <c r="D101" s="261" t="n">
        <v>12</v>
      </c>
      <c r="E101" s="404" t="n">
        <v>12</v>
      </c>
      <c r="F101" s="476" t="n">
        <v>500</v>
      </c>
    </row>
    <row r="102" customFormat="false" ht="31.5" hidden="false" customHeight="false" outlineLevel="0" collapsed="false">
      <c r="B102" s="461" t="s">
        <v>547</v>
      </c>
      <c r="C102" s="483" t="s">
        <v>548</v>
      </c>
      <c r="D102" s="261" t="n">
        <v>12</v>
      </c>
      <c r="E102" s="404" t="n">
        <v>12</v>
      </c>
      <c r="F102" s="476" t="n">
        <v>500</v>
      </c>
    </row>
    <row r="103" customFormat="false" ht="30" hidden="false" customHeight="false" outlineLevel="0" collapsed="false">
      <c r="B103" s="461" t="s">
        <v>549</v>
      </c>
      <c r="C103" s="462" t="s">
        <v>550</v>
      </c>
      <c r="D103" s="261" t="n">
        <v>10</v>
      </c>
      <c r="E103" s="404" t="n">
        <v>10</v>
      </c>
      <c r="F103" s="476" t="n">
        <v>450</v>
      </c>
    </row>
    <row r="104" customFormat="false" ht="30" hidden="false" customHeight="false" outlineLevel="0" collapsed="false">
      <c r="B104" s="461" t="s">
        <v>551</v>
      </c>
      <c r="C104" s="484" t="s">
        <v>552</v>
      </c>
      <c r="D104" s="261" t="n">
        <v>8</v>
      </c>
      <c r="E104" s="404" t="n">
        <v>8</v>
      </c>
      <c r="F104" s="476" t="n">
        <v>400</v>
      </c>
    </row>
    <row r="105" customFormat="false" ht="30" hidden="false" customHeight="false" outlineLevel="0" collapsed="false">
      <c r="B105" s="461" t="s">
        <v>553</v>
      </c>
      <c r="C105" s="462" t="s">
        <v>554</v>
      </c>
      <c r="D105" s="261" t="n">
        <v>8</v>
      </c>
      <c r="E105" s="404" t="n">
        <v>8</v>
      </c>
      <c r="F105" s="476" t="n">
        <v>400</v>
      </c>
    </row>
    <row r="106" customFormat="false" ht="15.75" hidden="false" customHeight="false" outlineLevel="0" collapsed="false">
      <c r="B106" s="461" t="s">
        <v>555</v>
      </c>
      <c r="C106" s="462" t="s">
        <v>556</v>
      </c>
      <c r="D106" s="261" t="n">
        <v>15</v>
      </c>
      <c r="E106" s="404" t="n">
        <v>15</v>
      </c>
      <c r="F106" s="476" t="n">
        <v>800</v>
      </c>
    </row>
    <row r="107" customFormat="false" ht="15.75" hidden="false" customHeight="false" outlineLevel="0" collapsed="false">
      <c r="B107" s="461" t="s">
        <v>557</v>
      </c>
      <c r="C107" s="462" t="s">
        <v>558</v>
      </c>
      <c r="D107" s="261" t="n">
        <v>12</v>
      </c>
      <c r="E107" s="404" t="n">
        <v>25</v>
      </c>
      <c r="F107" s="476" t="n">
        <v>140</v>
      </c>
    </row>
    <row r="108" customFormat="false" ht="15.75" hidden="false" customHeight="false" outlineLevel="0" collapsed="false">
      <c r="B108" s="461" t="s">
        <v>559</v>
      </c>
      <c r="C108" s="462" t="s">
        <v>560</v>
      </c>
      <c r="D108" s="261" t="n">
        <v>10</v>
      </c>
      <c r="E108" s="404" t="n">
        <v>25</v>
      </c>
      <c r="F108" s="476" t="n">
        <v>190</v>
      </c>
    </row>
    <row r="109" customFormat="false" ht="15.75" hidden="false" customHeight="false" outlineLevel="0" collapsed="false">
      <c r="B109" s="461" t="s">
        <v>561</v>
      </c>
      <c r="C109" s="462" t="s">
        <v>562</v>
      </c>
      <c r="D109" s="261" t="n">
        <v>10</v>
      </c>
      <c r="E109" s="404" t="n">
        <v>25</v>
      </c>
      <c r="F109" s="476" t="n">
        <v>240</v>
      </c>
    </row>
    <row r="110" customFormat="false" ht="30" hidden="false" customHeight="false" outlineLevel="0" collapsed="false">
      <c r="B110" s="461" t="s">
        <v>563</v>
      </c>
      <c r="C110" s="462" t="s">
        <v>564</v>
      </c>
      <c r="D110" s="261" t="n">
        <v>24</v>
      </c>
      <c r="E110" s="404" t="n">
        <v>30</v>
      </c>
      <c r="F110" s="476" t="n">
        <v>290</v>
      </c>
    </row>
    <row r="111" customFormat="false" ht="30" hidden="false" customHeight="false" outlineLevel="0" collapsed="false">
      <c r="B111" s="461" t="s">
        <v>565</v>
      </c>
      <c r="C111" s="462" t="s">
        <v>34</v>
      </c>
      <c r="D111" s="261" t="n">
        <v>18</v>
      </c>
      <c r="E111" s="404" t="n">
        <v>25</v>
      </c>
      <c r="F111" s="476" t="n">
        <v>330</v>
      </c>
    </row>
    <row r="112" customFormat="false" ht="30" hidden="false" customHeight="false" outlineLevel="0" collapsed="false">
      <c r="B112" s="461" t="s">
        <v>566</v>
      </c>
      <c r="C112" s="462" t="s">
        <v>567</v>
      </c>
      <c r="D112" s="261" t="n">
        <v>18</v>
      </c>
      <c r="E112" s="404" t="n">
        <v>25</v>
      </c>
      <c r="F112" s="476" t="n">
        <v>380</v>
      </c>
    </row>
    <row r="113" customFormat="false" ht="30" hidden="false" customHeight="false" outlineLevel="0" collapsed="false">
      <c r="B113" s="461" t="s">
        <v>568</v>
      </c>
      <c r="C113" s="462" t="s">
        <v>569</v>
      </c>
      <c r="D113" s="261" t="n">
        <v>12</v>
      </c>
      <c r="E113" s="404" t="n">
        <v>25</v>
      </c>
      <c r="F113" s="476" t="n">
        <v>430</v>
      </c>
    </row>
    <row r="114" customFormat="false" ht="30" hidden="false" customHeight="false" outlineLevel="0" collapsed="false">
      <c r="B114" s="461" t="s">
        <v>570</v>
      </c>
      <c r="C114" s="462" t="s">
        <v>571</v>
      </c>
      <c r="D114" s="261" t="n">
        <v>12</v>
      </c>
      <c r="E114" s="404" t="n">
        <v>25</v>
      </c>
      <c r="F114" s="476" t="n">
        <v>480</v>
      </c>
    </row>
    <row r="115" customFormat="false" ht="30" hidden="false" customHeight="false" outlineLevel="0" collapsed="false">
      <c r="B115" s="461" t="s">
        <v>572</v>
      </c>
      <c r="C115" s="462" t="s">
        <v>36</v>
      </c>
      <c r="D115" s="261" t="n">
        <v>8</v>
      </c>
      <c r="E115" s="404" t="n">
        <v>25</v>
      </c>
      <c r="F115" s="476" t="n">
        <v>530</v>
      </c>
    </row>
    <row r="116" customFormat="false" ht="30" hidden="false" customHeight="false" outlineLevel="0" collapsed="false">
      <c r="B116" s="461" t="s">
        <v>573</v>
      </c>
      <c r="C116" s="462" t="s">
        <v>574</v>
      </c>
      <c r="D116" s="261" t="n">
        <v>8</v>
      </c>
      <c r="E116" s="404" t="n">
        <v>25</v>
      </c>
      <c r="F116" s="476" t="n">
        <v>605</v>
      </c>
    </row>
    <row r="117" customFormat="false" ht="30" hidden="false" customHeight="false" outlineLevel="0" collapsed="false">
      <c r="B117" s="461" t="s">
        <v>575</v>
      </c>
      <c r="C117" s="462" t="s">
        <v>576</v>
      </c>
      <c r="D117" s="261" t="n">
        <v>18</v>
      </c>
      <c r="E117" s="404" t="n">
        <v>24</v>
      </c>
      <c r="F117" s="476" t="n">
        <v>500</v>
      </c>
    </row>
    <row r="118" customFormat="false" ht="30" hidden="false" customHeight="false" outlineLevel="0" collapsed="false">
      <c r="B118" s="485" t="s">
        <v>577</v>
      </c>
      <c r="C118" s="486" t="s">
        <v>578</v>
      </c>
      <c r="D118" s="487" t="n">
        <v>12</v>
      </c>
      <c r="E118" s="488" t="n">
        <v>18</v>
      </c>
      <c r="F118" s="489" t="n">
        <v>150</v>
      </c>
    </row>
    <row r="119" customFormat="false" ht="15" hidden="false" customHeight="false" outlineLevel="0" collapsed="false">
      <c r="B119" s="490" t="s">
        <v>579</v>
      </c>
      <c r="C119" s="491" t="s">
        <v>38</v>
      </c>
      <c r="D119" s="491" t="n">
        <v>15</v>
      </c>
      <c r="E119" s="491" t="n">
        <v>30</v>
      </c>
      <c r="F119" s="492" t="n">
        <v>408</v>
      </c>
    </row>
    <row r="120" customFormat="false" ht="15" hidden="false" customHeight="false" outlineLevel="0" collapsed="false">
      <c r="B120" s="261" t="s">
        <v>580</v>
      </c>
      <c r="C120" s="404" t="s">
        <v>581</v>
      </c>
      <c r="D120" s="404" t="n">
        <v>15</v>
      </c>
      <c r="E120" s="404" t="n">
        <v>30</v>
      </c>
      <c r="F120" s="476" t="n">
        <v>240</v>
      </c>
    </row>
    <row r="121" customFormat="false" ht="15" hidden="false" customHeight="false" outlineLevel="0" collapsed="false">
      <c r="B121" s="261" t="s">
        <v>582</v>
      </c>
      <c r="C121" s="404" t="s">
        <v>583</v>
      </c>
      <c r="D121" s="404" t="n">
        <v>15</v>
      </c>
      <c r="E121" s="404" t="n">
        <v>30</v>
      </c>
      <c r="F121" s="476" t="n">
        <v>160</v>
      </c>
    </row>
    <row r="122" customFormat="false" ht="15" hidden="false" customHeight="false" outlineLevel="0" collapsed="false">
      <c r="B122" s="261" t="s">
        <v>584</v>
      </c>
      <c r="C122" s="404" t="s">
        <v>585</v>
      </c>
      <c r="D122" s="404" t="n">
        <v>15</v>
      </c>
      <c r="E122" s="404" t="n">
        <v>30</v>
      </c>
      <c r="F122" s="476" t="n">
        <v>100</v>
      </c>
    </row>
    <row r="123" customFormat="false" ht="15" hidden="false" customHeight="false" outlineLevel="0" collapsed="false">
      <c r="B123" s="261" t="s">
        <v>586</v>
      </c>
      <c r="C123" s="404" t="s">
        <v>587</v>
      </c>
      <c r="D123" s="404" t="n">
        <v>15</v>
      </c>
      <c r="E123" s="404" t="n">
        <v>30</v>
      </c>
      <c r="F123" s="476" t="n">
        <v>25</v>
      </c>
    </row>
    <row r="124" customFormat="false" ht="15" hidden="false" customHeight="false" outlineLevel="0" collapsed="false">
      <c r="B124" s="261" t="s">
        <v>588</v>
      </c>
      <c r="C124" s="404" t="s">
        <v>589</v>
      </c>
      <c r="D124" s="404" t="n">
        <v>15</v>
      </c>
      <c r="E124" s="404" t="n">
        <v>30</v>
      </c>
      <c r="F124" s="476" t="n">
        <v>30</v>
      </c>
    </row>
    <row r="125" customFormat="false" ht="15" hidden="false" customHeight="false" outlineLevel="0" collapsed="false">
      <c r="B125" s="261" t="s">
        <v>590</v>
      </c>
      <c r="C125" s="404" t="s">
        <v>591</v>
      </c>
      <c r="D125" s="404" t="n">
        <v>15</v>
      </c>
      <c r="E125" s="404" t="n">
        <v>30</v>
      </c>
      <c r="F125" s="476" t="n">
        <v>30</v>
      </c>
    </row>
    <row r="126" customFormat="false" ht="15" hidden="false" customHeight="false" outlineLevel="0" collapsed="false">
      <c r="B126" s="261" t="s">
        <v>592</v>
      </c>
      <c r="C126" s="404" t="s">
        <v>593</v>
      </c>
      <c r="D126" s="404" t="n">
        <v>15</v>
      </c>
      <c r="E126" s="404" t="n">
        <v>30</v>
      </c>
      <c r="F126" s="476" t="n">
        <v>30</v>
      </c>
    </row>
    <row r="127" customFormat="false" ht="15" hidden="false" customHeight="false" outlineLevel="0" collapsed="false">
      <c r="B127" s="261" t="s">
        <v>594</v>
      </c>
      <c r="C127" s="404" t="s">
        <v>13</v>
      </c>
      <c r="D127" s="404" t="n">
        <v>15</v>
      </c>
      <c r="E127" s="404" t="n">
        <v>30</v>
      </c>
      <c r="F127" s="476" t="n">
        <v>30</v>
      </c>
    </row>
    <row r="128" customFormat="false" ht="15" hidden="false" customHeight="false" outlineLevel="0" collapsed="false">
      <c r="B128" s="261" t="s">
        <v>595</v>
      </c>
      <c r="C128" s="404" t="s">
        <v>596</v>
      </c>
      <c r="D128" s="404" t="n">
        <v>15</v>
      </c>
      <c r="E128" s="404" t="n">
        <v>30</v>
      </c>
      <c r="F128" s="476" t="n">
        <v>30</v>
      </c>
    </row>
    <row r="129" customFormat="false" ht="15" hidden="false" customHeight="false" outlineLevel="0" collapsed="false">
      <c r="B129" s="261" t="s">
        <v>597</v>
      </c>
      <c r="C129" s="404" t="s">
        <v>598</v>
      </c>
      <c r="D129" s="404" t="n">
        <v>15</v>
      </c>
      <c r="E129" s="404" t="n">
        <v>30</v>
      </c>
      <c r="F129" s="476" t="n">
        <v>30</v>
      </c>
    </row>
    <row r="130" customFormat="false" ht="15" hidden="false" customHeight="false" outlineLevel="0" collapsed="false">
      <c r="B130" s="261" t="s">
        <v>599</v>
      </c>
      <c r="C130" s="404" t="s">
        <v>600</v>
      </c>
      <c r="D130" s="404" t="n">
        <v>15</v>
      </c>
      <c r="E130" s="404" t="n">
        <v>30</v>
      </c>
      <c r="F130" s="476" t="n">
        <v>30</v>
      </c>
    </row>
    <row r="131" customFormat="false" ht="15" hidden="false" customHeight="false" outlineLevel="0" collapsed="false">
      <c r="B131" s="261" t="s">
        <v>601</v>
      </c>
      <c r="C131" s="404" t="s">
        <v>602</v>
      </c>
      <c r="D131" s="404" t="n">
        <v>15</v>
      </c>
      <c r="E131" s="404" t="n">
        <v>30</v>
      </c>
      <c r="F131" s="476" t="n">
        <v>30</v>
      </c>
    </row>
    <row r="132" customFormat="false" ht="15" hidden="false" customHeight="false" outlineLevel="0" collapsed="false">
      <c r="B132" s="273" t="s">
        <v>603</v>
      </c>
      <c r="C132" s="493" t="s">
        <v>604</v>
      </c>
      <c r="D132" s="404" t="n">
        <v>15</v>
      </c>
      <c r="E132" s="404" t="n">
        <v>30</v>
      </c>
      <c r="F132" s="494" t="n">
        <v>30</v>
      </c>
    </row>
  </sheetData>
  <mergeCells count="1">
    <mergeCell ref="J42:L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2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13.0927835051546"/>
    <col collapsed="false" hidden="false" max="3" min="3" style="0" width="18.5463917525773"/>
    <col collapsed="false" hidden="false" max="4" min="4" style="0" width="16.3659793814433"/>
    <col collapsed="false" hidden="false" max="5" min="5" style="0" width="27.4123711340206"/>
    <col collapsed="false" hidden="false" max="6" min="6" style="0" width="12.4123711340206"/>
    <col collapsed="false" hidden="false" max="7" min="7" style="0" width="10.3659793814433"/>
    <col collapsed="false" hidden="false" max="1025" min="8" style="0" width="7.63917525773196"/>
  </cols>
  <sheetData>
    <row r="1" customFormat="false" ht="15" hidden="false" customHeight="false" outlineLevel="0" collapsed="false">
      <c r="B1" s="441" t="s">
        <v>605</v>
      </c>
    </row>
    <row r="2" customFormat="false" ht="15.75" hidden="false" customHeight="false" outlineLevel="0" collapsed="false">
      <c r="B2" s="495" t="s">
        <v>606</v>
      </c>
      <c r="C2" s="495"/>
      <c r="D2" s="495"/>
      <c r="E2" s="495"/>
      <c r="F2" s="495"/>
    </row>
    <row r="3" customFormat="false" ht="44.25" hidden="false" customHeight="true" outlineLevel="0" collapsed="false">
      <c r="A3" s="496" t="s">
        <v>607</v>
      </c>
      <c r="B3" s="497" t="s">
        <v>6</v>
      </c>
      <c r="C3" s="498" t="s">
        <v>608</v>
      </c>
      <c r="D3" s="499" t="s">
        <v>14</v>
      </c>
      <c r="E3" s="498" t="s">
        <v>609</v>
      </c>
      <c r="F3" s="498" t="s">
        <v>610</v>
      </c>
      <c r="G3" s="498"/>
    </row>
    <row r="4" customFormat="false" ht="43.5" hidden="false" customHeight="true" outlineLevel="0" collapsed="false">
      <c r="A4" s="496"/>
      <c r="B4" s="497"/>
      <c r="C4" s="498"/>
      <c r="D4" s="499"/>
      <c r="E4" s="498"/>
      <c r="F4" s="498" t="s">
        <v>611</v>
      </c>
      <c r="G4" s="498" t="s">
        <v>612</v>
      </c>
    </row>
    <row r="5" customFormat="false" ht="15.75" hidden="false" customHeight="true" outlineLevel="0" collapsed="false">
      <c r="A5" s="500" t="s">
        <v>613</v>
      </c>
      <c r="B5" s="501" t="s">
        <v>113</v>
      </c>
      <c r="C5" s="502" t="s">
        <v>614</v>
      </c>
      <c r="D5" s="45" t="s">
        <v>615</v>
      </c>
      <c r="E5" s="502" t="s">
        <v>616</v>
      </c>
      <c r="F5" s="503" t="n">
        <v>18</v>
      </c>
      <c r="G5" s="503" t="n">
        <v>18</v>
      </c>
    </row>
    <row r="6" customFormat="false" ht="15.75" hidden="false" customHeight="true" outlineLevel="0" collapsed="false">
      <c r="A6" s="504" t="s">
        <v>617</v>
      </c>
      <c r="B6" s="501"/>
      <c r="C6" s="140" t="s">
        <v>618</v>
      </c>
      <c r="D6" s="45"/>
      <c r="E6" s="140" t="s">
        <v>619</v>
      </c>
      <c r="F6" s="505" t="n">
        <v>12</v>
      </c>
      <c r="G6" s="505" t="n">
        <f aca="false">F6+1</f>
        <v>13</v>
      </c>
    </row>
    <row r="7" customFormat="false" ht="15.75" hidden="false" customHeight="true" outlineLevel="0" collapsed="false">
      <c r="A7" s="504" t="s">
        <v>620</v>
      </c>
      <c r="B7" s="501"/>
      <c r="C7" s="140" t="s">
        <v>621</v>
      </c>
      <c r="D7" s="45"/>
      <c r="E7" s="140" t="s">
        <v>619</v>
      </c>
      <c r="F7" s="505" t="n">
        <v>11</v>
      </c>
      <c r="G7" s="505" t="n">
        <f aca="false">F7+1</f>
        <v>12</v>
      </c>
    </row>
    <row r="8" customFormat="false" ht="15.75" hidden="false" customHeight="true" outlineLevel="0" collapsed="false">
      <c r="A8" s="504" t="s">
        <v>622</v>
      </c>
      <c r="B8" s="501"/>
      <c r="C8" s="140" t="s">
        <v>623</v>
      </c>
      <c r="D8" s="45"/>
      <c r="E8" s="140" t="s">
        <v>619</v>
      </c>
      <c r="F8" s="505" t="n">
        <v>10</v>
      </c>
      <c r="G8" s="505" t="n">
        <f aca="false">F8+1</f>
        <v>11</v>
      </c>
    </row>
    <row r="9" customFormat="false" ht="15.75" hidden="false" customHeight="true" outlineLevel="0" collapsed="false">
      <c r="A9" s="504" t="s">
        <v>624</v>
      </c>
      <c r="B9" s="501"/>
      <c r="C9" s="140" t="s">
        <v>618</v>
      </c>
      <c r="D9" s="45"/>
      <c r="E9" s="140" t="s">
        <v>625</v>
      </c>
      <c r="F9" s="505" t="n">
        <v>11</v>
      </c>
      <c r="G9" s="505" t="n">
        <f aca="false">F9+1</f>
        <v>12</v>
      </c>
    </row>
    <row r="10" customFormat="false" ht="15.75" hidden="false" customHeight="true" outlineLevel="0" collapsed="false">
      <c r="A10" s="504" t="s">
        <v>626</v>
      </c>
      <c r="B10" s="501"/>
      <c r="C10" s="134" t="s">
        <v>621</v>
      </c>
      <c r="D10" s="45"/>
      <c r="E10" s="140" t="s">
        <v>625</v>
      </c>
      <c r="F10" s="505" t="n">
        <v>10</v>
      </c>
      <c r="G10" s="505" t="n">
        <f aca="false">F10+1</f>
        <v>11</v>
      </c>
    </row>
    <row r="11" customFormat="false" ht="15.75" hidden="false" customHeight="false" outlineLevel="0" collapsed="false">
      <c r="A11" s="506" t="s">
        <v>627</v>
      </c>
      <c r="B11" s="501"/>
      <c r="C11" s="507" t="s">
        <v>623</v>
      </c>
      <c r="D11" s="45"/>
      <c r="E11" s="507" t="s">
        <v>625</v>
      </c>
      <c r="F11" s="508" t="n">
        <v>9</v>
      </c>
      <c r="G11" s="505" t="n">
        <f aca="false">F11+1</f>
        <v>10</v>
      </c>
    </row>
    <row r="12" customFormat="false" ht="15.75" hidden="false" customHeight="true" outlineLevel="0" collapsed="false">
      <c r="A12" s="500" t="s">
        <v>628</v>
      </c>
      <c r="B12" s="509" t="s">
        <v>5</v>
      </c>
      <c r="C12" s="502" t="s">
        <v>629</v>
      </c>
      <c r="D12" s="45" t="s">
        <v>630</v>
      </c>
      <c r="E12" s="502" t="s">
        <v>616</v>
      </c>
      <c r="F12" s="503" t="n">
        <v>21</v>
      </c>
      <c r="G12" s="503" t="n">
        <v>21</v>
      </c>
    </row>
    <row r="13" customFormat="false" ht="15.75" hidden="false" customHeight="false" outlineLevel="0" collapsed="false">
      <c r="A13" s="504" t="s">
        <v>631</v>
      </c>
      <c r="B13" s="509"/>
      <c r="C13" s="140" t="s">
        <v>632</v>
      </c>
      <c r="D13" s="45"/>
      <c r="E13" s="140" t="s">
        <v>619</v>
      </c>
      <c r="F13" s="505" t="n">
        <v>14</v>
      </c>
      <c r="G13" s="505" t="n">
        <f aca="false">F13+1</f>
        <v>15</v>
      </c>
    </row>
    <row r="14" customFormat="false" ht="15.75" hidden="false" customHeight="false" outlineLevel="0" collapsed="false">
      <c r="A14" s="504" t="s">
        <v>633</v>
      </c>
      <c r="B14" s="509"/>
      <c r="C14" s="140" t="s">
        <v>634</v>
      </c>
      <c r="D14" s="45"/>
      <c r="E14" s="140" t="s">
        <v>619</v>
      </c>
      <c r="F14" s="505" t="n">
        <v>13</v>
      </c>
      <c r="G14" s="505" t="n">
        <f aca="false">F14+1</f>
        <v>14</v>
      </c>
    </row>
    <row r="15" customFormat="false" ht="15.75" hidden="false" customHeight="false" outlineLevel="0" collapsed="false">
      <c r="A15" s="504" t="s">
        <v>635</v>
      </c>
      <c r="B15" s="509"/>
      <c r="C15" s="140" t="s">
        <v>636</v>
      </c>
      <c r="D15" s="45"/>
      <c r="E15" s="140" t="s">
        <v>619</v>
      </c>
      <c r="F15" s="505" t="n">
        <v>12</v>
      </c>
      <c r="G15" s="505" t="n">
        <f aca="false">F15+1</f>
        <v>13</v>
      </c>
    </row>
    <row r="16" customFormat="false" ht="15.75" hidden="false" customHeight="false" outlineLevel="0" collapsed="false">
      <c r="A16" s="504" t="s">
        <v>637</v>
      </c>
      <c r="B16" s="509"/>
      <c r="C16" s="140" t="s">
        <v>632</v>
      </c>
      <c r="D16" s="45"/>
      <c r="E16" s="140" t="s">
        <v>625</v>
      </c>
      <c r="F16" s="505" t="n">
        <v>12</v>
      </c>
      <c r="G16" s="505" t="n">
        <f aca="false">F16+1</f>
        <v>13</v>
      </c>
    </row>
    <row r="17" customFormat="false" ht="15.75" hidden="false" customHeight="false" outlineLevel="0" collapsed="false">
      <c r="A17" s="504" t="s">
        <v>638</v>
      </c>
      <c r="B17" s="509"/>
      <c r="C17" s="140" t="s">
        <v>634</v>
      </c>
      <c r="D17" s="45"/>
      <c r="E17" s="140" t="s">
        <v>625</v>
      </c>
      <c r="F17" s="505" t="n">
        <v>11</v>
      </c>
      <c r="G17" s="505" t="n">
        <f aca="false">F17+1</f>
        <v>12</v>
      </c>
    </row>
    <row r="18" customFormat="false" ht="15.75" hidden="false" customHeight="false" outlineLevel="0" collapsed="false">
      <c r="A18" s="506" t="s">
        <v>639</v>
      </c>
      <c r="B18" s="509"/>
      <c r="C18" s="510" t="s">
        <v>636</v>
      </c>
      <c r="D18" s="45"/>
      <c r="E18" s="510" t="s">
        <v>625</v>
      </c>
      <c r="F18" s="511" t="n">
        <v>10</v>
      </c>
      <c r="G18" s="505" t="n">
        <f aca="false">F18+1</f>
        <v>11</v>
      </c>
    </row>
    <row r="19" customFormat="false" ht="15.75" hidden="false" customHeight="true" outlineLevel="0" collapsed="false">
      <c r="A19" s="500" t="s">
        <v>640</v>
      </c>
      <c r="B19" s="509" t="s">
        <v>115</v>
      </c>
      <c r="C19" s="50" t="s">
        <v>641</v>
      </c>
      <c r="D19" s="50" t="s">
        <v>630</v>
      </c>
      <c r="E19" s="502" t="s">
        <v>619</v>
      </c>
      <c r="F19" s="503" t="n">
        <v>15</v>
      </c>
      <c r="G19" s="503" t="n">
        <f aca="false">F19+1</f>
        <v>16</v>
      </c>
    </row>
    <row r="20" customFormat="false" ht="15.75" hidden="false" customHeight="false" outlineLevel="0" collapsed="false">
      <c r="A20" s="504" t="s">
        <v>642</v>
      </c>
      <c r="B20" s="509"/>
      <c r="C20" s="50"/>
      <c r="D20" s="50"/>
      <c r="E20" s="140" t="s">
        <v>616</v>
      </c>
      <c r="F20" s="505" t="n">
        <v>12</v>
      </c>
      <c r="G20" s="505" t="n">
        <v>12</v>
      </c>
    </row>
    <row r="21" customFormat="false" ht="15.75" hidden="false" customHeight="false" outlineLevel="0" collapsed="false">
      <c r="A21" s="506" t="s">
        <v>643</v>
      </c>
      <c r="B21" s="509"/>
      <c r="C21" s="50"/>
      <c r="D21" s="50"/>
      <c r="E21" s="510" t="s">
        <v>625</v>
      </c>
      <c r="F21" s="511" t="n">
        <v>22</v>
      </c>
      <c r="G21" s="511" t="n">
        <f aca="false">F21+1</f>
        <v>23</v>
      </c>
    </row>
    <row r="22" customFormat="false" ht="15.75" hidden="false" customHeight="true" outlineLevel="0" collapsed="false">
      <c r="A22" s="500" t="s">
        <v>644</v>
      </c>
      <c r="B22" s="509" t="s">
        <v>53</v>
      </c>
      <c r="C22" s="50" t="s">
        <v>645</v>
      </c>
      <c r="D22" s="50" t="s">
        <v>630</v>
      </c>
      <c r="E22" s="502" t="s">
        <v>625</v>
      </c>
      <c r="F22" s="503" t="n">
        <v>13</v>
      </c>
      <c r="G22" s="503" t="n">
        <f aca="false">F22+1</f>
        <v>14</v>
      </c>
    </row>
    <row r="23" customFormat="false" ht="15.75" hidden="false" customHeight="false" outlineLevel="0" collapsed="false">
      <c r="A23" s="506" t="s">
        <v>646</v>
      </c>
      <c r="B23" s="509"/>
      <c r="C23" s="50"/>
      <c r="D23" s="50"/>
      <c r="E23" s="510" t="s">
        <v>616</v>
      </c>
      <c r="F23" s="511" t="n">
        <v>23</v>
      </c>
      <c r="G23" s="511" t="n">
        <v>23</v>
      </c>
    </row>
    <row r="24" customFormat="false" ht="31.5" hidden="false" customHeight="true" outlineLevel="0" collapsed="false">
      <c r="A24" s="500" t="s">
        <v>647</v>
      </c>
      <c r="B24" s="501" t="s">
        <v>648</v>
      </c>
      <c r="C24" s="45" t="s">
        <v>649</v>
      </c>
      <c r="D24" s="502" t="s">
        <v>650</v>
      </c>
      <c r="E24" s="502" t="s">
        <v>651</v>
      </c>
      <c r="F24" s="503" t="n">
        <v>8</v>
      </c>
      <c r="G24" s="503" t="n">
        <v>8</v>
      </c>
    </row>
    <row r="25" customFormat="false" ht="15.75" hidden="false" customHeight="false" outlineLevel="0" collapsed="false">
      <c r="A25" s="504" t="s">
        <v>652</v>
      </c>
      <c r="B25" s="501"/>
      <c r="C25" s="45"/>
      <c r="D25" s="140" t="s">
        <v>653</v>
      </c>
      <c r="E25" s="140" t="s">
        <v>654</v>
      </c>
      <c r="F25" s="505" t="n">
        <v>15</v>
      </c>
      <c r="G25" s="505" t="n">
        <v>15</v>
      </c>
    </row>
    <row r="26" customFormat="false" ht="63" hidden="false" customHeight="false" outlineLevel="0" collapsed="false">
      <c r="A26" s="506" t="s">
        <v>655</v>
      </c>
      <c r="B26" s="501"/>
      <c r="C26" s="45"/>
      <c r="D26" s="507" t="s">
        <v>653</v>
      </c>
      <c r="E26" s="507" t="s">
        <v>656</v>
      </c>
      <c r="F26" s="508" t="n">
        <v>6</v>
      </c>
      <c r="G26" s="508" t="n">
        <v>6</v>
      </c>
    </row>
    <row r="27" customFormat="false" ht="47.25" hidden="false" customHeight="false" outlineLevel="0" collapsed="false">
      <c r="A27" s="496" t="s">
        <v>657</v>
      </c>
      <c r="B27" s="512" t="s">
        <v>54</v>
      </c>
      <c r="C27" s="340" t="s">
        <v>658</v>
      </c>
      <c r="D27" s="507" t="s">
        <v>653</v>
      </c>
      <c r="E27" s="330" t="s">
        <v>659</v>
      </c>
      <c r="F27" s="330" t="n">
        <v>5</v>
      </c>
      <c r="G27" s="330" t="n">
        <v>5</v>
      </c>
    </row>
    <row r="28" customFormat="false" ht="27" hidden="false" customHeight="true" outlineLevel="0" collapsed="false">
      <c r="A28" s="496" t="s">
        <v>660</v>
      </c>
      <c r="B28" s="513" t="s">
        <v>661</v>
      </c>
      <c r="C28" s="513"/>
      <c r="D28" s="513"/>
      <c r="E28" s="513"/>
      <c r="F28" s="513"/>
    </row>
  </sheetData>
  <sheetProtection sheet="true" objects="true" scenarios="true"/>
  <mergeCells count="20">
    <mergeCell ref="B2:F2"/>
    <mergeCell ref="A3:A4"/>
    <mergeCell ref="B3:B4"/>
    <mergeCell ref="C3:C4"/>
    <mergeCell ref="D3:D4"/>
    <mergeCell ref="E3:E4"/>
    <mergeCell ref="F3:G3"/>
    <mergeCell ref="B5:B11"/>
    <mergeCell ref="D5:D11"/>
    <mergeCell ref="B12:B18"/>
    <mergeCell ref="D12:D18"/>
    <mergeCell ref="B19:B21"/>
    <mergeCell ref="C19:C21"/>
    <mergeCell ref="D19:D21"/>
    <mergeCell ref="B22:B23"/>
    <mergeCell ref="C22:C23"/>
    <mergeCell ref="D22:D23"/>
    <mergeCell ref="B24:B26"/>
    <mergeCell ref="C24:C26"/>
    <mergeCell ref="B28:F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101"/>
  <sheetViews>
    <sheetView windowProtection="false" showFormulas="false" showGridLines="true" showRowColHeaders="true" showZeros="true" rightToLeft="false" tabSelected="false" showOutlineSymbols="true" defaultGridColor="true" view="normal" topLeftCell="A2" colorId="64" zoomScale="65" zoomScaleNormal="65" zoomScalePageLayoutView="100" workbookViewId="0">
      <selection pane="topLeft" activeCell="A57" activeCellId="0" sqref="A57"/>
    </sheetView>
  </sheetViews>
  <sheetFormatPr defaultRowHeight="15"/>
  <cols>
    <col collapsed="false" hidden="false" max="1" min="1" style="514" width="4.3659793814433"/>
    <col collapsed="false" hidden="false" max="2" min="2" style="514" width="52.6443298969072"/>
    <col collapsed="false" hidden="false" max="3" min="3" style="514" width="9.81958762886598"/>
    <col collapsed="false" hidden="false" max="4" min="4" style="514" width="7.3659793814433"/>
    <col collapsed="false" hidden="false" max="5" min="5" style="514" width="6.95360824742268"/>
    <col collapsed="false" hidden="false" max="6" min="6" style="514" width="7.22680412371134"/>
    <col collapsed="false" hidden="false" max="7" min="7" style="514" width="6.81958762886598"/>
    <col collapsed="false" hidden="false" max="8" min="8" style="514" width="7.22680412371134"/>
    <col collapsed="false" hidden="false" max="10" min="9" style="514" width="10.0927835051546"/>
    <col collapsed="false" hidden="false" max="14" min="11" style="514" width="9.13917525773196"/>
    <col collapsed="false" hidden="false" max="15" min="15" style="514" width="10.3659793814433"/>
    <col collapsed="false" hidden="false" max="16" min="16" style="515" width="12.5463917525773"/>
    <col collapsed="false" hidden="false" max="17" min="17" style="514" width="10.3659793814433"/>
    <col collapsed="false" hidden="false" max="256" min="18" style="514" width="9.13917525773196"/>
    <col collapsed="false" hidden="false" max="257" min="257" style="514" width="4.3659793814433"/>
    <col collapsed="false" hidden="false" max="258" min="258" style="514" width="52.6443298969072"/>
    <col collapsed="false" hidden="false" max="259" min="259" style="514" width="9.81958762886598"/>
    <col collapsed="false" hidden="false" max="260" min="260" style="514" width="7.3659793814433"/>
    <col collapsed="false" hidden="false" max="261" min="261" style="514" width="6.95360824742268"/>
    <col collapsed="false" hidden="false" max="262" min="262" style="514" width="7.22680412371134"/>
    <col collapsed="false" hidden="false" max="263" min="263" style="514" width="6.81958762886598"/>
    <col collapsed="false" hidden="false" max="264" min="264" style="514" width="7.22680412371134"/>
    <col collapsed="false" hidden="false" max="266" min="265" style="514" width="10.0927835051546"/>
    <col collapsed="false" hidden="false" max="270" min="267" style="514" width="9.13917525773196"/>
    <col collapsed="false" hidden="false" max="271" min="271" style="514" width="10.3659793814433"/>
    <col collapsed="false" hidden="false" max="272" min="272" style="514" width="12.5463917525773"/>
    <col collapsed="false" hidden="false" max="273" min="273" style="514" width="10.3659793814433"/>
    <col collapsed="false" hidden="false" max="512" min="274" style="514" width="9.13917525773196"/>
    <col collapsed="false" hidden="false" max="513" min="513" style="514" width="4.3659793814433"/>
    <col collapsed="false" hidden="false" max="514" min="514" style="514" width="52.6443298969072"/>
    <col collapsed="false" hidden="false" max="515" min="515" style="514" width="9.81958762886598"/>
    <col collapsed="false" hidden="false" max="516" min="516" style="514" width="7.3659793814433"/>
    <col collapsed="false" hidden="false" max="517" min="517" style="514" width="6.95360824742268"/>
    <col collapsed="false" hidden="false" max="518" min="518" style="514" width="7.22680412371134"/>
    <col collapsed="false" hidden="false" max="519" min="519" style="514" width="6.81958762886598"/>
    <col collapsed="false" hidden="false" max="520" min="520" style="514" width="7.22680412371134"/>
    <col collapsed="false" hidden="false" max="522" min="521" style="514" width="10.0927835051546"/>
    <col collapsed="false" hidden="false" max="526" min="523" style="514" width="9.13917525773196"/>
    <col collapsed="false" hidden="false" max="527" min="527" style="514" width="10.3659793814433"/>
    <col collapsed="false" hidden="false" max="528" min="528" style="514" width="12.5463917525773"/>
    <col collapsed="false" hidden="false" max="529" min="529" style="514" width="10.3659793814433"/>
    <col collapsed="false" hidden="false" max="768" min="530" style="514" width="9.13917525773196"/>
    <col collapsed="false" hidden="false" max="769" min="769" style="514" width="4.3659793814433"/>
    <col collapsed="false" hidden="false" max="770" min="770" style="514" width="52.6443298969072"/>
    <col collapsed="false" hidden="false" max="771" min="771" style="514" width="9.81958762886598"/>
    <col collapsed="false" hidden="false" max="772" min="772" style="514" width="7.3659793814433"/>
    <col collapsed="false" hidden="false" max="773" min="773" style="514" width="6.95360824742268"/>
    <col collapsed="false" hidden="false" max="774" min="774" style="514" width="7.22680412371134"/>
    <col collapsed="false" hidden="false" max="775" min="775" style="514" width="6.81958762886598"/>
    <col collapsed="false" hidden="false" max="776" min="776" style="514" width="7.22680412371134"/>
    <col collapsed="false" hidden="false" max="778" min="777" style="514" width="10.0927835051546"/>
    <col collapsed="false" hidden="false" max="782" min="779" style="514" width="9.13917525773196"/>
    <col collapsed="false" hidden="false" max="783" min="783" style="514" width="10.3659793814433"/>
    <col collapsed="false" hidden="false" max="784" min="784" style="514" width="12.5463917525773"/>
    <col collapsed="false" hidden="false" max="785" min="785" style="514" width="10.3659793814433"/>
    <col collapsed="false" hidden="false" max="1025" min="786" style="514" width="9.13917525773196"/>
  </cols>
  <sheetData>
    <row r="1" customFormat="false" ht="1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0"/>
      <c r="B2" s="514" t="s">
        <v>662</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4" customFormat="false" ht="67.5" hidden="false" customHeight="true" outlineLevel="0" collapsed="false">
      <c r="A4" s="516" t="s">
        <v>663</v>
      </c>
      <c r="B4" s="517" t="s">
        <v>664</v>
      </c>
      <c r="C4" s="518" t="s">
        <v>665</v>
      </c>
      <c r="D4" s="519" t="s">
        <v>666</v>
      </c>
      <c r="E4" s="520" t="s">
        <v>667</v>
      </c>
      <c r="F4" s="520"/>
      <c r="G4" s="520"/>
      <c r="H4" s="520"/>
      <c r="I4" s="521" t="s">
        <v>668</v>
      </c>
      <c r="J4" s="522"/>
      <c r="K4" s="523" t="s">
        <v>669</v>
      </c>
      <c r="L4" s="524" t="s">
        <v>670</v>
      </c>
      <c r="M4" s="525" t="s">
        <v>671</v>
      </c>
      <c r="N4" s="525"/>
      <c r="O4" s="525"/>
      <c r="P4" s="526" t="s">
        <v>672</v>
      </c>
      <c r="Q4" s="526" t="s">
        <v>673</v>
      </c>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75" hidden="false" customHeight="false" outlineLevel="0" collapsed="false">
      <c r="A5" s="516"/>
      <c r="B5" s="517"/>
      <c r="C5" s="518"/>
      <c r="D5" s="527" t="s">
        <v>674</v>
      </c>
      <c r="E5" s="528" t="n">
        <v>2004</v>
      </c>
      <c r="F5" s="528" t="n">
        <v>2017</v>
      </c>
      <c r="G5" s="528" t="n">
        <v>2021</v>
      </c>
      <c r="H5" s="529" t="n">
        <v>2024</v>
      </c>
      <c r="I5" s="521"/>
      <c r="J5" s="530"/>
      <c r="K5" s="531" t="n">
        <v>2010</v>
      </c>
      <c r="L5" s="524"/>
      <c r="M5" s="532" t="n">
        <v>60</v>
      </c>
      <c r="N5" s="533" t="n">
        <v>100</v>
      </c>
      <c r="O5" s="533" t="n">
        <v>115</v>
      </c>
      <c r="P5" s="526"/>
      <c r="Q5" s="526"/>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534"/>
      <c r="B6" s="535" t="n">
        <v>1</v>
      </c>
      <c r="C6" s="536" t="n">
        <v>2</v>
      </c>
      <c r="D6" s="535" t="n">
        <v>3</v>
      </c>
      <c r="E6" s="536" t="n">
        <v>4</v>
      </c>
      <c r="F6" s="535" t="n">
        <v>5</v>
      </c>
      <c r="G6" s="536" t="n">
        <v>6</v>
      </c>
      <c r="H6" s="535" t="n">
        <v>7</v>
      </c>
      <c r="I6" s="536" t="n">
        <v>8</v>
      </c>
      <c r="J6" s="537"/>
      <c r="K6" s="538" t="n">
        <v>9</v>
      </c>
      <c r="L6" s="536" t="n">
        <v>10</v>
      </c>
      <c r="M6" s="535" t="n">
        <v>11</v>
      </c>
      <c r="N6" s="536" t="n">
        <v>12</v>
      </c>
      <c r="O6" s="535" t="n">
        <v>13</v>
      </c>
      <c r="P6" s="539" t="n">
        <v>14</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534"/>
      <c r="B7" s="535" t="s">
        <v>675</v>
      </c>
      <c r="C7" s="535"/>
      <c r="D7" s="535"/>
      <c r="E7" s="540" t="n">
        <f aca="false">SUM(E8:E12)</f>
        <v>490</v>
      </c>
      <c r="F7" s="540" t="n">
        <f aca="false">SUM(F8:F12)</f>
        <v>970</v>
      </c>
      <c r="G7" s="540" t="n">
        <f aca="false">SUM(G8:G12)</f>
        <v>1200</v>
      </c>
      <c r="H7" s="540" t="n">
        <f aca="false">SUM(H8:H12)</f>
        <v>1400</v>
      </c>
      <c r="I7" s="541" t="n">
        <f aca="false">H7/$H$59*100</f>
        <v>17.6544766708701</v>
      </c>
      <c r="J7" s="542" t="n">
        <v>1.054</v>
      </c>
      <c r="K7" s="543" t="n">
        <f aca="false">SUM(K8:K12)</f>
        <v>671.799606756277</v>
      </c>
      <c r="L7" s="0"/>
      <c r="M7" s="0"/>
      <c r="N7" s="0"/>
      <c r="O7" s="0"/>
      <c r="P7" s="544" t="n">
        <f aca="false">SUM(P8:P12)</f>
        <v>1.55104</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75" hidden="false" customHeight="false" outlineLevel="0" collapsed="false">
      <c r="A8" s="545" t="n">
        <v>1</v>
      </c>
      <c r="B8" s="546" t="s">
        <v>676</v>
      </c>
      <c r="C8" s="540" t="n">
        <v>1</v>
      </c>
      <c r="D8" s="540" t="n">
        <v>2.66</v>
      </c>
      <c r="E8" s="540" t="n">
        <v>32</v>
      </c>
      <c r="F8" s="540" t="n">
        <v>64</v>
      </c>
      <c r="G8" s="540" t="n">
        <v>78</v>
      </c>
      <c r="H8" s="547" t="n">
        <v>92</v>
      </c>
      <c r="I8" s="548" t="n">
        <f aca="false">H8/$H$59*100</f>
        <v>1.16015132408575</v>
      </c>
      <c r="J8" s="549"/>
      <c r="K8" s="550" t="n">
        <f aca="false">E8*$J$7^($K$5-$E$5)</f>
        <v>43.8726273800018</v>
      </c>
      <c r="L8" s="551" t="n">
        <v>2.8</v>
      </c>
      <c r="M8" s="552" t="n">
        <v>0.0027</v>
      </c>
      <c r="N8" s="552" t="n">
        <v>0.0004</v>
      </c>
      <c r="O8" s="552" t="n">
        <v>0.00021</v>
      </c>
      <c r="P8" s="553" t="n">
        <f aca="false">H8*O8</f>
        <v>0.01932</v>
      </c>
      <c r="Q8" s="554" t="n">
        <f aca="false">$P$71*K8*($J$7^($P$89)-1)/($J$7-1)*$P$92*0.7*O8*$P$93</f>
        <v>7.52794025769745</v>
      </c>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75" hidden="false" customHeight="false" outlineLevel="0" collapsed="false">
      <c r="A9" s="545" t="n">
        <v>2</v>
      </c>
      <c r="B9" s="546" t="s">
        <v>677</v>
      </c>
      <c r="C9" s="540" t="n">
        <v>1.5</v>
      </c>
      <c r="D9" s="540" t="n">
        <v>3.2</v>
      </c>
      <c r="E9" s="540" t="n">
        <v>130</v>
      </c>
      <c r="F9" s="540" t="n">
        <v>256</v>
      </c>
      <c r="G9" s="540" t="n">
        <v>318</v>
      </c>
      <c r="H9" s="547" t="n">
        <v>368</v>
      </c>
      <c r="I9" s="555" t="n">
        <f aca="false">H9/$H$59*100</f>
        <v>4.640605296343</v>
      </c>
      <c r="J9" s="556"/>
      <c r="K9" s="557" t="n">
        <f aca="false">E9*$J$7^($K$5-$E$5)</f>
        <v>178.232548731257</v>
      </c>
      <c r="L9" s="558" t="n">
        <v>3.1</v>
      </c>
      <c r="M9" s="559" t="n">
        <v>0.01463</v>
      </c>
      <c r="N9" s="559" t="n">
        <v>0.00155</v>
      </c>
      <c r="O9" s="559" t="n">
        <v>0.00084</v>
      </c>
      <c r="P9" s="560" t="n">
        <f aca="false">H9*O9</f>
        <v>0.30912</v>
      </c>
      <c r="Q9" s="561" t="n">
        <f aca="false">$P$71*K9*($J$7^($P$89)-1)/($J$7-1)*$P$92*0.7*O9*$P$93</f>
        <v>122.329029187584</v>
      </c>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75" hidden="false" customHeight="false" outlineLevel="0" collapsed="false">
      <c r="A10" s="545" t="n">
        <v>3</v>
      </c>
      <c r="B10" s="546" t="s">
        <v>678</v>
      </c>
      <c r="C10" s="540" t="n">
        <v>1.5</v>
      </c>
      <c r="D10" s="540" t="n">
        <v>3.5</v>
      </c>
      <c r="E10" s="540" t="n">
        <v>188</v>
      </c>
      <c r="F10" s="540" t="n">
        <v>372</v>
      </c>
      <c r="G10" s="540" t="n">
        <v>462</v>
      </c>
      <c r="H10" s="547" t="n">
        <v>540</v>
      </c>
      <c r="I10" s="555" t="n">
        <f aca="false">H10/$H$59*100</f>
        <v>6.80958385876419</v>
      </c>
      <c r="J10" s="556"/>
      <c r="K10" s="557" t="n">
        <f aca="false">E10*$J$7^($K$5-$E$5)</f>
        <v>257.75168585751</v>
      </c>
      <c r="L10" s="558" t="n">
        <v>3.2</v>
      </c>
      <c r="M10" s="559" t="n">
        <v>0.0163</v>
      </c>
      <c r="N10" s="559" t="n">
        <v>0.00172</v>
      </c>
      <c r="O10" s="559" t="n">
        <v>0.00093</v>
      </c>
      <c r="P10" s="560" t="n">
        <f aca="false">H10*O10</f>
        <v>0.5022</v>
      </c>
      <c r="Q10" s="561" t="n">
        <f aca="false">$P$71*K10*($J$7^($P$89)-1)/($J$7-1)*$P$92*0.7*O10*$P$93</f>
        <v>195.860874204736</v>
      </c>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75" hidden="false" customHeight="false" outlineLevel="0" collapsed="false">
      <c r="A11" s="545" t="n">
        <v>4</v>
      </c>
      <c r="B11" s="546" t="s">
        <v>679</v>
      </c>
      <c r="C11" s="540" t="n">
        <v>1.6</v>
      </c>
      <c r="D11" s="540" t="n">
        <v>3.5</v>
      </c>
      <c r="E11" s="540" t="n">
        <v>114</v>
      </c>
      <c r="F11" s="540" t="n">
        <v>226</v>
      </c>
      <c r="G11" s="540" t="n">
        <v>278</v>
      </c>
      <c r="H11" s="547" t="n">
        <v>326</v>
      </c>
      <c r="I11" s="555" t="n">
        <f aca="false">H11/$H$59*100</f>
        <v>4.1109709962169</v>
      </c>
      <c r="J11" s="556"/>
      <c r="K11" s="557" t="n">
        <f aca="false">E11*$J$7^($K$5-$E$5)</f>
        <v>156.296235041256</v>
      </c>
      <c r="L11" s="558" t="n">
        <v>3.5</v>
      </c>
      <c r="M11" s="559" t="n">
        <v>0.02313</v>
      </c>
      <c r="N11" s="559" t="n">
        <v>0.00244</v>
      </c>
      <c r="O11" s="559" t="n">
        <v>0.00132</v>
      </c>
      <c r="P11" s="560" t="n">
        <f aca="false">H11*O11</f>
        <v>0.43032</v>
      </c>
      <c r="Q11" s="561" t="n">
        <f aca="false">$P$71*K11*($J$7^($P$89)-1)/($J$7-1)*$P$92*0.7*O11*$P$93</f>
        <v>168.572090770582</v>
      </c>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75" hidden="false" customHeight="false" outlineLevel="0" collapsed="false">
      <c r="A12" s="545" t="n">
        <v>5</v>
      </c>
      <c r="B12" s="546" t="s">
        <v>680</v>
      </c>
      <c r="C12" s="540" t="n">
        <v>2.45</v>
      </c>
      <c r="D12" s="540" t="n">
        <v>4.6</v>
      </c>
      <c r="E12" s="540" t="n">
        <v>26</v>
      </c>
      <c r="F12" s="540" t="n">
        <v>52</v>
      </c>
      <c r="G12" s="540" t="n">
        <v>64</v>
      </c>
      <c r="H12" s="547" t="n">
        <v>74</v>
      </c>
      <c r="I12" s="562" t="n">
        <f aca="false">H12/$H$59*100</f>
        <v>0.933165195460278</v>
      </c>
      <c r="J12" s="563"/>
      <c r="K12" s="564" t="n">
        <f aca="false">E12*$J$7^($K$5-$E$5)</f>
        <v>35.6465097462514</v>
      </c>
      <c r="L12" s="565" t="n">
        <v>4.6</v>
      </c>
      <c r="M12" s="566" t="n">
        <v>0.0687</v>
      </c>
      <c r="N12" s="566" t="n">
        <v>0.00726</v>
      </c>
      <c r="O12" s="566" t="n">
        <v>0.00392</v>
      </c>
      <c r="P12" s="567" t="n">
        <f aca="false">H12*O12</f>
        <v>0.29008</v>
      </c>
      <c r="Q12" s="568" t="n">
        <f aca="false">$P$71*K12*($J$7^($P$89)-1)/($J$7-1)*$P$92*0.7*O12*$P$93</f>
        <v>114.173760575078</v>
      </c>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545"/>
      <c r="B13" s="535" t="s">
        <v>681</v>
      </c>
      <c r="C13" s="535"/>
      <c r="D13" s="535"/>
      <c r="E13" s="540" t="n">
        <f aca="false">SUM(E14:E18)</f>
        <v>240</v>
      </c>
      <c r="F13" s="540" t="n">
        <f aca="false">SUM(F14:F18)</f>
        <v>480</v>
      </c>
      <c r="G13" s="540" t="n">
        <f aca="false">SUM(G14:G18)</f>
        <v>590</v>
      </c>
      <c r="H13" s="540" t="n">
        <f aca="false">SUM(H14:H18)</f>
        <v>690</v>
      </c>
      <c r="I13" s="541" t="n">
        <f aca="false">H13/$H$59*100</f>
        <v>8.70113493064313</v>
      </c>
      <c r="J13" s="542" t="n">
        <v>1.0547</v>
      </c>
      <c r="K13" s="543" t="n">
        <f aca="false">SUM(K14:K18)</f>
        <v>330.358068127122</v>
      </c>
      <c r="L13" s="569"/>
      <c r="M13" s="570"/>
      <c r="N13" s="570"/>
      <c r="O13" s="571"/>
      <c r="P13" s="572" t="n">
        <f aca="false">SUM(P14:P18)</f>
        <v>43.04916</v>
      </c>
      <c r="Q13" s="515"/>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false" outlineLevel="0" collapsed="false">
      <c r="A14" s="545" t="n">
        <v>6</v>
      </c>
      <c r="B14" s="546" t="s">
        <v>682</v>
      </c>
      <c r="C14" s="540" t="n">
        <v>2.7</v>
      </c>
      <c r="D14" s="540" t="n">
        <v>5.2</v>
      </c>
      <c r="E14" s="540" t="n">
        <v>16</v>
      </c>
      <c r="F14" s="540" t="n">
        <v>32</v>
      </c>
      <c r="G14" s="540" t="n">
        <v>40</v>
      </c>
      <c r="H14" s="547" t="n">
        <v>46</v>
      </c>
      <c r="I14" s="548" t="n">
        <f aca="false">H14/$H$59*100</f>
        <v>0.580075662042875</v>
      </c>
      <c r="J14" s="549"/>
      <c r="K14" s="573" t="n">
        <f aca="false">E14*$J$13^($K$5-$E$5)</f>
        <v>22.0238712084748</v>
      </c>
      <c r="L14" s="551" t="n">
        <v>5</v>
      </c>
      <c r="M14" s="552" t="n">
        <v>0.09102</v>
      </c>
      <c r="N14" s="552" t="n">
        <v>0.00962</v>
      </c>
      <c r="O14" s="552" t="n">
        <v>0.0052</v>
      </c>
      <c r="P14" s="553" t="n">
        <f aca="false">H14*O14</f>
        <v>0.2392</v>
      </c>
      <c r="Q14" s="554" t="n">
        <f aca="false">$P$71*K14*($J$7^($P$89)-1)/($J$7-1)*$P$92*0.7*O14*$P$93</f>
        <v>93.5750844821875</v>
      </c>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false" outlineLevel="0" collapsed="false">
      <c r="A15" s="545" t="n">
        <v>7</v>
      </c>
      <c r="B15" s="546" t="s">
        <v>683</v>
      </c>
      <c r="C15" s="540" t="n">
        <v>3</v>
      </c>
      <c r="D15" s="540" t="n">
        <v>6.95</v>
      </c>
      <c r="E15" s="540" t="n">
        <v>22</v>
      </c>
      <c r="F15" s="540" t="n">
        <v>44</v>
      </c>
      <c r="G15" s="540" t="n">
        <v>54</v>
      </c>
      <c r="H15" s="547" t="n">
        <v>64</v>
      </c>
      <c r="I15" s="548" t="n">
        <f aca="false">H15/$H$59*100</f>
        <v>0.807061790668348</v>
      </c>
      <c r="J15" s="549"/>
      <c r="K15" s="574" t="n">
        <f aca="false">E15*$J$13^($K$5-$E$5)</f>
        <v>30.2828229116529</v>
      </c>
      <c r="L15" s="558" t="n">
        <v>6.5</v>
      </c>
      <c r="M15" s="559" t="n">
        <v>0.25486</v>
      </c>
      <c r="N15" s="559" t="n">
        <v>0.02693</v>
      </c>
      <c r="O15" s="559" t="n">
        <v>0.01456</v>
      </c>
      <c r="P15" s="560" t="n">
        <f aca="false">H15*O15</f>
        <v>0.93184</v>
      </c>
      <c r="Q15" s="561" t="n">
        <f aca="false">$P$71*K15*($J$7^($P$89)-1)/($J$7-1)*$P$92*0.7*O15*$P$93</f>
        <v>360.264075256422</v>
      </c>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false" outlineLevel="0" collapsed="false">
      <c r="A16" s="545" t="n">
        <v>8</v>
      </c>
      <c r="B16" s="546" t="s">
        <v>684</v>
      </c>
      <c r="C16" s="540" t="n">
        <v>3.9</v>
      </c>
      <c r="D16" s="540" t="n">
        <v>7.5</v>
      </c>
      <c r="E16" s="540" t="n">
        <v>10</v>
      </c>
      <c r="F16" s="540" t="n">
        <v>20</v>
      </c>
      <c r="G16" s="540" t="n">
        <v>24</v>
      </c>
      <c r="H16" s="547" t="n">
        <v>28</v>
      </c>
      <c r="I16" s="548" t="n">
        <f aca="false">H16/$H$59*100</f>
        <v>0.353089533417402</v>
      </c>
      <c r="J16" s="549"/>
      <c r="K16" s="574" t="n">
        <f aca="false">E16*$J$13^($K$5-$E$5)</f>
        <v>13.7649195052968</v>
      </c>
      <c r="L16" s="558" t="n">
        <v>7.5</v>
      </c>
      <c r="M16" s="559" t="n">
        <v>0.42934</v>
      </c>
      <c r="N16" s="559" t="n">
        <v>0.04536</v>
      </c>
      <c r="O16" s="559" t="n">
        <v>0.02452</v>
      </c>
      <c r="P16" s="560" t="n">
        <f aca="false">H16*O16</f>
        <v>0.68656</v>
      </c>
      <c r="Q16" s="561" t="n">
        <f aca="false">$P$71*K16*($J$7^($P$89)-1)/($J$7-1)*$P$92*0.7*O16*$P$93</f>
        <v>275.776571094139</v>
      </c>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false" outlineLevel="0" collapsed="false">
      <c r="A17" s="545" t="n">
        <v>9</v>
      </c>
      <c r="B17" s="546" t="s">
        <v>685</v>
      </c>
      <c r="C17" s="540" t="n">
        <v>4.5</v>
      </c>
      <c r="D17" s="540" t="n">
        <v>7.85</v>
      </c>
      <c r="E17" s="540" t="n">
        <v>128</v>
      </c>
      <c r="F17" s="540" t="n">
        <v>256</v>
      </c>
      <c r="G17" s="540" t="n">
        <v>314</v>
      </c>
      <c r="H17" s="547" t="n">
        <v>366</v>
      </c>
      <c r="I17" s="548" t="n">
        <f aca="false">H17/$H$59*100</f>
        <v>4.61538461538462</v>
      </c>
      <c r="J17" s="549"/>
      <c r="K17" s="574" t="n">
        <f aca="false">E17*$J$13^($K$5-$E$5)</f>
        <v>176.190969667799</v>
      </c>
      <c r="L17" s="558" t="n">
        <v>7.85</v>
      </c>
      <c r="M17" s="559" t="n">
        <v>0.98778</v>
      </c>
      <c r="N17" s="559" t="n">
        <v>0.10436</v>
      </c>
      <c r="O17" s="559" t="n">
        <v>0.05642</v>
      </c>
      <c r="P17" s="560" t="n">
        <f aca="false">H17*O17</f>
        <v>20.64972</v>
      </c>
      <c r="Q17" s="561" t="n">
        <f aca="false">$P$71*K17*($J$7^($P$89)-1)/($J$7-1)*$P$92*0.7*O17*$P$93</f>
        <v>8122.31733305387</v>
      </c>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75" hidden="false" customHeight="false" outlineLevel="0" collapsed="false">
      <c r="A18" s="545" t="n">
        <v>10</v>
      </c>
      <c r="B18" s="546" t="s">
        <v>686</v>
      </c>
      <c r="C18" s="540" t="n">
        <v>5</v>
      </c>
      <c r="D18" s="540" t="n">
        <v>9.525</v>
      </c>
      <c r="E18" s="540" t="n">
        <v>64</v>
      </c>
      <c r="F18" s="540" t="n">
        <v>128</v>
      </c>
      <c r="G18" s="540" t="n">
        <v>158</v>
      </c>
      <c r="H18" s="547" t="n">
        <v>186</v>
      </c>
      <c r="I18" s="575" t="n">
        <f aca="false">H18/$H$59*100</f>
        <v>2.34552332912989</v>
      </c>
      <c r="J18" s="576"/>
      <c r="K18" s="577" t="n">
        <f aca="false">E18*$J$13^($K$5-$E$5)</f>
        <v>88.0954848338993</v>
      </c>
      <c r="L18" s="565" t="n">
        <v>9.525</v>
      </c>
      <c r="M18" s="566" t="n">
        <v>1.93346</v>
      </c>
      <c r="N18" s="566" t="n">
        <v>0.20427</v>
      </c>
      <c r="O18" s="566" t="n">
        <v>0.11044</v>
      </c>
      <c r="P18" s="567" t="n">
        <f aca="false">H18*O18</f>
        <v>20.54184</v>
      </c>
      <c r="Q18" s="568" t="n">
        <f aca="false">$P$71*K18*($J$7^($P$89)-1)/($J$7-1)*$P$92*0.7*O18*$P$93</f>
        <v>7949.56333093291</v>
      </c>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545"/>
      <c r="B19" s="535" t="s">
        <v>687</v>
      </c>
      <c r="C19" s="535"/>
      <c r="D19" s="535"/>
      <c r="E19" s="540" t="n">
        <f aca="false">SUM(E20:E29)</f>
        <v>496</v>
      </c>
      <c r="F19" s="540" t="n">
        <f aca="false">SUM(F20:F29)</f>
        <v>980</v>
      </c>
      <c r="G19" s="540" t="n">
        <f aca="false">SUM(G20:G29)</f>
        <v>1208</v>
      </c>
      <c r="H19" s="540" t="n">
        <f aca="false">SUM(H20:H29)</f>
        <v>1416</v>
      </c>
      <c r="I19" s="541" t="n">
        <f aca="false">H19/$H$59*100</f>
        <v>17.8562421185372</v>
      </c>
      <c r="J19" s="542" t="n">
        <v>1.054</v>
      </c>
      <c r="K19" s="543" t="n">
        <f aca="false">SUM(K20:K29)</f>
        <v>680.025724390027</v>
      </c>
      <c r="L19" s="569"/>
      <c r="M19" s="570"/>
      <c r="N19" s="570"/>
      <c r="O19" s="571"/>
      <c r="P19" s="572" t="n">
        <f aca="false">SUM(P20:P29)</f>
        <v>981.61684</v>
      </c>
      <c r="Q19" s="515"/>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75" hidden="false" customHeight="false" outlineLevel="0" collapsed="false">
      <c r="A20" s="545" t="n">
        <v>11</v>
      </c>
      <c r="B20" s="546" t="s">
        <v>688</v>
      </c>
      <c r="C20" s="540" t="n">
        <v>6</v>
      </c>
      <c r="D20" s="540" t="n">
        <v>11</v>
      </c>
      <c r="E20" s="540" t="n">
        <v>106</v>
      </c>
      <c r="F20" s="540" t="n">
        <v>208</v>
      </c>
      <c r="G20" s="540" t="n">
        <v>256</v>
      </c>
      <c r="H20" s="547" t="n">
        <v>300</v>
      </c>
      <c r="I20" s="548" t="n">
        <f aca="false">H20/$H$59*100</f>
        <v>3.78310214375788</v>
      </c>
      <c r="J20" s="549"/>
      <c r="K20" s="550" t="n">
        <f aca="false">E20*$J$19^($K$5-$E$5)</f>
        <v>145.328078196256</v>
      </c>
      <c r="L20" s="551" t="n">
        <v>11</v>
      </c>
      <c r="M20" s="552" t="n">
        <v>3.5933</v>
      </c>
      <c r="N20" s="552" t="n">
        <v>0.37963</v>
      </c>
      <c r="O20" s="552" t="n">
        <v>0.20525</v>
      </c>
      <c r="P20" s="553" t="n">
        <f aca="false">H20*O20</f>
        <v>61.575</v>
      </c>
      <c r="Q20" s="554" t="n">
        <f aca="false">$P$71*K20*($J$7^($P$89)-1)/($J$7-1)*$P$92*0.7*O20*$P$93</f>
        <v>24372.266698898</v>
      </c>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75" hidden="false" customHeight="false" outlineLevel="0" collapsed="false">
      <c r="A21" s="545" t="n">
        <v>12</v>
      </c>
      <c r="B21" s="546" t="s">
        <v>689</v>
      </c>
      <c r="C21" s="540" t="n">
        <v>6.8</v>
      </c>
      <c r="D21" s="540" t="n">
        <v>10</v>
      </c>
      <c r="E21" s="540" t="n">
        <v>14</v>
      </c>
      <c r="F21" s="540" t="n">
        <v>28</v>
      </c>
      <c r="G21" s="540" t="n">
        <v>34</v>
      </c>
      <c r="H21" s="547" t="n">
        <v>40</v>
      </c>
      <c r="I21" s="548" t="n">
        <f aca="false">H21/$H$59*100</f>
        <v>0.504413619167718</v>
      </c>
      <c r="J21" s="549"/>
      <c r="K21" s="557" t="n">
        <f aca="false">E21*$J$19^($K$5-$E$5)</f>
        <v>19.1942744787508</v>
      </c>
      <c r="L21" s="558" t="n">
        <v>10</v>
      </c>
      <c r="M21" s="559" t="n">
        <v>0.2159</v>
      </c>
      <c r="N21" s="559" t="n">
        <v>0.02281</v>
      </c>
      <c r="O21" s="559" t="n">
        <v>0.01233</v>
      </c>
      <c r="P21" s="560" t="n">
        <f aca="false">H21*O21</f>
        <v>0.4932</v>
      </c>
      <c r="Q21" s="561" t="n">
        <f aca="false">$P$71*K21*($J$7^($P$89)-1)/($J$7-1)*$P$92*0.7*O21*$P$93</f>
        <v>193.373965369603</v>
      </c>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75" hidden="false" customHeight="false" outlineLevel="0" collapsed="false">
      <c r="A22" s="545" t="n">
        <v>13</v>
      </c>
      <c r="B22" s="546" t="s">
        <v>690</v>
      </c>
      <c r="C22" s="540" t="n">
        <v>8</v>
      </c>
      <c r="D22" s="540" t="n">
        <v>15.305</v>
      </c>
      <c r="E22" s="540" t="n">
        <v>24</v>
      </c>
      <c r="F22" s="540" t="n">
        <v>48</v>
      </c>
      <c r="G22" s="540" t="n">
        <v>60</v>
      </c>
      <c r="H22" s="547" t="n">
        <v>70</v>
      </c>
      <c r="I22" s="548" t="n">
        <f aca="false">H22/$H$59*100</f>
        <v>0.882723833543506</v>
      </c>
      <c r="J22" s="549"/>
      <c r="K22" s="557" t="n">
        <f aca="false">E22*$J$19^($K$5-$E$5)</f>
        <v>32.9044705350013</v>
      </c>
      <c r="L22" s="558" t="n">
        <v>15.31</v>
      </c>
      <c r="M22" s="559" t="n">
        <v>1.87618</v>
      </c>
      <c r="N22" s="559" t="n">
        <v>0.21586</v>
      </c>
      <c r="O22" s="559" t="n">
        <v>0.11671</v>
      </c>
      <c r="P22" s="560" t="n">
        <f aca="false">H22*O22</f>
        <v>8.1697</v>
      </c>
      <c r="Q22" s="561" t="n">
        <f aca="false">$P$71*K22*($J$7^($P$89)-1)/($J$7-1)*$P$92*0.7*O22*$P$93</f>
        <v>3137.80681241382</v>
      </c>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75" hidden="false" customHeight="false" outlineLevel="0" collapsed="false">
      <c r="A23" s="545" t="n">
        <v>14</v>
      </c>
      <c r="B23" s="546" t="s">
        <v>691</v>
      </c>
      <c r="C23" s="540" t="n">
        <v>8.28</v>
      </c>
      <c r="D23" s="540" t="n">
        <v>16.38</v>
      </c>
      <c r="E23" s="540" t="n">
        <v>106</v>
      </c>
      <c r="F23" s="540" t="n">
        <v>208</v>
      </c>
      <c r="G23" s="540" t="n">
        <v>256</v>
      </c>
      <c r="H23" s="547" t="n">
        <v>300</v>
      </c>
      <c r="I23" s="548" t="n">
        <f aca="false">H23/$H$59*100</f>
        <v>3.78310214375788</v>
      </c>
      <c r="J23" s="549"/>
      <c r="K23" s="557" t="n">
        <f aca="false">E23*$J$19^($K$5-$E$5)</f>
        <v>145.328078196256</v>
      </c>
      <c r="L23" s="558" t="n">
        <v>16.38</v>
      </c>
      <c r="M23" s="559" t="n">
        <v>10.77553</v>
      </c>
      <c r="N23" s="559" t="n">
        <v>1.13842</v>
      </c>
      <c r="O23" s="559" t="n">
        <v>0.61551</v>
      </c>
      <c r="P23" s="560" t="n">
        <f aca="false">H23*O23</f>
        <v>184.653</v>
      </c>
      <c r="Q23" s="561" t="n">
        <f aca="false">$P$71*K23*($J$7^($P$89)-1)/($J$7-1)*$P$92*0.7*O23*$P$93</f>
        <v>73088.3014657184</v>
      </c>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75" hidden="false" customHeight="false" outlineLevel="0" collapsed="false">
      <c r="A24" s="545" t="n">
        <v>15</v>
      </c>
      <c r="B24" s="546" t="s">
        <v>692</v>
      </c>
      <c r="C24" s="540" t="n">
        <v>8.5</v>
      </c>
      <c r="D24" s="540" t="n">
        <v>12</v>
      </c>
      <c r="E24" s="540" t="n">
        <v>20</v>
      </c>
      <c r="F24" s="540" t="n">
        <v>40</v>
      </c>
      <c r="G24" s="540" t="n">
        <v>50</v>
      </c>
      <c r="H24" s="547" t="n">
        <v>58</v>
      </c>
      <c r="I24" s="548" t="n">
        <f aca="false">H24/$H$59*100</f>
        <v>0.73139974779319</v>
      </c>
      <c r="J24" s="549"/>
      <c r="K24" s="557" t="n">
        <f aca="false">E24*$J$19^($K$5-$E$5)</f>
        <v>27.4203921125011</v>
      </c>
      <c r="L24" s="558" t="n">
        <v>12</v>
      </c>
      <c r="M24" s="559" t="n">
        <v>3.73722</v>
      </c>
      <c r="N24" s="559" t="n">
        <v>0.39483</v>
      </c>
      <c r="O24" s="559" t="n">
        <v>0.21347</v>
      </c>
      <c r="P24" s="560" t="n">
        <f aca="false">H24*O24</f>
        <v>12.38126</v>
      </c>
      <c r="Q24" s="561" t="n">
        <f aca="false">$P$71*K24*($J$7^($P$89)-1)/($J$7-1)*$P$92*0.7*O24*$P$93</f>
        <v>4782.70656788891</v>
      </c>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75" hidden="false" customHeight="false" outlineLevel="0" collapsed="false">
      <c r="A25" s="545" t="n">
        <v>16</v>
      </c>
      <c r="B25" s="546" t="s">
        <v>693</v>
      </c>
      <c r="C25" s="540" t="n">
        <v>11</v>
      </c>
      <c r="D25" s="540" t="n">
        <v>19</v>
      </c>
      <c r="E25" s="540" t="n">
        <v>50</v>
      </c>
      <c r="F25" s="540" t="n">
        <v>100</v>
      </c>
      <c r="G25" s="540" t="n">
        <v>124</v>
      </c>
      <c r="H25" s="547" t="n">
        <v>146</v>
      </c>
      <c r="I25" s="548" t="n">
        <f aca="false">H25/$H$59*100</f>
        <v>1.84110970996217</v>
      </c>
      <c r="J25" s="549"/>
      <c r="K25" s="557" t="n">
        <f aca="false">E25*$J$19^($K$5-$E$5)</f>
        <v>68.5509802812528</v>
      </c>
      <c r="L25" s="558" t="n">
        <v>19</v>
      </c>
      <c r="M25" s="559" t="n">
        <v>6.72356</v>
      </c>
      <c r="N25" s="559" t="n">
        <v>0.8049</v>
      </c>
      <c r="O25" s="559" t="n">
        <v>0.43518</v>
      </c>
      <c r="P25" s="560" t="n">
        <f aca="false">H25*O25</f>
        <v>63.53628</v>
      </c>
      <c r="Q25" s="561" t="n">
        <f aca="false">$P$71*K25*($J$7^($P$89)-1)/($J$7-1)*$P$92*0.7*O25*$P$93</f>
        <v>24375.0672719105</v>
      </c>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75" hidden="false" customHeight="false" outlineLevel="0" collapsed="false">
      <c r="A26" s="545" t="n">
        <v>17</v>
      </c>
      <c r="B26" s="546" t="s">
        <v>694</v>
      </c>
      <c r="C26" s="540" t="n">
        <v>12</v>
      </c>
      <c r="D26" s="540" t="n">
        <v>18</v>
      </c>
      <c r="E26" s="540" t="n">
        <v>46</v>
      </c>
      <c r="F26" s="540" t="n">
        <v>92</v>
      </c>
      <c r="G26" s="540" t="n">
        <v>114</v>
      </c>
      <c r="H26" s="547" t="n">
        <v>134</v>
      </c>
      <c r="I26" s="548" t="n">
        <f aca="false">H26/$H$59*100</f>
        <v>1.68978562421185</v>
      </c>
      <c r="J26" s="549"/>
      <c r="K26" s="557" t="n">
        <f aca="false">E26*$J$19^($K$5-$E$5)</f>
        <v>63.0669018587526</v>
      </c>
      <c r="L26" s="558" t="n">
        <v>18</v>
      </c>
      <c r="M26" s="559" t="n">
        <v>19.13177</v>
      </c>
      <c r="N26" s="559" t="n">
        <v>2.02125</v>
      </c>
      <c r="O26" s="559" t="n">
        <v>1.09282</v>
      </c>
      <c r="P26" s="560" t="n">
        <f aca="false">H26*O26</f>
        <v>146.43788</v>
      </c>
      <c r="Q26" s="561" t="n">
        <f aca="false">$P$71*K26*($J$7^($P$89)-1)/($J$7-1)*$P$92*0.7*O26*$P$93</f>
        <v>56313.6084719016</v>
      </c>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75" hidden="false" customHeight="false" outlineLevel="0" collapsed="false">
      <c r="A27" s="545" t="n">
        <v>18</v>
      </c>
      <c r="B27" s="546" t="s">
        <v>695</v>
      </c>
      <c r="C27" s="540" t="n">
        <v>13</v>
      </c>
      <c r="D27" s="540" t="n">
        <v>22.2</v>
      </c>
      <c r="E27" s="540" t="n">
        <v>58</v>
      </c>
      <c r="F27" s="540" t="n">
        <v>114</v>
      </c>
      <c r="G27" s="540" t="n">
        <v>140</v>
      </c>
      <c r="H27" s="547" t="n">
        <v>164</v>
      </c>
      <c r="I27" s="548" t="n">
        <f aca="false">H27/$H$59*100</f>
        <v>2.06809583858764</v>
      </c>
      <c r="J27" s="549"/>
      <c r="K27" s="557" t="n">
        <f aca="false">E27*$J$19^($K$5-$E$5)</f>
        <v>79.5191371262532</v>
      </c>
      <c r="L27" s="558" t="n">
        <v>22.2</v>
      </c>
      <c r="M27" s="559" t="n">
        <v>13.63445</v>
      </c>
      <c r="N27" s="559" t="n">
        <v>1.653</v>
      </c>
      <c r="O27" s="559" t="n">
        <v>0.89372</v>
      </c>
      <c r="P27" s="560" t="n">
        <f aca="false">H27*O27</f>
        <v>146.57008</v>
      </c>
      <c r="Q27" s="561" t="n">
        <f aca="false">$P$71*K27*($J$7^($P$89)-1)/($J$7-1)*$P$92*0.7*O27*$P$93</f>
        <v>58067.9322161225</v>
      </c>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75" hidden="false" customHeight="false" outlineLevel="0" collapsed="false">
      <c r="A28" s="545" t="n">
        <v>19</v>
      </c>
      <c r="B28" s="546" t="s">
        <v>696</v>
      </c>
      <c r="C28" s="540" t="n">
        <v>13.5</v>
      </c>
      <c r="D28" s="540" t="n">
        <v>24.88</v>
      </c>
      <c r="E28" s="540" t="n">
        <v>66</v>
      </c>
      <c r="F28" s="540" t="n">
        <v>130</v>
      </c>
      <c r="G28" s="540" t="n">
        <v>160</v>
      </c>
      <c r="H28" s="547" t="n">
        <v>188</v>
      </c>
      <c r="I28" s="548" t="n">
        <f aca="false">H28/$H$59*100</f>
        <v>2.37074401008827</v>
      </c>
      <c r="J28" s="549"/>
      <c r="K28" s="557" t="n">
        <f aca="false">E28*$J$19^($K$5-$E$5)</f>
        <v>90.4872939712537</v>
      </c>
      <c r="L28" s="558" t="n">
        <v>24.88</v>
      </c>
      <c r="M28" s="559" t="n">
        <v>25.94092</v>
      </c>
      <c r="N28" s="559" t="n">
        <v>3.16353</v>
      </c>
      <c r="O28" s="559" t="n">
        <v>1.71041</v>
      </c>
      <c r="P28" s="560" t="n">
        <f aca="false">H28*O28</f>
        <v>321.55708</v>
      </c>
      <c r="Q28" s="561" t="n">
        <f aca="false">$P$71*K28*($J$7^($P$89)-1)/($J$7-1)*$P$92*0.7*O28*$P$93</f>
        <v>126459.381480224</v>
      </c>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75" hidden="false" customHeight="false" outlineLevel="0" collapsed="false">
      <c r="A29" s="545" t="n">
        <v>20</v>
      </c>
      <c r="B29" s="546" t="s">
        <v>697</v>
      </c>
      <c r="C29" s="540" t="n">
        <v>15</v>
      </c>
      <c r="D29" s="540" t="n">
        <v>26</v>
      </c>
      <c r="E29" s="540" t="n">
        <v>6</v>
      </c>
      <c r="F29" s="540" t="n">
        <v>12</v>
      </c>
      <c r="G29" s="540" t="n">
        <v>14</v>
      </c>
      <c r="H29" s="547" t="n">
        <v>16</v>
      </c>
      <c r="I29" s="575" t="n">
        <f aca="false">H29/$H$59*100</f>
        <v>0.201765447667087</v>
      </c>
      <c r="J29" s="576"/>
      <c r="K29" s="557" t="n">
        <f aca="false">E29*$J$19^($K$5-$E$5)</f>
        <v>8.22611763375033</v>
      </c>
      <c r="L29" s="565" t="n">
        <v>26</v>
      </c>
      <c r="M29" s="566" t="n">
        <v>38.0383</v>
      </c>
      <c r="N29" s="566" t="n">
        <v>4.18966</v>
      </c>
      <c r="O29" s="566" t="n">
        <v>2.26521</v>
      </c>
      <c r="P29" s="567" t="n">
        <f aca="false">H29*O29</f>
        <v>36.24336</v>
      </c>
      <c r="Q29" s="568" t="n">
        <f aca="false">$P$71*K29*($J$7^($P$89)-1)/($J$7-1)*$P$92*0.7*O29*$P$93</f>
        <v>15225.3263849454</v>
      </c>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545"/>
      <c r="B30" s="535" t="s">
        <v>698</v>
      </c>
      <c r="C30" s="535"/>
      <c r="D30" s="535"/>
      <c r="E30" s="540" t="n">
        <f aca="false">SUM(E31:E37)</f>
        <v>216</v>
      </c>
      <c r="F30" s="540" t="n">
        <f aca="false">SUM(F31:F37)</f>
        <v>430</v>
      </c>
      <c r="G30" s="540" t="n">
        <f aca="false">SUM(G31:G37)</f>
        <v>530</v>
      </c>
      <c r="H30" s="540" t="n">
        <f aca="false">SUM(H31:H37)</f>
        <v>620</v>
      </c>
      <c r="I30" s="541" t="n">
        <f aca="false">H30/$H$59*100</f>
        <v>7.81841109709962</v>
      </c>
      <c r="J30" s="531" t="n">
        <v>1.054</v>
      </c>
      <c r="K30" s="578" t="n">
        <f aca="false">SUM(K31:K37)</f>
        <v>296.140234815012</v>
      </c>
      <c r="L30" s="569"/>
      <c r="M30" s="570"/>
      <c r="N30" s="570"/>
      <c r="O30" s="571"/>
      <c r="P30" s="572" t="n">
        <f aca="false">SUM(P31:P37)</f>
        <v>588.50734</v>
      </c>
      <c r="Q30" s="515"/>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75" hidden="false" customHeight="false" outlineLevel="0" collapsed="false">
      <c r="A31" s="545" t="n">
        <v>21</v>
      </c>
      <c r="B31" s="546" t="s">
        <v>699</v>
      </c>
      <c r="C31" s="540" t="n">
        <v>10.3</v>
      </c>
      <c r="D31" s="540" t="n">
        <v>17.525</v>
      </c>
      <c r="E31" s="540" t="n">
        <v>24</v>
      </c>
      <c r="F31" s="540" t="n">
        <v>48</v>
      </c>
      <c r="G31" s="540" t="n">
        <v>60</v>
      </c>
      <c r="H31" s="547" t="n">
        <v>70</v>
      </c>
      <c r="I31" s="548" t="n">
        <f aca="false">H31/$H$59*100</f>
        <v>0.882723833543506</v>
      </c>
      <c r="J31" s="549"/>
      <c r="K31" s="557" t="n">
        <f aca="false">E31*$J$30^($K$5-$E$5)</f>
        <v>32.9044705350013</v>
      </c>
      <c r="L31" s="551" t="n">
        <v>17.53</v>
      </c>
      <c r="M31" s="552" t="n">
        <v>2.26947</v>
      </c>
      <c r="N31" s="552" t="n">
        <v>0.2398</v>
      </c>
      <c r="O31" s="552" t="n">
        <v>0.12965</v>
      </c>
      <c r="P31" s="553" t="n">
        <f aca="false">H31*O31</f>
        <v>9.0755</v>
      </c>
      <c r="Q31" s="554" t="n">
        <f aca="false">$P$71*K31*($J$7^($P$89)-1)/($J$7-1)*$P$92*0.7*O31*$P$93</f>
        <v>3485.70519432312</v>
      </c>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75" hidden="false" customHeight="false" outlineLevel="0" collapsed="false">
      <c r="A32" s="545" t="n">
        <v>22</v>
      </c>
      <c r="B32" s="546" t="s">
        <v>700</v>
      </c>
      <c r="C32" s="540" t="n">
        <v>16</v>
      </c>
      <c r="D32" s="540" t="n">
        <v>26.805</v>
      </c>
      <c r="E32" s="540" t="n">
        <v>24</v>
      </c>
      <c r="F32" s="540" t="n">
        <v>48</v>
      </c>
      <c r="G32" s="540" t="n">
        <v>60</v>
      </c>
      <c r="H32" s="547" t="n">
        <v>70</v>
      </c>
      <c r="I32" s="548" t="n">
        <f aca="false">H32/$H$59*100</f>
        <v>0.882723833543506</v>
      </c>
      <c r="J32" s="549"/>
      <c r="K32" s="557" t="n">
        <f aca="false">E32*$J$30^($K$5-$E$5)</f>
        <v>32.9044705350013</v>
      </c>
      <c r="L32" s="558" t="n">
        <v>26.81</v>
      </c>
      <c r="M32" s="559" t="n">
        <v>3.53464</v>
      </c>
      <c r="N32" s="559" t="n">
        <v>0.39108</v>
      </c>
      <c r="O32" s="559" t="n">
        <v>0.21144</v>
      </c>
      <c r="P32" s="560" t="n">
        <f aca="false">H32*O32</f>
        <v>14.8008</v>
      </c>
      <c r="Q32" s="561" t="n">
        <f aca="false">$P$71*K32*($J$7^($P$89)-1)/($J$7-1)*$P$92*0.7*O32*$P$93</f>
        <v>5684.67031459839</v>
      </c>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75" hidden="false" customHeight="false" outlineLevel="0" collapsed="false">
      <c r="A33" s="545" t="n">
        <v>23</v>
      </c>
      <c r="B33" s="546" t="s">
        <v>701</v>
      </c>
      <c r="C33" s="540" t="n">
        <v>16.94</v>
      </c>
      <c r="D33" s="540" t="n">
        <v>28</v>
      </c>
      <c r="E33" s="540" t="n">
        <v>36</v>
      </c>
      <c r="F33" s="540" t="n">
        <v>72</v>
      </c>
      <c r="G33" s="540" t="n">
        <v>88</v>
      </c>
      <c r="H33" s="547" t="n">
        <v>104</v>
      </c>
      <c r="I33" s="548" t="n">
        <f aca="false">H33/$H$59*100</f>
        <v>1.31147540983607</v>
      </c>
      <c r="J33" s="549"/>
      <c r="K33" s="557" t="n">
        <f aca="false">E33*$J$30^($K$5-$E$5)</f>
        <v>49.356705802502</v>
      </c>
      <c r="L33" s="558" t="n">
        <v>28</v>
      </c>
      <c r="M33" s="559" t="n">
        <v>12.4671</v>
      </c>
      <c r="N33" s="559" t="n">
        <v>1.31767</v>
      </c>
      <c r="O33" s="559" t="n">
        <v>0.71242</v>
      </c>
      <c r="P33" s="560" t="n">
        <f aca="false">H33*O33</f>
        <v>74.09168</v>
      </c>
      <c r="Q33" s="561" t="n">
        <f aca="false">$P$71*K33*($J$7^($P$89)-1)/($J$7-1)*$P$92*0.7*O33*$P$93</f>
        <v>28730.6528485115</v>
      </c>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75" hidden="false" customHeight="false" outlineLevel="0" collapsed="false">
      <c r="A34" s="545" t="n">
        <v>24</v>
      </c>
      <c r="B34" s="546" t="s">
        <v>702</v>
      </c>
      <c r="C34" s="540" t="n">
        <v>21.5</v>
      </c>
      <c r="D34" s="540" t="n">
        <v>33</v>
      </c>
      <c r="E34" s="540" t="n">
        <v>54</v>
      </c>
      <c r="F34" s="540" t="n">
        <v>106</v>
      </c>
      <c r="G34" s="540" t="n">
        <v>128</v>
      </c>
      <c r="H34" s="547" t="n">
        <v>148</v>
      </c>
      <c r="I34" s="548" t="n">
        <f aca="false">H34/$H$59*100</f>
        <v>1.86633039092056</v>
      </c>
      <c r="J34" s="549"/>
      <c r="K34" s="557" t="n">
        <f aca="false">E34*$J$30^($K$5-$E$5)</f>
        <v>74.035058703753</v>
      </c>
      <c r="L34" s="558" t="n">
        <v>33</v>
      </c>
      <c r="M34" s="559" t="n">
        <v>10.6647</v>
      </c>
      <c r="N34" s="559" t="n">
        <v>1.22139</v>
      </c>
      <c r="O34" s="559" t="n">
        <v>0.66037</v>
      </c>
      <c r="P34" s="560" t="n">
        <f aca="false">H34*O34</f>
        <v>97.73476</v>
      </c>
      <c r="Q34" s="561" t="n">
        <f aca="false">$P$71*K34*($J$7^($P$89)-1)/($J$7-1)*$P$92*0.7*O34*$P$93</f>
        <v>39947.351046233</v>
      </c>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75" hidden="false" customHeight="false" outlineLevel="0" collapsed="false">
      <c r="A35" s="545" t="n">
        <v>25</v>
      </c>
      <c r="B35" s="546" t="s">
        <v>703</v>
      </c>
      <c r="C35" s="540" t="n">
        <v>27.5</v>
      </c>
      <c r="D35" s="540" t="n">
        <v>42</v>
      </c>
      <c r="E35" s="540" t="n">
        <v>24</v>
      </c>
      <c r="F35" s="540" t="n">
        <v>48</v>
      </c>
      <c r="G35" s="540" t="n">
        <v>60</v>
      </c>
      <c r="H35" s="547" t="n">
        <v>70</v>
      </c>
      <c r="I35" s="548" t="n">
        <f aca="false">H35/$H$59*100</f>
        <v>0.882723833543506</v>
      </c>
      <c r="J35" s="549"/>
      <c r="K35" s="557" t="n">
        <f aca="false">E35*$J$30^($K$5-$E$5)</f>
        <v>32.9044705350013</v>
      </c>
      <c r="L35" s="558" t="n">
        <v>42</v>
      </c>
      <c r="M35" s="559" t="n">
        <v>32.03608</v>
      </c>
      <c r="N35" s="559" t="n">
        <v>3.51963</v>
      </c>
      <c r="O35" s="559" t="n">
        <v>1.90295</v>
      </c>
      <c r="P35" s="560" t="n">
        <f aca="false">H35*O35</f>
        <v>133.2065</v>
      </c>
      <c r="Q35" s="561" t="n">
        <f aca="false">$P$71*K35*($J$7^($P$89)-1)/($J$7-1)*$P$92*0.7*O35*$P$93</f>
        <v>51161.7639763763</v>
      </c>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75" hidden="false" customHeight="false" outlineLevel="0" collapsed="false">
      <c r="A36" s="545" t="n">
        <v>26</v>
      </c>
      <c r="B36" s="546" t="s">
        <v>704</v>
      </c>
      <c r="C36" s="540" t="n">
        <v>29.7</v>
      </c>
      <c r="D36" s="540" t="n">
        <v>41</v>
      </c>
      <c r="E36" s="540" t="n">
        <v>42</v>
      </c>
      <c r="F36" s="540" t="n">
        <v>84</v>
      </c>
      <c r="G36" s="540" t="n">
        <v>104</v>
      </c>
      <c r="H36" s="547" t="n">
        <v>122</v>
      </c>
      <c r="I36" s="548" t="n">
        <f aca="false">H36/$H$59*100</f>
        <v>1.53846153846154</v>
      </c>
      <c r="J36" s="549"/>
      <c r="K36" s="557" t="n">
        <f aca="false">E36*$J$30^($K$5-$E$5)</f>
        <v>57.5828234362523</v>
      </c>
      <c r="L36" s="558" t="n">
        <v>41</v>
      </c>
      <c r="M36" s="559" t="n">
        <v>26.25844</v>
      </c>
      <c r="N36" s="559" t="n">
        <v>2.87738</v>
      </c>
      <c r="O36" s="559" t="n">
        <v>1.55571</v>
      </c>
      <c r="P36" s="560" t="n">
        <f aca="false">H36*O36</f>
        <v>189.79662</v>
      </c>
      <c r="Q36" s="561" t="n">
        <f aca="false">$P$71*K36*($J$7^($P$89)-1)/($J$7-1)*$P$92*0.7*O36*$P$93</f>
        <v>73195.5746143906</v>
      </c>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75" hidden="false" customHeight="false" outlineLevel="0" collapsed="false">
      <c r="A37" s="545" t="n">
        <v>27</v>
      </c>
      <c r="B37" s="546" t="s">
        <v>705</v>
      </c>
      <c r="C37" s="540" t="n">
        <v>35</v>
      </c>
      <c r="D37" s="540" t="n">
        <v>49</v>
      </c>
      <c r="E37" s="540" t="n">
        <v>12</v>
      </c>
      <c r="F37" s="540" t="n">
        <v>24</v>
      </c>
      <c r="G37" s="540" t="n">
        <v>30</v>
      </c>
      <c r="H37" s="547" t="n">
        <v>36</v>
      </c>
      <c r="I37" s="575" t="n">
        <f aca="false">H37/$H$59*100</f>
        <v>0.453972257250946</v>
      </c>
      <c r="J37" s="576"/>
      <c r="K37" s="564" t="n">
        <f aca="false">E37*$J$30^($K$5-$E$5)</f>
        <v>16.4522352675007</v>
      </c>
      <c r="L37" s="565" t="n">
        <v>49</v>
      </c>
      <c r="M37" s="566" t="n">
        <v>31.28339</v>
      </c>
      <c r="N37" s="566" t="n">
        <v>3.58619</v>
      </c>
      <c r="O37" s="566" t="n">
        <v>1.93893</v>
      </c>
      <c r="P37" s="567" t="n">
        <f aca="false">H37*O37</f>
        <v>69.80148</v>
      </c>
      <c r="Q37" s="568" t="n">
        <f aca="false">$P$71*K37*($J$7^($P$89)-1)/($J$7-1)*$P$92*0.7*O37*$P$93</f>
        <v>26064.5521497452</v>
      </c>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545"/>
      <c r="B38" s="546" t="s">
        <v>706</v>
      </c>
      <c r="C38" s="546"/>
      <c r="D38" s="546"/>
      <c r="E38" s="540" t="n">
        <f aca="false">SUM(E39:E48)</f>
        <v>848</v>
      </c>
      <c r="F38" s="540" t="n">
        <f aca="false">SUM(F39:F48)</f>
        <v>1680</v>
      </c>
      <c r="G38" s="540" t="n">
        <f aca="false">SUM(G39:G48)</f>
        <v>2072</v>
      </c>
      <c r="H38" s="540" t="n">
        <f aca="false">SUM(H39:H48)</f>
        <v>2424</v>
      </c>
      <c r="I38" s="541" t="n">
        <f aca="false">H38/$H$59*100</f>
        <v>30.5674653215637</v>
      </c>
      <c r="J38" s="542" t="n">
        <v>1.054</v>
      </c>
      <c r="K38" s="543" t="n">
        <f aca="false">SUM(K39:K48)</f>
        <v>1162.62462557005</v>
      </c>
      <c r="L38" s="569"/>
      <c r="M38" s="570"/>
      <c r="N38" s="570"/>
      <c r="O38" s="571"/>
      <c r="P38" s="572" t="n">
        <f aca="false">SUM(P39:P48)</f>
        <v>4550.50012</v>
      </c>
      <c r="Q38" s="515"/>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75" hidden="false" customHeight="false" outlineLevel="0" collapsed="false">
      <c r="A39" s="545" t="n">
        <v>28</v>
      </c>
      <c r="B39" s="546" t="s">
        <v>707</v>
      </c>
      <c r="C39" s="540" t="n">
        <v>14</v>
      </c>
      <c r="D39" s="540" t="n">
        <v>26.2</v>
      </c>
      <c r="E39" s="540" t="n">
        <v>38</v>
      </c>
      <c r="F39" s="540" t="n">
        <v>76</v>
      </c>
      <c r="G39" s="540" t="n">
        <v>94</v>
      </c>
      <c r="H39" s="547" t="n">
        <v>110</v>
      </c>
      <c r="I39" s="548" t="n">
        <f aca="false">H39/$H$59*100</f>
        <v>1.38713745271122</v>
      </c>
      <c r="J39" s="549"/>
      <c r="K39" s="550" t="n">
        <f aca="false">E39*$J$30^($K$5-$E$5)</f>
        <v>52.0987450137521</v>
      </c>
      <c r="L39" s="551" t="n">
        <v>26.2</v>
      </c>
      <c r="M39" s="552" t="n">
        <v>21.15523</v>
      </c>
      <c r="N39" s="552" t="n">
        <v>2.23504</v>
      </c>
      <c r="O39" s="552" t="n">
        <v>1.20841</v>
      </c>
      <c r="P39" s="553" t="n">
        <f aca="false">H39*O39</f>
        <v>132.9251</v>
      </c>
      <c r="Q39" s="554" t="n">
        <f aca="false">$P$71*K39*($J$7^($P$89)-1)/($J$7-1)*$P$92*0.7*O39*$P$93</f>
        <v>51440.4545979998</v>
      </c>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75" hidden="false" customHeight="false" outlineLevel="0" collapsed="false">
      <c r="A40" s="545" t="n">
        <v>29</v>
      </c>
      <c r="B40" s="546" t="s">
        <v>708</v>
      </c>
      <c r="C40" s="540" t="n">
        <v>14</v>
      </c>
      <c r="D40" s="540" t="n">
        <v>28.15</v>
      </c>
      <c r="E40" s="540" t="n">
        <v>14</v>
      </c>
      <c r="F40" s="540" t="n">
        <v>28</v>
      </c>
      <c r="G40" s="540" t="n">
        <v>34</v>
      </c>
      <c r="H40" s="547" t="n">
        <v>40</v>
      </c>
      <c r="I40" s="548" t="n">
        <f aca="false">H40/$H$59*100</f>
        <v>0.504413619167718</v>
      </c>
      <c r="J40" s="549"/>
      <c r="K40" s="557" t="n">
        <f aca="false">E40*$J$30^($K$5-$E$5)</f>
        <v>19.1942744787508</v>
      </c>
      <c r="L40" s="558" t="n">
        <v>28.15</v>
      </c>
      <c r="M40" s="559" t="n">
        <v>13.17452</v>
      </c>
      <c r="N40" s="559" t="n">
        <v>1.42111</v>
      </c>
      <c r="O40" s="559" t="n">
        <v>0.76834</v>
      </c>
      <c r="P40" s="560" t="n">
        <f aca="false">H40*O40</f>
        <v>30.7336</v>
      </c>
      <c r="Q40" s="561" t="n">
        <f aca="false">$P$71*K40*($J$7^($P$89)-1)/($J$7-1)*$P$92*0.7*O40*$P$93</f>
        <v>12050.0367033318</v>
      </c>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75" hidden="false" customHeight="false" outlineLevel="0" collapsed="false">
      <c r="A41" s="545" t="n">
        <v>30</v>
      </c>
      <c r="B41" s="546" t="s">
        <v>709</v>
      </c>
      <c r="C41" s="540" t="n">
        <v>20.9</v>
      </c>
      <c r="D41" s="540" t="n">
        <v>33.85</v>
      </c>
      <c r="E41" s="540" t="n">
        <v>56</v>
      </c>
      <c r="F41" s="579" t="n">
        <v>110</v>
      </c>
      <c r="G41" s="579" t="n">
        <v>136</v>
      </c>
      <c r="H41" s="547" t="n">
        <v>160</v>
      </c>
      <c r="I41" s="548" t="n">
        <f aca="false">H41/$H$59*100</f>
        <v>2.01765447667087</v>
      </c>
      <c r="J41" s="549"/>
      <c r="K41" s="557" t="n">
        <f aca="false">E41*$J$30^($K$5-$E$5)</f>
        <v>76.7770979150031</v>
      </c>
      <c r="L41" s="558" t="n">
        <v>33.85</v>
      </c>
      <c r="M41" s="559" t="n">
        <v>24.04488</v>
      </c>
      <c r="N41" s="559" t="n">
        <v>2.6978</v>
      </c>
      <c r="O41" s="559" t="n">
        <v>1.45861</v>
      </c>
      <c r="P41" s="560" t="n">
        <f aca="false">H41*O41</f>
        <v>233.3776</v>
      </c>
      <c r="Q41" s="561" t="n">
        <f aca="false">$P$71*K41*($J$7^($P$89)-1)/($J$7-1)*$P$92*0.7*O41*$P$93</f>
        <v>91502.7411606673</v>
      </c>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75" hidden="false" customHeight="false" outlineLevel="0" collapsed="false">
      <c r="A42" s="545" t="n">
        <v>31</v>
      </c>
      <c r="B42" s="546" t="s">
        <v>710</v>
      </c>
      <c r="C42" s="540" t="n">
        <v>22.665</v>
      </c>
      <c r="D42" s="540" t="n">
        <v>33.015</v>
      </c>
      <c r="E42" s="540" t="n">
        <v>84</v>
      </c>
      <c r="F42" s="579" t="n">
        <v>166</v>
      </c>
      <c r="G42" s="579" t="n">
        <v>204</v>
      </c>
      <c r="H42" s="547" t="n">
        <v>238</v>
      </c>
      <c r="I42" s="548" t="n">
        <f aca="false">H42/$H$59*100</f>
        <v>3.00126103404792</v>
      </c>
      <c r="J42" s="549"/>
      <c r="K42" s="557" t="n">
        <f aca="false">E42*$J$30^($K$5-$E$5)</f>
        <v>115.165646872505</v>
      </c>
      <c r="L42" s="558" t="n">
        <v>33.02</v>
      </c>
      <c r="M42" s="559" t="n">
        <v>11.55628</v>
      </c>
      <c r="N42" s="559" t="n">
        <v>1.35961</v>
      </c>
      <c r="O42" s="559" t="n">
        <v>0.73509</v>
      </c>
      <c r="P42" s="560" t="n">
        <f aca="false">H42*O42</f>
        <v>174.95142</v>
      </c>
      <c r="Q42" s="561" t="n">
        <f aca="false">$P$71*K42*($J$7^($P$89)-1)/($J$7-1)*$P$92*0.7*O42*$P$93</f>
        <v>69171.4200503852</v>
      </c>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75" hidden="false" customHeight="false" outlineLevel="0" collapsed="false">
      <c r="A43" s="545" t="n">
        <v>32</v>
      </c>
      <c r="B43" s="546" t="s">
        <v>711</v>
      </c>
      <c r="C43" s="540" t="n">
        <v>27.4</v>
      </c>
      <c r="D43" s="540" t="n">
        <v>41.905</v>
      </c>
      <c r="E43" s="540" t="n">
        <v>122</v>
      </c>
      <c r="F43" s="579" t="n">
        <v>242</v>
      </c>
      <c r="G43" s="579" t="n">
        <v>298</v>
      </c>
      <c r="H43" s="547" t="n">
        <v>348</v>
      </c>
      <c r="I43" s="548" t="n">
        <f aca="false">H43/$H$59*100</f>
        <v>4.38839848675914</v>
      </c>
      <c r="J43" s="549"/>
      <c r="K43" s="557" t="n">
        <f aca="false">E43*$J$30^($K$5-$E$5)</f>
        <v>167.264391886257</v>
      </c>
      <c r="L43" s="558" t="n">
        <v>41.91</v>
      </c>
      <c r="M43" s="559" t="n">
        <v>32.66671</v>
      </c>
      <c r="N43" s="559" t="n">
        <v>3.70482</v>
      </c>
      <c r="O43" s="559" t="n">
        <v>2.00307</v>
      </c>
      <c r="P43" s="560" t="n">
        <f aca="false">H43*O43</f>
        <v>697.06836</v>
      </c>
      <c r="Q43" s="561" t="n">
        <f aca="false">$P$71*K43*($J$7^($P$89)-1)/($J$7-1)*$P$92*0.7*O43*$P$93</f>
        <v>273755.496669985</v>
      </c>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75" hidden="false" customHeight="false" outlineLevel="0" collapsed="false">
      <c r="A44" s="545" t="n">
        <v>33</v>
      </c>
      <c r="B44" s="546" t="s">
        <v>712</v>
      </c>
      <c r="C44" s="540" t="n">
        <v>28.55</v>
      </c>
      <c r="D44" s="540" t="n">
        <v>41.51</v>
      </c>
      <c r="E44" s="540" t="n">
        <v>170</v>
      </c>
      <c r="F44" s="579" t="n">
        <v>336</v>
      </c>
      <c r="G44" s="579" t="n">
        <v>414</v>
      </c>
      <c r="H44" s="547" t="n">
        <v>484</v>
      </c>
      <c r="I44" s="548" t="n">
        <f aca="false">H44/$H$59*100</f>
        <v>6.10340479192938</v>
      </c>
      <c r="J44" s="549"/>
      <c r="K44" s="557" t="n">
        <f aca="false">E44*$J$30^($K$5-$E$5)</f>
        <v>233.073332956259</v>
      </c>
      <c r="L44" s="558" t="n">
        <v>41.51</v>
      </c>
      <c r="M44" s="559" t="n">
        <v>30.65331</v>
      </c>
      <c r="N44" s="559" t="n">
        <v>3.49879</v>
      </c>
      <c r="O44" s="559" t="n">
        <v>1.89168</v>
      </c>
      <c r="P44" s="560" t="n">
        <f aca="false">H44*O44</f>
        <v>915.57312</v>
      </c>
      <c r="Q44" s="561" t="n">
        <f aca="false">$P$71*K44*($J$7^($P$89)-1)/($J$7-1)*$P$92*0.7*O44*$P$93</f>
        <v>360249.581032112</v>
      </c>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75" hidden="false" customHeight="false" outlineLevel="0" collapsed="false">
      <c r="A45" s="545" t="n">
        <v>34</v>
      </c>
      <c r="B45" s="546" t="s">
        <v>713</v>
      </c>
      <c r="C45" s="540" t="n">
        <v>29.5</v>
      </c>
      <c r="D45" s="540" t="n">
        <v>44</v>
      </c>
      <c r="E45" s="540" t="n">
        <v>108</v>
      </c>
      <c r="F45" s="579" t="n">
        <v>214</v>
      </c>
      <c r="G45" s="579" t="n">
        <v>264</v>
      </c>
      <c r="H45" s="547" t="n">
        <v>310</v>
      </c>
      <c r="I45" s="548" t="n">
        <f aca="false">H45/$H$59*100</f>
        <v>3.90920554854981</v>
      </c>
      <c r="J45" s="549"/>
      <c r="K45" s="557" t="n">
        <f aca="false">E45*$J$30^($K$5-$E$5)</f>
        <v>148.070117407506</v>
      </c>
      <c r="L45" s="558" t="n">
        <v>44.6</v>
      </c>
      <c r="M45" s="559" t="n">
        <v>39.37173</v>
      </c>
      <c r="N45" s="559" t="n">
        <v>4.53016</v>
      </c>
      <c r="O45" s="559" t="n">
        <v>2.44931</v>
      </c>
      <c r="P45" s="560" t="n">
        <f aca="false">H45*O45</f>
        <v>759.2861</v>
      </c>
      <c r="Q45" s="561" t="n">
        <f aca="false">$P$71*K45*($J$7^($P$89)-1)/($J$7-1)*$P$92*0.7*O45*$P$93</f>
        <v>296329.168166479</v>
      </c>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75" hidden="false" customHeight="false" outlineLevel="0" collapsed="false">
      <c r="A46" s="545" t="n">
        <v>35</v>
      </c>
      <c r="B46" s="546" t="s">
        <v>714</v>
      </c>
      <c r="C46" s="540" t="n">
        <v>31.35</v>
      </c>
      <c r="D46" s="540" t="n">
        <v>44</v>
      </c>
      <c r="E46" s="540" t="n">
        <v>180</v>
      </c>
      <c r="F46" s="579" t="n">
        <v>356</v>
      </c>
      <c r="G46" s="579" t="n">
        <v>440</v>
      </c>
      <c r="H46" s="547" t="n">
        <v>514</v>
      </c>
      <c r="I46" s="548" t="n">
        <f aca="false">H46/$H$59*100</f>
        <v>6.48171500630517</v>
      </c>
      <c r="J46" s="549"/>
      <c r="K46" s="557" t="n">
        <f aca="false">E46*$J$30^($K$5-$E$5)</f>
        <v>246.78352901251</v>
      </c>
      <c r="L46" s="558" t="n">
        <v>42.3</v>
      </c>
      <c r="M46" s="559" t="n">
        <v>32.71233</v>
      </c>
      <c r="N46" s="559" t="n">
        <v>3.93679</v>
      </c>
      <c r="O46" s="559" t="n">
        <v>2.12849</v>
      </c>
      <c r="P46" s="560" t="n">
        <f aca="false">H46*O46</f>
        <v>1094.04386</v>
      </c>
      <c r="Q46" s="561" t="n">
        <f aca="false">$P$71*K46*($J$7^($P$89)-1)/($J$7-1)*$P$92*0.7*O46*$P$93</f>
        <v>429191.398904637</v>
      </c>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75" hidden="false" customHeight="false" outlineLevel="0" collapsed="false">
      <c r="A47" s="545" t="n">
        <v>36</v>
      </c>
      <c r="B47" s="546" t="s">
        <v>715</v>
      </c>
      <c r="C47" s="540" t="n">
        <v>33</v>
      </c>
      <c r="D47" s="540" t="n">
        <v>44.86</v>
      </c>
      <c r="E47" s="540" t="n">
        <v>48</v>
      </c>
      <c r="F47" s="540" t="n">
        <v>96</v>
      </c>
      <c r="G47" s="540" t="n">
        <v>118</v>
      </c>
      <c r="H47" s="547" t="n">
        <v>138</v>
      </c>
      <c r="I47" s="548" t="n">
        <f aca="false">H47/$H$59*100</f>
        <v>1.74022698612863</v>
      </c>
      <c r="J47" s="549"/>
      <c r="K47" s="557" t="n">
        <f aca="false">E47*$J$30^($K$5-$E$5)</f>
        <v>65.8089410700027</v>
      </c>
      <c r="L47" s="558" t="n">
        <v>44.86</v>
      </c>
      <c r="M47" s="559" t="n">
        <v>39.37173</v>
      </c>
      <c r="N47" s="559" t="n">
        <v>4.53016</v>
      </c>
      <c r="O47" s="559" t="n">
        <v>2.44931</v>
      </c>
      <c r="P47" s="560" t="n">
        <f aca="false">H47*O47</f>
        <v>338.00478</v>
      </c>
      <c r="Q47" s="561" t="n">
        <f aca="false">$P$71*K47*($J$7^($P$89)-1)/($J$7-1)*$P$92*0.7*O47*$P$93</f>
        <v>131701.852518435</v>
      </c>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75" hidden="false" customHeight="false" outlineLevel="0" collapsed="false">
      <c r="A48" s="545" t="n">
        <v>37</v>
      </c>
      <c r="B48" s="580" t="s">
        <v>716</v>
      </c>
      <c r="C48" s="540" t="n">
        <v>33.55</v>
      </c>
      <c r="D48" s="540" t="n">
        <v>47</v>
      </c>
      <c r="E48" s="540" t="n">
        <v>28</v>
      </c>
      <c r="F48" s="540" t="n">
        <v>56</v>
      </c>
      <c r="G48" s="540" t="n">
        <v>70</v>
      </c>
      <c r="H48" s="547" t="n">
        <v>82</v>
      </c>
      <c r="I48" s="575" t="n">
        <f aca="false">H48/$H$59*100</f>
        <v>1.03404791929382</v>
      </c>
      <c r="J48" s="576"/>
      <c r="K48" s="557" t="n">
        <f aca="false">E48*$J$30^($K$5-$E$5)</f>
        <v>38.3885489575016</v>
      </c>
      <c r="L48" s="565" t="n">
        <v>47</v>
      </c>
      <c r="M48" s="566" t="n">
        <v>32.71233</v>
      </c>
      <c r="N48" s="566" t="n">
        <v>3.93679</v>
      </c>
      <c r="O48" s="566" t="n">
        <v>2.12849</v>
      </c>
      <c r="P48" s="567" t="n">
        <f aca="false">H48*O48</f>
        <v>174.53618</v>
      </c>
      <c r="Q48" s="568" t="n">
        <f aca="false">$P$71*K48*($J$7^($P$89)-1)/($J$7-1)*$P$92*0.7*O48*$P$93</f>
        <v>66763.1064962769</v>
      </c>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75" hidden="false" customHeight="false" outlineLevel="0" collapsed="false">
      <c r="A49" s="545"/>
      <c r="B49" s="581" t="s">
        <v>717</v>
      </c>
      <c r="C49" s="581"/>
      <c r="D49" s="581"/>
      <c r="E49" s="540" t="n">
        <f aca="false">E38+E30+E19+E13+E7</f>
        <v>2290</v>
      </c>
      <c r="F49" s="540" t="n">
        <f aca="false">F38+F30+F19+F13+F7</f>
        <v>4540</v>
      </c>
      <c r="G49" s="540" t="n">
        <f aca="false">G38+G30+G19+G13+G7</f>
        <v>5600</v>
      </c>
      <c r="H49" s="540" t="n">
        <f aca="false">H38+H30+H19+H13+H7</f>
        <v>6550</v>
      </c>
      <c r="I49" s="541" t="n">
        <f aca="false">H49/$H$59*100</f>
        <v>82.5977301387137</v>
      </c>
      <c r="J49" s="576"/>
      <c r="K49" s="560" t="n">
        <f aca="false">K38+K30+K19+K13+K7</f>
        <v>3140.94825965849</v>
      </c>
      <c r="L49" s="582"/>
      <c r="M49" s="583"/>
      <c r="N49" s="583"/>
      <c r="O49" s="584"/>
      <c r="P49" s="578" t="n">
        <f aca="false">P38+P30+P19+P13+P7</f>
        <v>6165.2245</v>
      </c>
      <c r="Q49" s="515"/>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545"/>
      <c r="B50" s="535" t="s">
        <v>718</v>
      </c>
      <c r="C50" s="540" t="s">
        <v>719</v>
      </c>
      <c r="D50" s="540"/>
      <c r="E50" s="0"/>
      <c r="F50" s="0"/>
      <c r="G50" s="0"/>
      <c r="H50" s="0"/>
      <c r="I50" s="548"/>
      <c r="J50" s="531" t="n">
        <v>1.04</v>
      </c>
      <c r="K50" s="0"/>
      <c r="L50" s="569"/>
      <c r="M50" s="570"/>
      <c r="N50" s="570"/>
      <c r="O50" s="571"/>
      <c r="P50" s="544"/>
      <c r="Q50" s="515"/>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75" hidden="false" customHeight="false" outlineLevel="0" collapsed="false">
      <c r="A51" s="545" t="n">
        <v>38</v>
      </c>
      <c r="B51" s="546" t="s">
        <v>720</v>
      </c>
      <c r="C51" s="540" t="n">
        <v>9</v>
      </c>
      <c r="D51" s="540"/>
      <c r="E51" s="540" t="n">
        <v>248</v>
      </c>
      <c r="F51" s="540" t="n">
        <v>412</v>
      </c>
      <c r="G51" s="540" t="n">
        <v>482</v>
      </c>
      <c r="H51" s="547" t="n">
        <v>542</v>
      </c>
      <c r="I51" s="548" t="n">
        <f aca="false">H51/$H$59*100</f>
        <v>6.83480453972257</v>
      </c>
      <c r="J51" s="549"/>
      <c r="K51" s="557" t="n">
        <f aca="false">E51*$J$50^($K$5-$E$5)</f>
        <v>313.799116587008</v>
      </c>
      <c r="L51" s="551" t="n">
        <v>2.6</v>
      </c>
      <c r="M51" s="552" t="n">
        <v>0.0025</v>
      </c>
      <c r="N51" s="552" t="n">
        <v>0.00026</v>
      </c>
      <c r="O51" s="552" t="n">
        <v>0.00014</v>
      </c>
      <c r="P51" s="553" t="n">
        <f aca="false">H51*O51</f>
        <v>0.07588</v>
      </c>
      <c r="Q51" s="554" t="n">
        <f aca="false">$P$71*K51*($J$7^($P$89)-1)/($J$7-1)*$P$92*0.7*O51*$P$93</f>
        <v>35.8957455351308</v>
      </c>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75" hidden="false" customHeight="false" outlineLevel="0" collapsed="false">
      <c r="A52" s="545" t="n">
        <v>39</v>
      </c>
      <c r="B52" s="546" t="s">
        <v>721</v>
      </c>
      <c r="C52" s="540" t="n">
        <v>13</v>
      </c>
      <c r="D52" s="540"/>
      <c r="E52" s="540" t="n">
        <v>38</v>
      </c>
      <c r="F52" s="540" t="n">
        <v>64</v>
      </c>
      <c r="G52" s="540" t="n">
        <v>74</v>
      </c>
      <c r="H52" s="547" t="n">
        <v>84</v>
      </c>
      <c r="I52" s="548" t="n">
        <f aca="false">H52/$H$59*100</f>
        <v>1.05926860025221</v>
      </c>
      <c r="J52" s="549"/>
      <c r="K52" s="557" t="n">
        <f aca="false">E52*$J$50^($K$5-$E$5)</f>
        <v>48.082122702848</v>
      </c>
      <c r="L52" s="558" t="n">
        <v>3.5</v>
      </c>
      <c r="M52" s="559" t="n">
        <v>0.02313</v>
      </c>
      <c r="N52" s="559" t="n">
        <v>0.00244</v>
      </c>
      <c r="O52" s="559" t="n">
        <v>0.00132</v>
      </c>
      <c r="P52" s="560" t="n">
        <f aca="false">H52*O52</f>
        <v>0.11088</v>
      </c>
      <c r="Q52" s="561" t="n">
        <f aca="false">$P$71*K52*($J$7^($P$89)-1)/($J$7-1)*$P$92*0.7*O52*$P$93</f>
        <v>51.8586001164217</v>
      </c>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75" hidden="false" customHeight="false" outlineLevel="0" collapsed="false">
      <c r="A53" s="545" t="n">
        <v>40</v>
      </c>
      <c r="B53" s="546" t="s">
        <v>722</v>
      </c>
      <c r="C53" s="540" t="n">
        <v>16</v>
      </c>
      <c r="D53" s="540"/>
      <c r="E53" s="540" t="n">
        <v>122</v>
      </c>
      <c r="F53" s="540" t="n">
        <v>204</v>
      </c>
      <c r="G53" s="540" t="n">
        <v>238</v>
      </c>
      <c r="H53" s="547" t="n">
        <v>268</v>
      </c>
      <c r="I53" s="548" t="n">
        <f aca="false">H53/$H$59*100</f>
        <v>3.37957124842371</v>
      </c>
      <c r="J53" s="549"/>
      <c r="K53" s="557" t="n">
        <f aca="false">E53*$J$50^($K$5-$E$5)</f>
        <v>154.368920256512</v>
      </c>
      <c r="L53" s="558" t="n">
        <v>3.5</v>
      </c>
      <c r="M53" s="559" t="n">
        <v>0.02313</v>
      </c>
      <c r="N53" s="559" t="n">
        <v>0.00244</v>
      </c>
      <c r="O53" s="559" t="n">
        <v>0.00132</v>
      </c>
      <c r="P53" s="560" t="n">
        <f aca="false">H53*O53</f>
        <v>0.35376</v>
      </c>
      <c r="Q53" s="561" t="n">
        <f aca="false">$P$71*K53*($J$7^($P$89)-1)/($J$7-1)*$P$92*0.7*O53*$P$93</f>
        <v>166.493400373775</v>
      </c>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75" hidden="false" customHeight="false" outlineLevel="0" collapsed="false">
      <c r="A54" s="545" t="n">
        <v>41</v>
      </c>
      <c r="B54" s="546" t="s">
        <v>723</v>
      </c>
      <c r="C54" s="540" t="n">
        <v>20</v>
      </c>
      <c r="D54" s="540"/>
      <c r="E54" s="540" t="n">
        <v>92</v>
      </c>
      <c r="F54" s="540" t="n">
        <v>154</v>
      </c>
      <c r="G54" s="540" t="n">
        <v>180</v>
      </c>
      <c r="H54" s="547" t="n">
        <v>202</v>
      </c>
      <c r="I54" s="548" t="n">
        <f aca="false">H54/$H$59*100</f>
        <v>2.54728877679697</v>
      </c>
      <c r="J54" s="549"/>
      <c r="K54" s="557" t="n">
        <f aca="false">E54*$J$50^($K$5-$E$5)</f>
        <v>116.409349701632</v>
      </c>
      <c r="L54" s="558" t="n">
        <v>5</v>
      </c>
      <c r="M54" s="559" t="n">
        <v>0.12553</v>
      </c>
      <c r="N54" s="559" t="n">
        <v>0.01326</v>
      </c>
      <c r="O54" s="559" t="n">
        <v>0.00717</v>
      </c>
      <c r="P54" s="560" t="n">
        <f aca="false">H54*O54</f>
        <v>1.44834</v>
      </c>
      <c r="Q54" s="561" t="n">
        <f aca="false">$P$71*K54*($J$7^($P$89)-1)/($J$7-1)*$P$92*0.7*O54*$P$93</f>
        <v>681.977810621938</v>
      </c>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75" hidden="false" customHeight="false" outlineLevel="0" collapsed="false">
      <c r="A55" s="545" t="n">
        <v>42</v>
      </c>
      <c r="B55" s="546" t="s">
        <v>724</v>
      </c>
      <c r="C55" s="540" t="n">
        <v>41</v>
      </c>
      <c r="D55" s="540"/>
      <c r="E55" s="540" t="n">
        <v>46</v>
      </c>
      <c r="F55" s="540" t="n">
        <v>76</v>
      </c>
      <c r="G55" s="540" t="n">
        <v>88</v>
      </c>
      <c r="H55" s="547" t="n">
        <v>98</v>
      </c>
      <c r="I55" s="548" t="n">
        <f aca="false">H55/$H$59*100</f>
        <v>1.23581336696091</v>
      </c>
      <c r="J55" s="549"/>
      <c r="K55" s="557" t="n">
        <f aca="false">E55*$J$50^($K$5-$E$5)</f>
        <v>58.204674850816</v>
      </c>
      <c r="L55" s="558" t="n">
        <v>13</v>
      </c>
      <c r="M55" s="559" t="n">
        <v>4.80682</v>
      </c>
      <c r="N55" s="559" t="n">
        <v>0.50784</v>
      </c>
      <c r="O55" s="559" t="n">
        <v>0.27457</v>
      </c>
      <c r="P55" s="560" t="n">
        <f aca="false">H55*O55</f>
        <v>26.90786</v>
      </c>
      <c r="Q55" s="561" t="n">
        <f aca="false">$P$71*K55*($J$7^($P$89)-1)/($J$7-1)*$P$92*0.7*O55*$P$93</f>
        <v>13057.9252065875</v>
      </c>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75" hidden="false" customHeight="false" outlineLevel="0" collapsed="false">
      <c r="A56" s="545" t="n">
        <v>43</v>
      </c>
      <c r="B56" s="546" t="s">
        <v>725</v>
      </c>
      <c r="C56" s="540" t="n">
        <v>46</v>
      </c>
      <c r="D56" s="540"/>
      <c r="E56" s="540" t="n">
        <v>54</v>
      </c>
      <c r="F56" s="540" t="n">
        <v>90</v>
      </c>
      <c r="G56" s="540" t="n">
        <v>106</v>
      </c>
      <c r="H56" s="547" t="n">
        <v>120</v>
      </c>
      <c r="I56" s="548" t="n">
        <f aca="false">H56/$H$59*100</f>
        <v>1.51324085750315</v>
      </c>
      <c r="J56" s="549"/>
      <c r="K56" s="557" t="n">
        <f aca="false">E56*$J$50^($K$5-$E$5)</f>
        <v>68.327226998784</v>
      </c>
      <c r="L56" s="558" t="n">
        <v>14.86</v>
      </c>
      <c r="M56" s="559" t="n">
        <v>7.59322</v>
      </c>
      <c r="N56" s="559" t="n">
        <v>0.80222</v>
      </c>
      <c r="O56" s="559" t="n">
        <v>0.43373</v>
      </c>
      <c r="P56" s="560" t="n">
        <f aca="false">H56*O56</f>
        <v>52.0476</v>
      </c>
      <c r="Q56" s="561" t="n">
        <f aca="false">$P$71*K56*($J$7^($P$89)-1)/($J$7-1)*$P$92*0.7*O56*$P$93</f>
        <v>24214.5545043613</v>
      </c>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75" hidden="false" customHeight="false" outlineLevel="0" collapsed="false">
      <c r="A57" s="585" t="n">
        <v>44</v>
      </c>
      <c r="B57" s="586" t="s">
        <v>726</v>
      </c>
      <c r="C57" s="587" t="n">
        <v>56</v>
      </c>
      <c r="D57" s="587"/>
      <c r="E57" s="587" t="n">
        <v>30</v>
      </c>
      <c r="F57" s="587" t="n">
        <v>50</v>
      </c>
      <c r="G57" s="587" t="n">
        <v>58</v>
      </c>
      <c r="H57" s="588" t="n">
        <v>66</v>
      </c>
      <c r="I57" s="575" t="n">
        <f aca="false">H57/$H$59*100</f>
        <v>0.832282471626734</v>
      </c>
      <c r="J57" s="576"/>
      <c r="K57" s="557" t="n">
        <f aca="false">E57*$J$50^($K$5-$E$5)</f>
        <v>37.95957055488</v>
      </c>
      <c r="L57" s="565" t="n">
        <v>18.5</v>
      </c>
      <c r="M57" s="566" t="n">
        <v>19.47718</v>
      </c>
      <c r="N57" s="566" t="n">
        <v>2.05775</v>
      </c>
      <c r="O57" s="566" t="n">
        <v>1.11255</v>
      </c>
      <c r="P57" s="567" t="n">
        <f aca="false">H57*O57</f>
        <v>73.4283</v>
      </c>
      <c r="Q57" s="568" t="n">
        <f aca="false">$P$71*K57*($J$7^($P$89)-1)/($J$7-1)*$P$92*0.7*O57*$P$93</f>
        <v>34506.749736558</v>
      </c>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0"/>
      <c r="B58" s="589" t="s">
        <v>727</v>
      </c>
      <c r="C58" s="590"/>
      <c r="D58" s="590"/>
      <c r="E58" s="540" t="n">
        <f aca="false">SUM(E51:E57)</f>
        <v>630</v>
      </c>
      <c r="F58" s="540" t="n">
        <f aca="false">SUM(F51:F57)</f>
        <v>1050</v>
      </c>
      <c r="G58" s="540" t="n">
        <f aca="false">SUM(G51:G57)</f>
        <v>1226</v>
      </c>
      <c r="H58" s="540" t="n">
        <f aca="false">SUM(H51:H57)</f>
        <v>1380</v>
      </c>
      <c r="I58" s="591" t="n">
        <f aca="false">H58/$H$59*100</f>
        <v>17.4022698612863</v>
      </c>
      <c r="J58" s="591"/>
      <c r="K58" s="560" t="n">
        <f aca="false">SUM(K51:K57)</f>
        <v>797.15098165248</v>
      </c>
      <c r="L58" s="0"/>
      <c r="M58" s="0"/>
      <c r="N58" s="0"/>
      <c r="O58" s="0"/>
      <c r="P58" s="578" t="n">
        <f aca="false">SUM(P51:P57)</f>
        <v>154.37262</v>
      </c>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0"/>
      <c r="B59" s="589" t="s">
        <v>728</v>
      </c>
      <c r="C59" s="589"/>
      <c r="D59" s="589"/>
      <c r="E59" s="589" t="n">
        <f aca="false">E49+E58</f>
        <v>2920</v>
      </c>
      <c r="F59" s="589" t="n">
        <f aca="false">F49+F58</f>
        <v>5590</v>
      </c>
      <c r="G59" s="589" t="n">
        <f aca="false">G49+G58</f>
        <v>6826</v>
      </c>
      <c r="H59" s="589" t="n">
        <f aca="false">H49+H58</f>
        <v>7930</v>
      </c>
      <c r="I59" s="591" t="n">
        <f aca="false">H59/$H$59*100</f>
        <v>100</v>
      </c>
      <c r="J59" s="591"/>
      <c r="K59" s="592" t="n">
        <f aca="false">K49+K58</f>
        <v>3938.09924131097</v>
      </c>
      <c r="L59" s="0"/>
      <c r="M59" s="0"/>
      <c r="N59" s="0"/>
      <c r="O59" s="0"/>
      <c r="P59" s="560" t="n">
        <f aca="false">P49+P58</f>
        <v>6319.59712</v>
      </c>
      <c r="Q59" s="593" t="n">
        <f aca="false">SUM(Q8:Q57)</f>
        <v>2486566.71287385</v>
      </c>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1" customFormat="false" ht="15" hidden="false" customHeight="false" outlineLevel="0" collapsed="false">
      <c r="A61" s="0"/>
      <c r="B61" s="594"/>
      <c r="C61" s="595"/>
      <c r="D61" s="595"/>
      <c r="E61" s="596" t="n">
        <f aca="false">E5</f>
        <v>2004</v>
      </c>
      <c r="F61" s="596" t="n">
        <f aca="false">F5</f>
        <v>2017</v>
      </c>
      <c r="G61" s="596" t="n">
        <f aca="false">G5</f>
        <v>2021</v>
      </c>
      <c r="H61" s="596" t="n">
        <f aca="false">H5</f>
        <v>2024</v>
      </c>
      <c r="I61" s="596" t="n">
        <f aca="false">E61</f>
        <v>2004</v>
      </c>
      <c r="J61" s="596"/>
      <c r="K61" s="596" t="n">
        <f aca="false">F61</f>
        <v>2017</v>
      </c>
      <c r="L61" s="596" t="n">
        <f aca="false">G61</f>
        <v>2021</v>
      </c>
      <c r="M61" s="596" t="n">
        <f aca="false">H61</f>
        <v>2024</v>
      </c>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0"/>
      <c r="B62" s="597" t="str">
        <f aca="false">B7</f>
        <v>Легкі ( &lt; 2,5 т)</v>
      </c>
      <c r="C62" s="598"/>
      <c r="D62" s="598"/>
      <c r="E62" s="589" t="n">
        <f aca="false">E7</f>
        <v>490</v>
      </c>
      <c r="F62" s="589" t="n">
        <f aca="false">F7</f>
        <v>970</v>
      </c>
      <c r="G62" s="589" t="n">
        <f aca="false">G7</f>
        <v>1200</v>
      </c>
      <c r="H62" s="589" t="n">
        <f aca="false">H7</f>
        <v>1400</v>
      </c>
      <c r="I62" s="591" t="n">
        <f aca="false">E62/$E$68*100</f>
        <v>16.7808219178082</v>
      </c>
      <c r="J62" s="599"/>
      <c r="K62" s="600" t="n">
        <f aca="false">F62/$F$68*100</f>
        <v>17.3524150268336</v>
      </c>
      <c r="L62" s="591" t="n">
        <f aca="false">G62/$G$68*100</f>
        <v>17.579841781424</v>
      </c>
      <c r="M62" s="600" t="n">
        <f aca="false">H62/$H$68*100</f>
        <v>17.6544766708701</v>
      </c>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0"/>
      <c r="B63" s="597" t="str">
        <f aca="false">B13</f>
        <v>Середні (2.5 - 5.0 т)</v>
      </c>
      <c r="C63" s="598"/>
      <c r="D63" s="598"/>
      <c r="E63" s="598" t="n">
        <f aca="false">E13</f>
        <v>240</v>
      </c>
      <c r="F63" s="598" t="n">
        <f aca="false">F13</f>
        <v>480</v>
      </c>
      <c r="G63" s="598" t="n">
        <f aca="false">G13</f>
        <v>590</v>
      </c>
      <c r="H63" s="598" t="n">
        <f aca="false">H13</f>
        <v>690</v>
      </c>
      <c r="I63" s="591" t="n">
        <f aca="false">E63/$E$68*100</f>
        <v>8.21917808219178</v>
      </c>
      <c r="J63" s="599"/>
      <c r="K63" s="600" t="n">
        <f aca="false">F63/$F$68*100</f>
        <v>8.58676207513417</v>
      </c>
      <c r="L63" s="591" t="n">
        <f aca="false">G63/$G$68*100</f>
        <v>8.64342220920012</v>
      </c>
      <c r="M63" s="600" t="n">
        <f aca="false">H63/$H$68*100</f>
        <v>8.70113493064313</v>
      </c>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0"/>
      <c r="B64" s="597" t="str">
        <f aca="false">B19</f>
        <v>Важкі (&gt; 5.0т)</v>
      </c>
      <c r="C64" s="598"/>
      <c r="D64" s="598"/>
      <c r="E64" s="598" t="n">
        <f aca="false">E19</f>
        <v>496</v>
      </c>
      <c r="F64" s="598" t="n">
        <f aca="false">F19</f>
        <v>980</v>
      </c>
      <c r="G64" s="598" t="n">
        <f aca="false">G19</f>
        <v>1208</v>
      </c>
      <c r="H64" s="598" t="n">
        <f aca="false">H19</f>
        <v>1416</v>
      </c>
      <c r="I64" s="591" t="n">
        <f aca="false">E64/$E$68*100</f>
        <v>16.986301369863</v>
      </c>
      <c r="J64" s="599"/>
      <c r="K64" s="600" t="n">
        <f aca="false">F64/$F$68*100</f>
        <v>17.5313059033989</v>
      </c>
      <c r="L64" s="591" t="n">
        <f aca="false">G64/$G$68*100</f>
        <v>17.6970407266335</v>
      </c>
      <c r="M64" s="600" t="n">
        <f aca="false">H64/$H$68*100</f>
        <v>17.8562421185372</v>
      </c>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0"/>
      <c r="B65" s="597" t="str">
        <f aca="false">B30</f>
        <v>Автопоїзди з причепами</v>
      </c>
      <c r="C65" s="598"/>
      <c r="D65" s="598"/>
      <c r="E65" s="598" t="n">
        <f aca="false">E30</f>
        <v>216</v>
      </c>
      <c r="F65" s="598" t="n">
        <f aca="false">F30</f>
        <v>430</v>
      </c>
      <c r="G65" s="598" t="n">
        <f aca="false">G30</f>
        <v>530</v>
      </c>
      <c r="H65" s="598" t="n">
        <f aca="false">H30</f>
        <v>620</v>
      </c>
      <c r="I65" s="591" t="n">
        <f aca="false">E65/$E$68*100</f>
        <v>7.3972602739726</v>
      </c>
      <c r="J65" s="599"/>
      <c r="K65" s="600" t="n">
        <f aca="false">F65/$F$68*100</f>
        <v>7.69230769230769</v>
      </c>
      <c r="L65" s="591" t="n">
        <f aca="false">G65/$G$68*100</f>
        <v>7.76443012012892</v>
      </c>
      <c r="M65" s="600" t="n">
        <f aca="false">H65/$H$68*100</f>
        <v>7.81841109709962</v>
      </c>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0"/>
      <c r="B66" s="597" t="str">
        <f aca="false">B38</f>
        <v>Автомобілі-тагачі з напівпричепом</v>
      </c>
      <c r="C66" s="598"/>
      <c r="D66" s="598"/>
      <c r="E66" s="598" t="n">
        <f aca="false">E38</f>
        <v>848</v>
      </c>
      <c r="F66" s="598" t="n">
        <f aca="false">F38</f>
        <v>1680</v>
      </c>
      <c r="G66" s="598" t="n">
        <f aca="false">G38</f>
        <v>2072</v>
      </c>
      <c r="H66" s="598" t="n">
        <f aca="false">H38</f>
        <v>2424</v>
      </c>
      <c r="I66" s="591" t="n">
        <f aca="false">E66/$E$68*100</f>
        <v>29.041095890411</v>
      </c>
      <c r="J66" s="599"/>
      <c r="K66" s="600" t="n">
        <f aca="false">F66/$F$68*100</f>
        <v>30.0536672629696</v>
      </c>
      <c r="L66" s="591" t="n">
        <f aca="false">G66/$G$68*100</f>
        <v>30.3545268092587</v>
      </c>
      <c r="M66" s="600" t="n">
        <f aca="false">H66/$H$68*100</f>
        <v>30.5674653215637</v>
      </c>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0"/>
      <c r="B67" s="597" t="str">
        <f aca="false">B50</f>
        <v>Автобуси</v>
      </c>
      <c r="C67" s="598"/>
      <c r="D67" s="598"/>
      <c r="E67" s="598" t="n">
        <f aca="false">E58</f>
        <v>630</v>
      </c>
      <c r="F67" s="598" t="n">
        <f aca="false">F58</f>
        <v>1050</v>
      </c>
      <c r="G67" s="598" t="n">
        <f aca="false">G58</f>
        <v>1226</v>
      </c>
      <c r="H67" s="598" t="n">
        <f aca="false">H58</f>
        <v>1380</v>
      </c>
      <c r="I67" s="591" t="n">
        <f aca="false">E67/$E$68*100</f>
        <v>21.5753424657534</v>
      </c>
      <c r="J67" s="599"/>
      <c r="K67" s="600" t="n">
        <f aca="false">F67/$F$68*100</f>
        <v>18.783542039356</v>
      </c>
      <c r="L67" s="591" t="n">
        <f aca="false">G67/$G$68*100</f>
        <v>17.9607383533548</v>
      </c>
      <c r="M67" s="600" t="n">
        <f aca="false">H67/$H$68*100</f>
        <v>17.4022698612863</v>
      </c>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0"/>
      <c r="B68" s="601"/>
      <c r="C68" s="602"/>
      <c r="D68" s="602"/>
      <c r="E68" s="603" t="n">
        <f aca="false">SUM(E62:E67)</f>
        <v>2920</v>
      </c>
      <c r="F68" s="603" t="n">
        <f aca="false">SUM(F62:F67)</f>
        <v>5590</v>
      </c>
      <c r="G68" s="603" t="n">
        <f aca="false">SUM(G62:G67)</f>
        <v>6826</v>
      </c>
      <c r="H68" s="603" t="n">
        <f aca="false">SUM(H62:H67)</f>
        <v>7930</v>
      </c>
      <c r="I68" s="591" t="n">
        <f aca="false">E68/$E$68*100</f>
        <v>100</v>
      </c>
      <c r="J68" s="599"/>
      <c r="K68" s="600" t="n">
        <f aca="false">F68/$F$68*100</f>
        <v>100</v>
      </c>
      <c r="L68" s="591" t="n">
        <f aca="false">G68/$G$68*100</f>
        <v>100</v>
      </c>
      <c r="M68" s="600" t="n">
        <f aca="false">H68/$H$68*100</f>
        <v>100</v>
      </c>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71" customFormat="false" ht="45.75" hidden="false" customHeight="true" outlineLevel="0" collapsed="false">
      <c r="A71" s="0"/>
      <c r="B71" s="0"/>
      <c r="C71" s="0"/>
      <c r="D71" s="604" t="s">
        <v>729</v>
      </c>
      <c r="E71" s="605" t="s">
        <v>730</v>
      </c>
      <c r="F71" s="604" t="s">
        <v>731</v>
      </c>
      <c r="G71" s="606" t="s">
        <v>732</v>
      </c>
      <c r="H71" s="606"/>
      <c r="I71" s="606"/>
      <c r="J71" s="606"/>
      <c r="K71" s="606"/>
      <c r="L71" s="606"/>
      <c r="M71" s="606"/>
      <c r="N71" s="606"/>
      <c r="O71" s="606"/>
      <c r="P71" s="607" t="n">
        <v>0.4</v>
      </c>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43.5" hidden="false" customHeight="true" outlineLevel="0" collapsed="false">
      <c r="A72" s="0"/>
      <c r="B72" s="0"/>
      <c r="C72" s="0"/>
      <c r="D72" s="604"/>
      <c r="E72" s="605" t="s">
        <v>733</v>
      </c>
      <c r="F72" s="604" t="s">
        <v>731</v>
      </c>
      <c r="G72" s="606" t="s">
        <v>734</v>
      </c>
      <c r="H72" s="606"/>
      <c r="I72" s="606"/>
      <c r="J72" s="606"/>
      <c r="K72" s="606"/>
      <c r="L72" s="606"/>
      <c r="M72" s="606"/>
      <c r="N72" s="606"/>
      <c r="O72" s="606"/>
      <c r="P72" s="608" t="n">
        <f aca="false">A57</f>
        <v>44</v>
      </c>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38.25" hidden="false" customHeight="true" outlineLevel="0" collapsed="false">
      <c r="A73" s="0"/>
      <c r="B73" s="0"/>
      <c r="C73" s="0"/>
      <c r="D73" s="604"/>
      <c r="E73" s="605" t="s">
        <v>735</v>
      </c>
      <c r="F73" s="604" t="s">
        <v>731</v>
      </c>
      <c r="G73" s="606" t="s">
        <v>736</v>
      </c>
      <c r="H73" s="606"/>
      <c r="I73" s="606"/>
      <c r="J73" s="606"/>
      <c r="K73" s="606"/>
      <c r="L73" s="606"/>
      <c r="M73" s="606"/>
      <c r="N73" s="606"/>
      <c r="O73" s="606"/>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61.5" hidden="false" customHeight="true" outlineLevel="0" collapsed="false">
      <c r="A74" s="0"/>
      <c r="B74" s="0"/>
      <c r="C74" s="0"/>
      <c r="D74" s="604"/>
      <c r="E74" s="605" t="s">
        <v>737</v>
      </c>
      <c r="F74" s="604" t="s">
        <v>731</v>
      </c>
      <c r="G74" s="606" t="s">
        <v>738</v>
      </c>
      <c r="H74" s="606"/>
      <c r="I74" s="606"/>
      <c r="J74" s="606"/>
      <c r="K74" s="606"/>
      <c r="L74" s="606"/>
      <c r="M74" s="606"/>
      <c r="N74" s="606"/>
      <c r="O74" s="606"/>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0"/>
      <c r="B75" s="0"/>
      <c r="C75" s="0"/>
      <c r="D75" s="0"/>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40.5" hidden="false" customHeight="true" outlineLevel="0" collapsed="false">
      <c r="A76" s="0"/>
      <c r="B76" s="0"/>
      <c r="C76" s="0"/>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0"/>
      <c r="B77" s="0"/>
      <c r="C77" s="0"/>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3.25" hidden="false" customHeight="true" outlineLevel="0" collapsed="false">
      <c r="A78" s="0"/>
      <c r="B78" s="0"/>
      <c r="C78" s="0"/>
      <c r="D78" s="0"/>
      <c r="E78" s="609" t="s">
        <v>739</v>
      </c>
      <c r="F78" s="609"/>
      <c r="G78" s="609"/>
      <c r="H78" s="609"/>
      <c r="I78" s="609"/>
      <c r="J78" s="610"/>
      <c r="K78" s="609" t="s">
        <v>740</v>
      </c>
      <c r="L78" s="609" t="s">
        <v>741</v>
      </c>
      <c r="M78" s="609" t="s">
        <v>742</v>
      </c>
      <c r="N78" s="609" t="s">
        <v>743</v>
      </c>
      <c r="O78" s="609"/>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0.25" hidden="false" customHeight="true" outlineLevel="0" collapsed="false">
      <c r="A79" s="0"/>
      <c r="B79" s="0"/>
      <c r="C79" s="0"/>
      <c r="D79" s="0"/>
      <c r="E79" s="609"/>
      <c r="F79" s="609"/>
      <c r="G79" s="609"/>
      <c r="H79" s="609"/>
      <c r="I79" s="609"/>
      <c r="J79" s="611"/>
      <c r="K79" s="609"/>
      <c r="L79" s="609"/>
      <c r="M79" s="609"/>
      <c r="N79" s="611" t="s">
        <v>744</v>
      </c>
      <c r="O79" s="611" t="s">
        <v>745</v>
      </c>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42" hidden="false" customHeight="true" outlineLevel="0" collapsed="false">
      <c r="A80" s="0"/>
      <c r="B80" s="0"/>
      <c r="C80" s="0"/>
      <c r="D80" s="0"/>
      <c r="E80" s="609" t="s">
        <v>746</v>
      </c>
      <c r="F80" s="609"/>
      <c r="G80" s="609"/>
      <c r="H80" s="609"/>
      <c r="I80" s="609"/>
      <c r="J80" s="611"/>
      <c r="K80" s="611" t="n">
        <v>145</v>
      </c>
      <c r="L80" s="611" t="n">
        <v>135</v>
      </c>
      <c r="M80" s="611" t="n">
        <v>130</v>
      </c>
      <c r="N80" s="611" t="n">
        <v>140</v>
      </c>
      <c r="O80" s="611" t="n">
        <v>120</v>
      </c>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0"/>
      <c r="B81" s="0"/>
      <c r="C81" s="0"/>
      <c r="D81" s="0"/>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0"/>
      <c r="B82" s="0"/>
      <c r="C82" s="0"/>
      <c r="D82" s="0"/>
      <c r="E82" s="0"/>
      <c r="F82" s="0"/>
      <c r="G82" s="0"/>
      <c r="H82" s="0"/>
      <c r="I82" s="0"/>
      <c r="J82" s="0"/>
      <c r="K82" s="0"/>
      <c r="L82" s="0"/>
      <c r="M82" s="0"/>
      <c r="N82" s="612"/>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39" hidden="false" customHeight="true" outlineLevel="0" collapsed="false">
      <c r="A83" s="0"/>
      <c r="B83" s="0"/>
      <c r="C83" s="0"/>
      <c r="D83" s="0"/>
      <c r="E83" s="613" t="s">
        <v>14</v>
      </c>
      <c r="F83" s="613"/>
      <c r="G83" s="613"/>
      <c r="H83" s="613"/>
      <c r="I83" s="613"/>
      <c r="J83" s="614"/>
      <c r="K83" s="615" t="s">
        <v>747</v>
      </c>
      <c r="L83" s="615"/>
      <c r="M83" s="615"/>
      <c r="N83" s="615"/>
      <c r="O83" s="615"/>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8.75" hidden="false" customHeight="false" outlineLevel="0" collapsed="false">
      <c r="A84" s="0"/>
      <c r="B84" s="0"/>
      <c r="C84" s="0"/>
      <c r="D84" s="0"/>
      <c r="E84" s="613"/>
      <c r="F84" s="613"/>
      <c r="G84" s="613"/>
      <c r="H84" s="613"/>
      <c r="I84" s="613"/>
      <c r="J84" s="616"/>
      <c r="K84" s="616" t="s">
        <v>113</v>
      </c>
      <c r="L84" s="616" t="s">
        <v>5</v>
      </c>
      <c r="M84" s="616" t="s">
        <v>115</v>
      </c>
      <c r="N84" s="616" t="s">
        <v>53</v>
      </c>
      <c r="O84" s="617" t="s">
        <v>54</v>
      </c>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8.75" hidden="false" customHeight="true" outlineLevel="0" collapsed="false">
      <c r="A85" s="0"/>
      <c r="B85" s="0"/>
      <c r="C85" s="0"/>
      <c r="D85" s="0"/>
      <c r="E85" s="618" t="s">
        <v>630</v>
      </c>
      <c r="F85" s="618"/>
      <c r="G85" s="618"/>
      <c r="H85" s="618"/>
      <c r="I85" s="618"/>
      <c r="J85" s="616"/>
      <c r="K85" s="616" t="n">
        <v>1.49</v>
      </c>
      <c r="L85" s="616" t="n">
        <v>1.49</v>
      </c>
      <c r="M85" s="616" t="n">
        <v>1.38</v>
      </c>
      <c r="N85" s="616" t="n">
        <v>1.31</v>
      </c>
      <c r="O85" s="617" t="s">
        <v>731</v>
      </c>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9.5" hidden="false" customHeight="true" outlineLevel="0" collapsed="false">
      <c r="A86" s="0"/>
      <c r="B86" s="0"/>
      <c r="C86" s="0"/>
      <c r="D86" s="0"/>
      <c r="E86" s="618" t="s">
        <v>748</v>
      </c>
      <c r="F86" s="618"/>
      <c r="G86" s="618"/>
      <c r="H86" s="618"/>
      <c r="I86" s="618"/>
      <c r="J86" s="616"/>
      <c r="K86" s="616" t="s">
        <v>731</v>
      </c>
      <c r="L86" s="616" t="n">
        <v>1.47</v>
      </c>
      <c r="M86" s="616" t="n">
        <v>1.32</v>
      </c>
      <c r="N86" s="616" t="n">
        <v>1.26</v>
      </c>
      <c r="O86" s="617" t="n">
        <v>1.06</v>
      </c>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8.75" hidden="false" customHeight="true" outlineLevel="0" collapsed="false">
      <c r="A87" s="0"/>
      <c r="B87" s="0"/>
      <c r="C87" s="0"/>
      <c r="D87" s="0"/>
      <c r="E87" s="619" t="s">
        <v>653</v>
      </c>
      <c r="F87" s="619"/>
      <c r="G87" s="619"/>
      <c r="H87" s="619"/>
      <c r="I87" s="619"/>
      <c r="J87" s="620"/>
      <c r="K87" s="620" t="s">
        <v>731</v>
      </c>
      <c r="L87" s="620" t="s">
        <v>731</v>
      </c>
      <c r="M87" s="620" t="n">
        <v>1.19</v>
      </c>
      <c r="N87" s="620" t="n">
        <v>1.16</v>
      </c>
      <c r="O87" s="621" t="n">
        <v>1.04</v>
      </c>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8.75" hidden="false" customHeight="false" outlineLevel="0" collapsed="false">
      <c r="A88" s="0"/>
      <c r="B88" s="0"/>
      <c r="C88" s="0"/>
      <c r="D88" s="0"/>
      <c r="E88" s="0"/>
      <c r="F88" s="622" t="s">
        <v>6</v>
      </c>
      <c r="G88" s="0"/>
      <c r="H88" s="0"/>
      <c r="I88" s="0"/>
      <c r="J88" s="0"/>
      <c r="K88" s="0"/>
      <c r="L88" s="0"/>
      <c r="M88" s="0"/>
      <c r="N88" s="0"/>
      <c r="O88" s="0"/>
      <c r="P88" s="623" t="s">
        <v>749</v>
      </c>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0.25" hidden="false" customHeight="false" outlineLevel="0" collapsed="false">
      <c r="A89" s="0"/>
      <c r="B89" s="0"/>
      <c r="C89" s="0"/>
      <c r="D89" s="0"/>
      <c r="E89" s="624" t="s">
        <v>750</v>
      </c>
      <c r="F89" s="604" t="s">
        <v>731</v>
      </c>
      <c r="G89" s="625" t="s">
        <v>751</v>
      </c>
      <c r="H89" s="0"/>
      <c r="I89" s="0"/>
      <c r="J89" s="0"/>
      <c r="K89" s="0"/>
      <c r="L89" s="0"/>
      <c r="M89" s="0"/>
      <c r="N89" s="0"/>
      <c r="O89" s="0"/>
      <c r="P89" s="626" t="n">
        <f aca="false">Тсл!G8</f>
        <v>11</v>
      </c>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8.75" hidden="false" customHeight="false" outlineLevel="0" collapsed="false">
      <c r="A90" s="0"/>
      <c r="B90" s="0"/>
      <c r="C90" s="0"/>
      <c r="D90" s="0"/>
      <c r="E90" s="624" t="s">
        <v>752</v>
      </c>
      <c r="F90" s="604" t="s">
        <v>731</v>
      </c>
      <c r="G90" s="625" t="s">
        <v>753</v>
      </c>
      <c r="H90" s="627"/>
      <c r="I90" s="627"/>
      <c r="J90" s="627"/>
      <c r="K90" s="627"/>
      <c r="L90" s="627"/>
      <c r="M90" s="627"/>
      <c r="N90" s="627"/>
      <c r="O90" s="627"/>
      <c r="P90" s="626" t="n">
        <v>1.054</v>
      </c>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41.25" hidden="false" customHeight="true" outlineLevel="0" collapsed="false">
      <c r="A91" s="0"/>
      <c r="B91" s="0"/>
      <c r="C91" s="0"/>
      <c r="D91" s="0"/>
      <c r="E91" s="605" t="s">
        <v>754</v>
      </c>
      <c r="F91" s="604" t="s">
        <v>731</v>
      </c>
      <c r="G91" s="606" t="s">
        <v>755</v>
      </c>
      <c r="H91" s="606"/>
      <c r="I91" s="606"/>
      <c r="J91" s="606"/>
      <c r="K91" s="606"/>
      <c r="L91" s="606"/>
      <c r="M91" s="606"/>
      <c r="N91" s="606"/>
      <c r="O91" s="606"/>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39" hidden="false" customHeight="true" outlineLevel="0" collapsed="false">
      <c r="A92" s="0"/>
      <c r="B92" s="0"/>
      <c r="C92" s="0"/>
      <c r="D92" s="0"/>
      <c r="E92" s="605" t="s">
        <v>756</v>
      </c>
      <c r="F92" s="604" t="s">
        <v>731</v>
      </c>
      <c r="G92" s="606" t="s">
        <v>757</v>
      </c>
      <c r="H92" s="606"/>
      <c r="I92" s="606"/>
      <c r="J92" s="606"/>
      <c r="K92" s="606"/>
      <c r="L92" s="606"/>
      <c r="M92" s="606"/>
      <c r="N92" s="606"/>
      <c r="O92" s="606"/>
      <c r="P92" s="628" t="n">
        <f aca="false">'Розрахункові параметриПеревірка'!H2</f>
        <v>135</v>
      </c>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39.75" hidden="false" customHeight="true" outlineLevel="0" collapsed="false">
      <c r="A93" s="0"/>
      <c r="B93" s="0"/>
      <c r="C93" s="0"/>
      <c r="D93" s="0"/>
      <c r="E93" s="605" t="s">
        <v>758</v>
      </c>
      <c r="F93" s="604" t="s">
        <v>731</v>
      </c>
      <c r="G93" s="606" t="s">
        <v>759</v>
      </c>
      <c r="H93" s="606"/>
      <c r="I93" s="606"/>
      <c r="J93" s="606"/>
      <c r="K93" s="606"/>
      <c r="L93" s="606"/>
      <c r="M93" s="606"/>
      <c r="N93" s="606"/>
      <c r="O93" s="606"/>
      <c r="P93" s="626" t="n">
        <f aca="false">K85</f>
        <v>1.49</v>
      </c>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4" hidden="false" customHeight="true" outlineLevel="0" collapsed="false">
      <c r="A94" s="0"/>
      <c r="B94" s="0"/>
      <c r="C94" s="0"/>
      <c r="D94" s="0"/>
      <c r="E94" s="605" t="s">
        <v>760</v>
      </c>
      <c r="F94" s="604" t="s">
        <v>731</v>
      </c>
      <c r="G94" s="606" t="s">
        <v>761</v>
      </c>
      <c r="H94" s="606"/>
      <c r="I94" s="606"/>
      <c r="J94" s="606"/>
      <c r="K94" s="606"/>
      <c r="L94" s="606"/>
      <c r="M94" s="606"/>
      <c r="N94" s="606"/>
      <c r="O94" s="606"/>
      <c r="P94" s="629" t="n">
        <f aca="false">(P90^(P89)-1)/(P90-1)</f>
        <v>14.5072520733762</v>
      </c>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0"/>
      <c r="B95" s="0"/>
      <c r="C95" s="0"/>
      <c r="D95" s="0"/>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8.75" hidden="false" customHeight="true" outlineLevel="0" collapsed="false">
      <c r="A96" s="0"/>
      <c r="B96" s="0"/>
      <c r="C96" s="0"/>
      <c r="D96" s="0"/>
      <c r="E96" s="630" t="s">
        <v>762</v>
      </c>
      <c r="F96" s="630"/>
      <c r="G96" s="630"/>
      <c r="H96" s="630"/>
      <c r="I96" s="630"/>
      <c r="J96" s="630"/>
      <c r="K96" s="630"/>
      <c r="L96" s="630"/>
      <c r="M96" s="630"/>
      <c r="N96" s="630"/>
      <c r="O96" s="630"/>
      <c r="P96" s="631" t="n">
        <f aca="false">Q59</f>
        <v>2486566.71287385</v>
      </c>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514" customFormat="true" ht="12.75" hidden="false" customHeight="false" outlineLevel="0" collapsed="false"/>
    <row r="98" customFormat="false" ht="26.25" hidden="false" customHeight="true" outlineLevel="0" collapsed="false">
      <c r="E98" s="632" t="s">
        <v>763</v>
      </c>
      <c r="F98" s="604" t="s">
        <v>731</v>
      </c>
      <c r="G98" s="633" t="s">
        <v>764</v>
      </c>
      <c r="H98" s="633"/>
      <c r="I98" s="633"/>
      <c r="J98" s="633"/>
      <c r="K98" s="633"/>
      <c r="L98" s="633"/>
      <c r="M98" s="633"/>
      <c r="N98" s="633"/>
      <c r="O98" s="633"/>
      <c r="P98" s="634" t="n">
        <f aca="false">42.843*LN(Q59)-315.68</f>
        <v>315.243733015346</v>
      </c>
    </row>
    <row r="99" customFormat="false" ht="20.25" hidden="false" customHeight="false" outlineLevel="0" collapsed="false">
      <c r="E99" s="0"/>
      <c r="F99" s="622" t="s">
        <v>765</v>
      </c>
      <c r="G99" s="0"/>
      <c r="H99" s="0"/>
      <c r="I99" s="0"/>
      <c r="J99" s="0"/>
      <c r="K99" s="0"/>
      <c r="L99" s="0"/>
      <c r="M99" s="0"/>
      <c r="N99" s="0"/>
      <c r="O99" s="0"/>
      <c r="P99" s="626" t="n">
        <v>1.5</v>
      </c>
    </row>
    <row r="100" customFormat="false" ht="18.75" hidden="false" customHeight="false" outlineLevel="0" collapsed="false">
      <c r="E100" s="0"/>
      <c r="F100" s="622" t="s">
        <v>766</v>
      </c>
      <c r="G100" s="0"/>
      <c r="H100" s="0"/>
      <c r="I100" s="0"/>
      <c r="J100" s="0"/>
      <c r="K100" s="0"/>
      <c r="L100" s="0"/>
      <c r="M100" s="0"/>
      <c r="N100" s="0"/>
      <c r="O100" s="0"/>
      <c r="P100" s="0"/>
    </row>
    <row r="101" customFormat="false" ht="36" hidden="false" customHeight="true" outlineLevel="0" collapsed="false">
      <c r="E101" s="632" t="s">
        <v>767</v>
      </c>
      <c r="F101" s="604" t="s">
        <v>731</v>
      </c>
      <c r="G101" s="633" t="s">
        <v>768</v>
      </c>
      <c r="H101" s="633"/>
      <c r="I101" s="633"/>
      <c r="J101" s="633"/>
      <c r="K101" s="633"/>
      <c r="L101" s="633"/>
      <c r="M101" s="633"/>
      <c r="N101" s="633"/>
      <c r="O101" s="633"/>
      <c r="P101" s="628" t="n">
        <f aca="false">P98*P99</f>
        <v>472.865599523019</v>
      </c>
    </row>
  </sheetData>
  <mergeCells count="45">
    <mergeCell ref="A4:A5"/>
    <mergeCell ref="B4:B5"/>
    <mergeCell ref="C4:C5"/>
    <mergeCell ref="E4:H4"/>
    <mergeCell ref="I4:I5"/>
    <mergeCell ref="L4:L5"/>
    <mergeCell ref="M4:O4"/>
    <mergeCell ref="P4:P5"/>
    <mergeCell ref="Q4:Q5"/>
    <mergeCell ref="B7:D7"/>
    <mergeCell ref="B13:D13"/>
    <mergeCell ref="B19:D19"/>
    <mergeCell ref="B30:D30"/>
    <mergeCell ref="B38:D38"/>
    <mergeCell ref="B49:D49"/>
    <mergeCell ref="C50:D50"/>
    <mergeCell ref="C51:D51"/>
    <mergeCell ref="C52:D52"/>
    <mergeCell ref="C53:D53"/>
    <mergeCell ref="C54:D54"/>
    <mergeCell ref="C55:D55"/>
    <mergeCell ref="C56:D56"/>
    <mergeCell ref="C57:D57"/>
    <mergeCell ref="G71:O71"/>
    <mergeCell ref="G72:O72"/>
    <mergeCell ref="G73:O73"/>
    <mergeCell ref="G74:O74"/>
    <mergeCell ref="E78:I79"/>
    <mergeCell ref="K78:K79"/>
    <mergeCell ref="L78:L79"/>
    <mergeCell ref="M78:M79"/>
    <mergeCell ref="N78:O78"/>
    <mergeCell ref="E80:I80"/>
    <mergeCell ref="E83:I84"/>
    <mergeCell ref="K83:O83"/>
    <mergeCell ref="E85:I85"/>
    <mergeCell ref="E86:I86"/>
    <mergeCell ref="E87:I87"/>
    <mergeCell ref="G91:O91"/>
    <mergeCell ref="G92:O92"/>
    <mergeCell ref="G93:O93"/>
    <mergeCell ref="G94:O94"/>
    <mergeCell ref="E96:O96"/>
    <mergeCell ref="G98:O98"/>
    <mergeCell ref="G101:O10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B1:G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635" width="6.54639175257732"/>
    <col collapsed="false" hidden="false" max="2" min="2" style="635" width="56.5979381443299"/>
    <col collapsed="false" hidden="false" max="256" min="3" style="635" width="9.13917525773196"/>
    <col collapsed="false" hidden="false" max="257" min="257" style="635" width="6.54639175257732"/>
    <col collapsed="false" hidden="false" max="258" min="258" style="635" width="56.5979381443299"/>
    <col collapsed="false" hidden="false" max="512" min="259" style="635" width="9.13917525773196"/>
    <col collapsed="false" hidden="false" max="513" min="513" style="635" width="6.54639175257732"/>
    <col collapsed="false" hidden="false" max="514" min="514" style="635" width="56.5979381443299"/>
    <col collapsed="false" hidden="false" max="768" min="515" style="635" width="9.13917525773196"/>
    <col collapsed="false" hidden="false" max="769" min="769" style="635" width="6.54639175257732"/>
    <col collapsed="false" hidden="false" max="770" min="770" style="635" width="56.5979381443299"/>
    <col collapsed="false" hidden="false" max="1025" min="771" style="635" width="9.13917525773196"/>
  </cols>
  <sheetData>
    <row r="1" customFormat="false" ht="18" hidden="false" customHeight="false" outlineLevel="0" collapsed="false">
      <c r="B1" s="636" t="s">
        <v>769</v>
      </c>
      <c r="C1" s="0"/>
      <c r="D1" s="0"/>
      <c r="E1" s="0"/>
      <c r="F1" s="0"/>
      <c r="G1" s="0"/>
    </row>
    <row r="2" customFormat="false" ht="18" hidden="false" customHeight="false" outlineLevel="0" collapsed="false">
      <c r="B2" s="636"/>
      <c r="C2" s="0"/>
      <c r="D2" s="0"/>
      <c r="E2" s="0"/>
      <c r="F2" s="0"/>
      <c r="G2" s="0"/>
    </row>
    <row r="3" customFormat="false" ht="37.5" hidden="false" customHeight="false" outlineLevel="0" collapsed="false">
      <c r="B3" s="637" t="s">
        <v>770</v>
      </c>
      <c r="C3" s="638" t="n">
        <v>24</v>
      </c>
      <c r="D3" s="638" t="n">
        <v>18</v>
      </c>
      <c r="E3" s="638" t="n">
        <v>12</v>
      </c>
      <c r="F3" s="638" t="n">
        <v>8</v>
      </c>
      <c r="G3" s="639" t="n">
        <v>5</v>
      </c>
    </row>
    <row r="4" customFormat="false" ht="39" hidden="false" customHeight="false" outlineLevel="0" collapsed="false">
      <c r="B4" s="640" t="s">
        <v>771</v>
      </c>
      <c r="C4" s="641" t="n">
        <v>0.07</v>
      </c>
      <c r="D4" s="641" t="n">
        <v>0.07</v>
      </c>
      <c r="E4" s="641" t="n">
        <v>0.07</v>
      </c>
      <c r="F4" s="641" t="n">
        <v>0.07</v>
      </c>
      <c r="G4" s="642" t="n">
        <v>0.07</v>
      </c>
    </row>
    <row r="5" customFormat="false" ht="21" hidden="false" customHeight="true" outlineLevel="0" collapsed="false">
      <c r="B5" s="643" t="s">
        <v>772</v>
      </c>
      <c r="C5" s="641" t="n">
        <v>36</v>
      </c>
      <c r="D5" s="641" t="n">
        <v>36</v>
      </c>
      <c r="E5" s="641" t="n">
        <v>36</v>
      </c>
      <c r="F5" s="641" t="n">
        <v>36</v>
      </c>
      <c r="G5" s="642" t="n">
        <v>36</v>
      </c>
    </row>
    <row r="6" customFormat="false" ht="20.25" hidden="false" customHeight="false" outlineLevel="0" collapsed="false">
      <c r="B6" s="644" t="s">
        <v>773</v>
      </c>
      <c r="C6" s="641" t="n">
        <v>0.05</v>
      </c>
      <c r="D6" s="641" t="n">
        <v>0.05</v>
      </c>
      <c r="E6" s="641" t="n">
        <v>0.05</v>
      </c>
      <c r="F6" s="641" t="n">
        <v>0.05</v>
      </c>
      <c r="G6" s="642" t="n">
        <v>0.05</v>
      </c>
    </row>
    <row r="7" customFormat="false" ht="15" hidden="false" customHeight="true" outlineLevel="0" collapsed="false">
      <c r="B7" s="643" t="s">
        <v>774</v>
      </c>
      <c r="C7" s="641" t="n">
        <v>0.6</v>
      </c>
      <c r="D7" s="641" t="n">
        <v>0.6</v>
      </c>
      <c r="E7" s="641" t="n">
        <v>0.6</v>
      </c>
      <c r="F7" s="641" t="n">
        <v>0.6</v>
      </c>
      <c r="G7" s="642" t="n">
        <v>0.6</v>
      </c>
    </row>
    <row r="8" customFormat="false" ht="39" hidden="false" customHeight="false" outlineLevel="0" collapsed="false">
      <c r="B8" s="640" t="s">
        <v>775</v>
      </c>
      <c r="C8" s="641" t="n">
        <v>0.07</v>
      </c>
      <c r="D8" s="641" t="n">
        <v>0.07</v>
      </c>
      <c r="E8" s="641" t="n">
        <v>0.07</v>
      </c>
      <c r="F8" s="641" t="n">
        <v>0.07</v>
      </c>
      <c r="G8" s="642" t="n">
        <v>0.07</v>
      </c>
    </row>
    <row r="9" customFormat="false" ht="39" hidden="false" customHeight="false" outlineLevel="0" collapsed="false">
      <c r="B9" s="645" t="s">
        <v>776</v>
      </c>
      <c r="C9" s="641" t="n">
        <v>0.15</v>
      </c>
      <c r="D9" s="641" t="n">
        <v>0.15</v>
      </c>
      <c r="E9" s="641" t="n">
        <v>0.15</v>
      </c>
      <c r="F9" s="641" t="n">
        <v>0.15</v>
      </c>
      <c r="G9" s="642" t="n">
        <v>0.15</v>
      </c>
    </row>
    <row r="10" customFormat="false" ht="39" hidden="false" customHeight="false" outlineLevel="0" collapsed="false">
      <c r="B10" s="640" t="s">
        <v>777</v>
      </c>
      <c r="C10" s="641" t="n">
        <v>0.2</v>
      </c>
      <c r="D10" s="641" t="n">
        <v>0.2</v>
      </c>
      <c r="E10" s="641" t="n">
        <v>0.2</v>
      </c>
      <c r="F10" s="641" t="n">
        <v>0.2</v>
      </c>
      <c r="G10" s="642" t="n">
        <v>0.2</v>
      </c>
    </row>
    <row r="11" customFormat="false" ht="18.75" hidden="false" customHeight="false" outlineLevel="0" collapsed="false">
      <c r="B11" s="645" t="s">
        <v>778</v>
      </c>
      <c r="C11" s="641"/>
      <c r="D11" s="641"/>
      <c r="E11" s="641"/>
      <c r="F11" s="641"/>
      <c r="G11" s="642"/>
    </row>
    <row r="12" customFormat="false" ht="20.25" hidden="false" customHeight="false" outlineLevel="0" collapsed="false">
      <c r="B12" s="646" t="s">
        <v>779</v>
      </c>
      <c r="C12" s="641" t="n">
        <v>0.25</v>
      </c>
      <c r="D12" s="641" t="n">
        <v>0.25</v>
      </c>
      <c r="E12" s="641" t="n">
        <v>0.25</v>
      </c>
      <c r="F12" s="641" t="n">
        <v>0.25</v>
      </c>
      <c r="G12" s="642" t="n">
        <v>0.25</v>
      </c>
    </row>
    <row r="13" customFormat="false" ht="39" hidden="false" customHeight="false" outlineLevel="0" collapsed="false">
      <c r="B13" s="646" t="s">
        <v>780</v>
      </c>
      <c r="C13" s="641" t="n">
        <v>1.4</v>
      </c>
      <c r="D13" s="641" t="n">
        <v>1.3</v>
      </c>
      <c r="E13" s="641" t="n">
        <v>1.2</v>
      </c>
      <c r="F13" s="641" t="n">
        <v>1.1</v>
      </c>
      <c r="G13" s="642" t="n">
        <v>1</v>
      </c>
    </row>
    <row r="14" customFormat="false" ht="15" hidden="false" customHeight="false" outlineLevel="0" collapsed="false">
      <c r="B14" s="647"/>
      <c r="C14" s="641"/>
      <c r="D14" s="641"/>
      <c r="E14" s="641"/>
      <c r="F14" s="641"/>
      <c r="G14" s="642"/>
    </row>
    <row r="15" customFormat="false" ht="18.75" hidden="false" customHeight="false" outlineLevel="0" collapsed="false">
      <c r="B15" s="648" t="s">
        <v>781</v>
      </c>
      <c r="C15" s="641" t="s">
        <v>782</v>
      </c>
      <c r="D15" s="641"/>
      <c r="E15" s="641"/>
      <c r="F15" s="641"/>
      <c r="G15" s="642"/>
    </row>
    <row r="16" customFormat="false" ht="15" hidden="false" customHeight="false" outlineLevel="0" collapsed="false">
      <c r="B16" s="647" t="s">
        <v>783</v>
      </c>
      <c r="C16" s="641" t="s">
        <v>50</v>
      </c>
      <c r="D16" s="641" t="s">
        <v>51</v>
      </c>
      <c r="E16" s="641" t="s">
        <v>52</v>
      </c>
      <c r="F16" s="641" t="s">
        <v>53</v>
      </c>
      <c r="G16" s="642" t="s">
        <v>54</v>
      </c>
    </row>
    <row r="17" customFormat="false" ht="15" hidden="false" customHeight="false" outlineLevel="0" collapsed="false">
      <c r="B17" s="647" t="s">
        <v>784</v>
      </c>
      <c r="C17" s="641" t="n">
        <v>0.12</v>
      </c>
      <c r="D17" s="641" t="n">
        <v>0.1</v>
      </c>
      <c r="E17" s="641" t="n">
        <v>0.07</v>
      </c>
      <c r="F17" s="641" t="n">
        <v>0.07</v>
      </c>
      <c r="G17" s="642" t="n">
        <v>0.07</v>
      </c>
    </row>
    <row r="18" customFormat="false" ht="15" hidden="false" customHeight="false" outlineLevel="0" collapsed="false">
      <c r="B18" s="647"/>
      <c r="C18" s="641"/>
      <c r="D18" s="641"/>
      <c r="E18" s="641"/>
      <c r="F18" s="641"/>
      <c r="G18" s="642"/>
    </row>
    <row r="19" customFormat="false" ht="15" hidden="false" customHeight="false" outlineLevel="0" collapsed="false">
      <c r="B19" s="647"/>
      <c r="C19" s="649" t="n">
        <f aca="false">3.1415926*Над_Згин!C7*(1+C12)*0.85</f>
        <v>2.0027652825</v>
      </c>
      <c r="D19" s="649" t="n">
        <f aca="false">3.1415926*D7*(1+D12)*0.85</f>
        <v>2.0027652825</v>
      </c>
      <c r="E19" s="649" t="n">
        <f aca="false">3.1415926*E7*(1+E12)*0.85</f>
        <v>2.0027652825</v>
      </c>
      <c r="F19" s="649" t="n">
        <f aca="false">3.1415926*F7*(1+F12)*0.85</f>
        <v>2.0027652825</v>
      </c>
      <c r="G19" s="650" t="n">
        <f aca="false">3.1415926*G7*(1+G12)*0.85</f>
        <v>2.0027652825</v>
      </c>
    </row>
    <row r="20" customFormat="false" ht="15" hidden="false" customHeight="false" outlineLevel="0" collapsed="false">
      <c r="B20" s="647"/>
      <c r="C20" s="641"/>
      <c r="D20" s="641"/>
      <c r="E20" s="641"/>
      <c r="F20" s="641"/>
      <c r="G20" s="642"/>
    </row>
    <row r="21" customFormat="false" ht="39" hidden="false" customHeight="false" outlineLevel="0" collapsed="false">
      <c r="B21" s="651" t="s">
        <v>785</v>
      </c>
      <c r="C21" s="652" t="n">
        <f aca="false">(SQRT(1.5*10^(-3)*(C9^2+C10^2)*(C5/C3)^4*C19^2+(C8^2+C6^2)*((2*C13-0.119*(C5/C3)^2)*C19)^2))/C13</f>
        <v>0.31317392689156</v>
      </c>
      <c r="D21" s="652" t="n">
        <f aca="false">(SQRT(1.5*10^(-3)*(D9^2+D10^2)*(D5/D3)^4*D19^2+(D8^2+D6^2)*((2*D13-0.119*(D5/D3)^2)*D19)^2))/D13</f>
        <v>0.28774048838468</v>
      </c>
      <c r="E21" s="652" t="n">
        <f aca="false">(SQRT(1.5*10^(-3)*(E9^2+E10^2)*(E5/E3)^4*E19^2+(E8^2+E6^2)*((2*E13-0.119*(E5/E3)^2)*E19)^2))/E13</f>
        <v>0.239913841691068</v>
      </c>
      <c r="F21" s="652" t="n">
        <f aca="false">(SQRT(1.5*10^(-3)*(F9^2+F10^2)*(F5/F3)^4*F19^2+(F8^2+F6^2)*((2*F13-0.119*(F5/F3)^2)*F19)^2))/F13</f>
        <v>0.358491808524939</v>
      </c>
      <c r="G21" s="653" t="n">
        <f aca="false">(SQRT(1.5*10^(-3)*(G9^2+G10^2)*(G5/G3)^4*G19^2+(G8^2+G6^2)*((2*G13-0.119*(G5/G3)^2)*G19)^2))/G13</f>
        <v>1.23549043856971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B2:N155"/>
  <sheetViews>
    <sheetView windowProtection="false" showFormulas="false" showGridLines="true" showRowColHeaders="true" showZeros="true" rightToLeft="false" tabSelected="false" showOutlineSymbols="true" defaultGridColor="true" view="normal" topLeftCell="A94" colorId="64" zoomScale="65" zoomScaleNormal="65" zoomScalePageLayoutView="100" workbookViewId="0">
      <selection pane="topLeft" activeCell="A57" activeCellId="0" sqref="A57"/>
    </sheetView>
  </sheetViews>
  <sheetFormatPr defaultRowHeight="15"/>
  <cols>
    <col collapsed="false" hidden="false" max="2" min="1" style="0" width="7.63917525773196"/>
    <col collapsed="false" hidden="false" max="3" min="3" style="0" width="9.68556701030928"/>
    <col collapsed="false" hidden="false" max="1025" min="4" style="0" width="7.63917525773196"/>
  </cols>
  <sheetData>
    <row r="2" customFormat="false" ht="18.75" hidden="false" customHeight="false" outlineLevel="0" collapsed="false">
      <c r="B2" s="654" t="s">
        <v>786</v>
      </c>
    </row>
    <row r="3" customFormat="false" ht="56.25" hidden="false" customHeight="false" outlineLevel="0" collapsed="false">
      <c r="B3" s="655" t="s">
        <v>787</v>
      </c>
      <c r="C3" s="656" t="s">
        <v>788</v>
      </c>
      <c r="D3" s="657" t="s">
        <v>787</v>
      </c>
      <c r="E3" s="656" t="s">
        <v>788</v>
      </c>
      <c r="F3" s="657" t="s">
        <v>787</v>
      </c>
      <c r="G3" s="656" t="s">
        <v>788</v>
      </c>
      <c r="H3" s="657" t="s">
        <v>787</v>
      </c>
      <c r="I3" s="656" t="s">
        <v>788</v>
      </c>
      <c r="J3" s="657" t="s">
        <v>787</v>
      </c>
      <c r="K3" s="656" t="s">
        <v>788</v>
      </c>
      <c r="L3" s="657" t="s">
        <v>787</v>
      </c>
      <c r="M3" s="656" t="s">
        <v>788</v>
      </c>
    </row>
    <row r="4" customFormat="false" ht="18.75" hidden="false" customHeight="false" outlineLevel="0" collapsed="false">
      <c r="B4" s="658" t="n">
        <v>1</v>
      </c>
      <c r="C4" s="659" t="n">
        <v>2</v>
      </c>
      <c r="D4" s="660" t="n">
        <v>3</v>
      </c>
      <c r="E4" s="660" t="n">
        <v>4</v>
      </c>
      <c r="F4" s="660" t="n">
        <v>5</v>
      </c>
      <c r="G4" s="660" t="n">
        <v>6</v>
      </c>
      <c r="H4" s="660" t="n">
        <v>7</v>
      </c>
      <c r="I4" s="660" t="n">
        <v>8</v>
      </c>
      <c r="J4" s="660" t="n">
        <v>9</v>
      </c>
      <c r="K4" s="660" t="n">
        <v>10</v>
      </c>
      <c r="L4" s="660" t="n">
        <v>11</v>
      </c>
      <c r="M4" s="660" t="n">
        <v>12</v>
      </c>
    </row>
    <row r="5" customFormat="false" ht="18.75" hidden="false" customHeight="false" outlineLevel="0" collapsed="false">
      <c r="B5" s="661" t="n">
        <v>0</v>
      </c>
      <c r="C5" s="662" t="n">
        <f aca="false">0.5+0.5*ERF(B5/SQRT(2))</f>
        <v>0.5</v>
      </c>
      <c r="D5" s="663" t="n">
        <v>1</v>
      </c>
      <c r="E5" s="663" t="n">
        <v>0.841</v>
      </c>
      <c r="F5" s="663" t="n">
        <v>1.25</v>
      </c>
      <c r="G5" s="663" t="n">
        <v>0.894</v>
      </c>
      <c r="H5" s="663" t="n">
        <v>1.5</v>
      </c>
      <c r="I5" s="663" t="n">
        <v>0.933</v>
      </c>
      <c r="J5" s="663" t="n">
        <v>1.75</v>
      </c>
      <c r="K5" s="663" t="n">
        <v>0.96</v>
      </c>
      <c r="L5" s="663" t="n">
        <v>2</v>
      </c>
      <c r="M5" s="663" t="n">
        <v>0.977</v>
      </c>
      <c r="N5" s="664"/>
    </row>
    <row r="6" customFormat="false" ht="18.75" hidden="false" customHeight="false" outlineLevel="0" collapsed="false">
      <c r="B6" s="665" t="n">
        <v>0.02</v>
      </c>
      <c r="C6" s="666" t="n">
        <f aca="false">0.5+0.5*ERF(B6/SQRT(2))</f>
        <v>0.507978313716902</v>
      </c>
      <c r="D6" s="663" t="n">
        <v>1.005</v>
      </c>
      <c r="E6" s="663" t="n">
        <v>0.843</v>
      </c>
      <c r="F6" s="663" t="n">
        <v>1.255</v>
      </c>
      <c r="G6" s="663" t="n">
        <v>0.895</v>
      </c>
      <c r="H6" s="663" t="n">
        <v>1.505</v>
      </c>
      <c r="I6" s="663" t="n">
        <v>0.934</v>
      </c>
      <c r="J6" s="663" t="n">
        <v>1.755</v>
      </c>
      <c r="K6" s="663" t="n">
        <v>0.96</v>
      </c>
      <c r="L6" s="663" t="n">
        <v>2.005</v>
      </c>
      <c r="M6" s="663" t="n">
        <v>0.978</v>
      </c>
    </row>
    <row r="7" customFormat="false" ht="18.75" hidden="false" customHeight="false" outlineLevel="0" collapsed="false">
      <c r="B7" s="661" t="n">
        <v>0.04</v>
      </c>
      <c r="C7" s="666" t="n">
        <f aca="false">0.5+0.5*ERF(B7/SQRT(2))</f>
        <v>0.515953436852831</v>
      </c>
      <c r="D7" s="663" t="n">
        <v>1.01</v>
      </c>
      <c r="E7" s="663" t="n">
        <v>0.844</v>
      </c>
      <c r="F7" s="663" t="n">
        <v>1.26</v>
      </c>
      <c r="G7" s="663" t="n">
        <v>0.896</v>
      </c>
      <c r="H7" s="663" t="n">
        <v>1.51</v>
      </c>
      <c r="I7" s="663" t="n">
        <v>0.934</v>
      </c>
      <c r="J7" s="663" t="n">
        <v>1.76</v>
      </c>
      <c r="K7" s="663" t="n">
        <v>0.961</v>
      </c>
      <c r="L7" s="663" t="n">
        <v>2.01</v>
      </c>
      <c r="M7" s="663" t="n">
        <v>0.978</v>
      </c>
    </row>
    <row r="8" customFormat="false" ht="18.75" hidden="false" customHeight="false" outlineLevel="0" collapsed="false">
      <c r="B8" s="665" t="n">
        <v>0.06</v>
      </c>
      <c r="C8" s="666" t="n">
        <f aca="false">0.5+0.5*ERF(B8/SQRT(2))</f>
        <v>0.523922182654107</v>
      </c>
      <c r="D8" s="663" t="n">
        <v>1.015</v>
      </c>
      <c r="E8" s="663" t="n">
        <v>0.845</v>
      </c>
      <c r="F8" s="663" t="n">
        <v>1.265</v>
      </c>
      <c r="G8" s="663" t="n">
        <v>0.897</v>
      </c>
      <c r="H8" s="663" t="n">
        <v>1.515</v>
      </c>
      <c r="I8" s="663" t="n">
        <v>0.935</v>
      </c>
      <c r="J8" s="663" t="n">
        <v>1.765</v>
      </c>
      <c r="K8" s="663" t="n">
        <v>0.961</v>
      </c>
      <c r="L8" s="663" t="n">
        <v>2.015</v>
      </c>
      <c r="M8" s="663" t="n">
        <v>0.978</v>
      </c>
    </row>
    <row r="9" customFormat="false" ht="18.75" hidden="false" customHeight="false" outlineLevel="0" collapsed="false">
      <c r="B9" s="661" t="n">
        <v>0.08</v>
      </c>
      <c r="C9" s="666" t="n">
        <f aca="false">0.5+0.5*ERF(B9/SQRT(2))</f>
        <v>0.531881372013987</v>
      </c>
      <c r="D9" s="663" t="n">
        <v>1.02</v>
      </c>
      <c r="E9" s="663" t="n">
        <v>0.846</v>
      </c>
      <c r="F9" s="663" t="n">
        <v>1.27</v>
      </c>
      <c r="G9" s="663" t="n">
        <v>0.898</v>
      </c>
      <c r="H9" s="663" t="n">
        <v>1.52</v>
      </c>
      <c r="I9" s="663" t="n">
        <v>0.936</v>
      </c>
      <c r="J9" s="663" t="n">
        <v>1.77</v>
      </c>
      <c r="K9" s="663" t="n">
        <v>0.962</v>
      </c>
      <c r="L9" s="663" t="n">
        <v>2.02</v>
      </c>
      <c r="M9" s="663" t="n">
        <v>0.978</v>
      </c>
    </row>
    <row r="10" customFormat="false" ht="18.75" hidden="false" customHeight="false" outlineLevel="0" collapsed="false">
      <c r="B10" s="665" t="n">
        <v>0.1</v>
      </c>
      <c r="C10" s="666" t="n">
        <f aca="false">0.5+0.5*ERF(B10/SQRT(2))</f>
        <v>0.539827837277029</v>
      </c>
      <c r="D10" s="663" t="n">
        <v>1.025</v>
      </c>
      <c r="E10" s="663" t="n">
        <v>0.847</v>
      </c>
      <c r="F10" s="663" t="n">
        <v>1.275</v>
      </c>
      <c r="G10" s="663" t="n">
        <v>0.899</v>
      </c>
      <c r="H10" s="663" t="n">
        <v>1.525</v>
      </c>
      <c r="I10" s="663" t="n">
        <v>0.936</v>
      </c>
      <c r="J10" s="663" t="n">
        <v>1.775</v>
      </c>
      <c r="K10" s="663" t="n">
        <v>0.962</v>
      </c>
      <c r="L10" s="663" t="n">
        <v>2.025</v>
      </c>
      <c r="M10" s="663" t="n">
        <v>0.979</v>
      </c>
    </row>
    <row r="11" customFormat="false" ht="18.75" hidden="false" customHeight="false" outlineLevel="0" collapsed="false">
      <c r="B11" s="661" t="n">
        <v>0.12</v>
      </c>
      <c r="C11" s="666" t="n">
        <f aca="false">0.5+0.5*ERF(B11/SQRT(2))</f>
        <v>0.547758426020584</v>
      </c>
      <c r="D11" s="663" t="n">
        <v>1.03</v>
      </c>
      <c r="E11" s="663" t="n">
        <v>0.848</v>
      </c>
      <c r="F11" s="667" t="n">
        <v>1.28</v>
      </c>
      <c r="G11" s="667" t="n">
        <v>0.9</v>
      </c>
      <c r="H11" s="663" t="n">
        <v>1.53</v>
      </c>
      <c r="I11" s="663" t="n">
        <v>0.937</v>
      </c>
      <c r="J11" s="663" t="n">
        <v>1.78</v>
      </c>
      <c r="K11" s="663" t="n">
        <v>0.962</v>
      </c>
      <c r="L11" s="663" t="n">
        <v>2.03</v>
      </c>
      <c r="M11" s="663" t="n">
        <v>0.979</v>
      </c>
    </row>
    <row r="12" customFormat="false" ht="18.75" hidden="false" customHeight="false" outlineLevel="0" collapsed="false">
      <c r="B12" s="665" t="n">
        <v>0.14</v>
      </c>
      <c r="C12" s="666" t="n">
        <f aca="false">0.5+0.5*ERF(B12/SQRT(2))</f>
        <v>0.555670004805907</v>
      </c>
      <c r="D12" s="667" t="n">
        <v>1.035</v>
      </c>
      <c r="E12" s="667" t="n">
        <v>0.85</v>
      </c>
      <c r="F12" s="663" t="n">
        <v>1.285</v>
      </c>
      <c r="G12" s="663" t="n">
        <v>0.901</v>
      </c>
      <c r="H12" s="663" t="n">
        <v>1.535</v>
      </c>
      <c r="I12" s="663" t="n">
        <v>0.938</v>
      </c>
      <c r="J12" s="663" t="n">
        <v>1.785</v>
      </c>
      <c r="K12" s="663" t="n">
        <v>0.963</v>
      </c>
      <c r="L12" s="663" t="n">
        <v>2.035</v>
      </c>
      <c r="M12" s="663" t="n">
        <v>0.979</v>
      </c>
    </row>
    <row r="13" customFormat="false" ht="18.75" hidden="false" customHeight="false" outlineLevel="0" collapsed="false">
      <c r="B13" s="661" t="n">
        <v>0.16</v>
      </c>
      <c r="C13" s="666" t="n">
        <f aca="false">0.5+0.5*ERF(B13/SQRT(2))</f>
        <v>0.563559462891433</v>
      </c>
      <c r="D13" s="663" t="n">
        <v>1.04</v>
      </c>
      <c r="E13" s="663" t="n">
        <v>0.851</v>
      </c>
      <c r="F13" s="663" t="n">
        <v>1.29</v>
      </c>
      <c r="G13" s="663" t="n">
        <v>0.901</v>
      </c>
      <c r="H13" s="663" t="n">
        <v>1.54</v>
      </c>
      <c r="I13" s="663" t="n">
        <v>0.938</v>
      </c>
      <c r="J13" s="663" t="n">
        <v>1.79</v>
      </c>
      <c r="K13" s="663" t="n">
        <v>0.963</v>
      </c>
      <c r="L13" s="663" t="n">
        <v>2.04</v>
      </c>
      <c r="M13" s="663" t="n">
        <v>0.979</v>
      </c>
    </row>
    <row r="14" customFormat="false" ht="18.75" hidden="false" customHeight="false" outlineLevel="0" collapsed="false">
      <c r="B14" s="665" t="n">
        <v>0.18</v>
      </c>
      <c r="C14" s="666" t="n">
        <f aca="false">0.5+0.5*ERF(B14/SQRT(2))</f>
        <v>0.571423715900901</v>
      </c>
      <c r="D14" s="663" t="n">
        <v>1.045</v>
      </c>
      <c r="E14" s="663" t="n">
        <v>0.852</v>
      </c>
      <c r="F14" s="663" t="n">
        <v>1.295</v>
      </c>
      <c r="G14" s="663" t="n">
        <v>0.902</v>
      </c>
      <c r="H14" s="663" t="n">
        <v>1.545</v>
      </c>
      <c r="I14" s="663" t="n">
        <v>0.939</v>
      </c>
      <c r="J14" s="663" t="n">
        <v>1.795</v>
      </c>
      <c r="K14" s="663" t="n">
        <v>0.964</v>
      </c>
      <c r="L14" s="663" t="n">
        <v>2.045</v>
      </c>
      <c r="M14" s="663" t="n">
        <v>0.98</v>
      </c>
    </row>
    <row r="15" customFormat="false" ht="18.75" hidden="false" customHeight="false" outlineLevel="0" collapsed="false">
      <c r="B15" s="661" t="n">
        <v>0.2</v>
      </c>
      <c r="C15" s="666" t="n">
        <f aca="false">0.5+0.5*ERF(B15/SQRT(2))</f>
        <v>0.579259709439103</v>
      </c>
      <c r="D15" s="663" t="n">
        <v>1.05</v>
      </c>
      <c r="E15" s="663" t="n">
        <v>0.853</v>
      </c>
      <c r="F15" s="663" t="n">
        <v>1.3</v>
      </c>
      <c r="G15" s="663" t="n">
        <v>0.903</v>
      </c>
      <c r="H15" s="663" t="n">
        <v>1.55</v>
      </c>
      <c r="I15" s="663" t="n">
        <v>0.939</v>
      </c>
      <c r="J15" s="663" t="n">
        <v>1.8</v>
      </c>
      <c r="K15" s="663" t="n">
        <v>0.964</v>
      </c>
      <c r="L15" s="663" t="n">
        <v>2.05</v>
      </c>
      <c r="M15" s="663" t="n">
        <v>0.98</v>
      </c>
    </row>
    <row r="16" customFormat="false" ht="18.75" hidden="false" customHeight="false" outlineLevel="0" collapsed="false">
      <c r="B16" s="665" t="n">
        <v>0.22</v>
      </c>
      <c r="C16" s="666" t="n">
        <f aca="false">0.5+0.5*ERF(B16/SQRT(2))</f>
        <v>0.587064422648215</v>
      </c>
      <c r="D16" s="663" t="n">
        <v>1.055</v>
      </c>
      <c r="E16" s="663" t="n">
        <v>0.854</v>
      </c>
      <c r="F16" s="663" t="n">
        <v>1.305</v>
      </c>
      <c r="G16" s="663" t="n">
        <v>0.904</v>
      </c>
      <c r="H16" s="663" t="n">
        <v>1.555</v>
      </c>
      <c r="I16" s="663" t="n">
        <v>0.94</v>
      </c>
      <c r="J16" s="663" t="n">
        <v>1.805</v>
      </c>
      <c r="K16" s="663" t="n">
        <v>0.964</v>
      </c>
      <c r="L16" s="663" t="n">
        <v>2.055</v>
      </c>
      <c r="M16" s="663" t="n">
        <v>0.98</v>
      </c>
    </row>
    <row r="17" customFormat="false" ht="18.75" hidden="false" customHeight="false" outlineLevel="0" collapsed="false">
      <c r="B17" s="661" t="n">
        <v>0.24</v>
      </c>
      <c r="C17" s="666" t="n">
        <f aca="false">0.5+0.5*ERF(B17/SQRT(2))</f>
        <v>0.594834871697796</v>
      </c>
      <c r="D17" s="663" t="n">
        <v>1.06</v>
      </c>
      <c r="E17" s="663" t="n">
        <v>0.855</v>
      </c>
      <c r="F17" s="663" t="n">
        <v>1.31</v>
      </c>
      <c r="G17" s="663" t="n">
        <v>0.905</v>
      </c>
      <c r="H17" s="663" t="n">
        <v>1.56</v>
      </c>
      <c r="I17" s="663" t="n">
        <v>0.941</v>
      </c>
      <c r="J17" s="663" t="n">
        <v>1.81</v>
      </c>
      <c r="K17" s="663" t="n">
        <v>0.965</v>
      </c>
      <c r="L17" s="663" t="n">
        <v>2.06</v>
      </c>
      <c r="M17" s="663" t="n">
        <v>0.98</v>
      </c>
    </row>
    <row r="18" customFormat="false" ht="18.75" hidden="false" customHeight="false" outlineLevel="0" collapsed="false">
      <c r="B18" s="665" t="n">
        <v>0.26</v>
      </c>
      <c r="C18" s="666" t="n">
        <f aca="false">0.5+0.5*ERF(B18/SQRT(2))</f>
        <v>0.60256811320176</v>
      </c>
      <c r="D18" s="663" t="n">
        <v>1.065</v>
      </c>
      <c r="E18" s="663" t="n">
        <v>0.857</v>
      </c>
      <c r="F18" s="663" t="n">
        <v>1.315</v>
      </c>
      <c r="G18" s="663" t="n">
        <v>0.906</v>
      </c>
      <c r="H18" s="663" t="n">
        <v>1.565</v>
      </c>
      <c r="I18" s="663" t="n">
        <v>0.941</v>
      </c>
      <c r="J18" s="663" t="n">
        <v>1.815</v>
      </c>
      <c r="K18" s="663" t="n">
        <v>0.965</v>
      </c>
      <c r="L18" s="663" t="n">
        <v>2.065</v>
      </c>
      <c r="M18" s="663" t="n">
        <v>0.981</v>
      </c>
    </row>
    <row r="19" customFormat="false" ht="18.75" hidden="false" customHeight="false" outlineLevel="0" collapsed="false">
      <c r="B19" s="661" t="n">
        <v>0.28</v>
      </c>
      <c r="C19" s="666" t="n">
        <f aca="false">0.5+0.5*ERF(B19/SQRT(2))</f>
        <v>0.610261247555797</v>
      </c>
      <c r="D19" s="663" t="n">
        <v>1.07</v>
      </c>
      <c r="E19" s="663" t="n">
        <v>0.858</v>
      </c>
      <c r="F19" s="663" t="n">
        <v>1.32</v>
      </c>
      <c r="G19" s="663" t="n">
        <v>0.907</v>
      </c>
      <c r="H19" s="663" t="n">
        <v>1.57</v>
      </c>
      <c r="I19" s="663" t="n">
        <v>0.942</v>
      </c>
      <c r="J19" s="663" t="n">
        <v>1.82</v>
      </c>
      <c r="K19" s="663" t="n">
        <v>0.966</v>
      </c>
      <c r="L19" s="663" t="n">
        <v>2.07</v>
      </c>
      <c r="M19" s="663" t="n">
        <v>0.981</v>
      </c>
    </row>
    <row r="20" customFormat="false" ht="18.75" hidden="false" customHeight="false" outlineLevel="0" collapsed="false">
      <c r="B20" s="665" t="n">
        <v>0.3</v>
      </c>
      <c r="C20" s="666" t="n">
        <f aca="false">0.5+0.5*ERF(B20/SQRT(2))</f>
        <v>0.617911422188953</v>
      </c>
      <c r="D20" s="663" t="n">
        <v>1.075</v>
      </c>
      <c r="E20" s="663" t="n">
        <v>0.859</v>
      </c>
      <c r="F20" s="663" t="n">
        <v>1.325</v>
      </c>
      <c r="G20" s="663" t="n">
        <v>0.907</v>
      </c>
      <c r="H20" s="663" t="n">
        <v>1.575</v>
      </c>
      <c r="I20" s="663" t="n">
        <v>0.942</v>
      </c>
      <c r="J20" s="663" t="n">
        <v>1.825</v>
      </c>
      <c r="K20" s="663" t="n">
        <v>0.966</v>
      </c>
      <c r="L20" s="663" t="n">
        <v>2.075</v>
      </c>
      <c r="M20" s="663" t="n">
        <v>0.981</v>
      </c>
    </row>
    <row r="21" customFormat="false" ht="18.75" hidden="false" customHeight="false" outlineLevel="0" collapsed="false">
      <c r="B21" s="661" t="n">
        <v>0.32</v>
      </c>
      <c r="C21" s="666" t="n">
        <f aca="false">0.5+0.5*ERF(B21/SQRT(2))</f>
        <v>0.62551583472332</v>
      </c>
      <c r="D21" s="663" t="n">
        <v>1.08</v>
      </c>
      <c r="E21" s="663" t="n">
        <v>0.86</v>
      </c>
      <c r="F21" s="663" t="n">
        <v>1.33</v>
      </c>
      <c r="G21" s="663" t="n">
        <v>0.908</v>
      </c>
      <c r="H21" s="663" t="n">
        <v>1.58</v>
      </c>
      <c r="I21" s="663" t="n">
        <v>0.943</v>
      </c>
      <c r="J21" s="663" t="n">
        <v>1.83</v>
      </c>
      <c r="K21" s="663" t="n">
        <v>0.966</v>
      </c>
      <c r="L21" s="663" t="n">
        <v>2.08</v>
      </c>
      <c r="M21" s="663" t="n">
        <v>0.981</v>
      </c>
    </row>
    <row r="22" customFormat="false" ht="18.75" hidden="false" customHeight="false" outlineLevel="0" collapsed="false">
      <c r="B22" s="665" t="n">
        <v>0.34</v>
      </c>
      <c r="C22" s="666" t="n">
        <f aca="false">0.5+0.5*ERF(B22/SQRT(2))</f>
        <v>0.633071736036028</v>
      </c>
      <c r="D22" s="663" t="n">
        <v>1.085</v>
      </c>
      <c r="E22" s="663" t="n">
        <v>0.861</v>
      </c>
      <c r="F22" s="663" t="n">
        <v>1.335</v>
      </c>
      <c r="G22" s="663" t="n">
        <v>0.909</v>
      </c>
      <c r="H22" s="663" t="n">
        <v>1.585</v>
      </c>
      <c r="I22" s="663" t="n">
        <v>0.944</v>
      </c>
      <c r="J22" s="663" t="n">
        <v>1.835</v>
      </c>
      <c r="K22" s="663" t="n">
        <v>0.967</v>
      </c>
      <c r="L22" s="663" t="n">
        <v>2.085</v>
      </c>
      <c r="M22" s="663" t="n">
        <v>0.981</v>
      </c>
    </row>
    <row r="23" customFormat="false" ht="18.75" hidden="false" customHeight="false" outlineLevel="0" collapsed="false">
      <c r="B23" s="661" t="n">
        <v>0.36</v>
      </c>
      <c r="C23" s="666" t="n">
        <f aca="false">0.5+0.5*ERF(B23/SQRT(2))</f>
        <v>0.640576433217991</v>
      </c>
      <c r="D23" s="663" t="n">
        <v>1.09</v>
      </c>
      <c r="E23" s="663" t="n">
        <v>0.862</v>
      </c>
      <c r="F23" s="663" t="n">
        <v>1.34</v>
      </c>
      <c r="G23" s="663" t="n">
        <v>0.91</v>
      </c>
      <c r="H23" s="663" t="n">
        <v>1.59</v>
      </c>
      <c r="I23" s="663" t="n">
        <v>0.944</v>
      </c>
      <c r="J23" s="663" t="n">
        <v>1.84</v>
      </c>
      <c r="K23" s="663" t="n">
        <v>0.967</v>
      </c>
      <c r="L23" s="663" t="n">
        <v>2.09</v>
      </c>
      <c r="M23" s="663" t="n">
        <v>0.982</v>
      </c>
    </row>
    <row r="24" customFormat="false" ht="18.75" hidden="false" customHeight="false" outlineLevel="0" collapsed="false">
      <c r="B24" s="665" t="n">
        <v>0.38</v>
      </c>
      <c r="C24" s="666" t="n">
        <f aca="false">0.5+0.5*ERF(B24/SQRT(2))</f>
        <v>0.648027292424163</v>
      </c>
      <c r="D24" s="668" t="n">
        <v>1.095</v>
      </c>
      <c r="E24" s="668" t="n">
        <v>0.863</v>
      </c>
      <c r="F24" s="668" t="n">
        <v>1.345</v>
      </c>
      <c r="G24" s="668" t="n">
        <v>0.911</v>
      </c>
      <c r="H24" s="668" t="n">
        <v>1.595</v>
      </c>
      <c r="I24" s="668" t="n">
        <v>0.945</v>
      </c>
      <c r="J24" s="668" t="n">
        <v>1.845</v>
      </c>
      <c r="K24" s="668" t="n">
        <v>0.967</v>
      </c>
      <c r="L24" s="668" t="n">
        <v>2.095</v>
      </c>
      <c r="M24" s="668" t="n">
        <v>0.982</v>
      </c>
    </row>
    <row r="25" customFormat="false" ht="18.75" hidden="false" customHeight="false" outlineLevel="0" collapsed="false">
      <c r="B25" s="661" t="n">
        <v>0.4</v>
      </c>
      <c r="C25" s="666" t="n">
        <f aca="false">0.5+0.5*ERF(B25/SQRT(2))</f>
        <v>0.655421741610324</v>
      </c>
      <c r="D25" s="669" t="n">
        <v>1.1</v>
      </c>
      <c r="E25" s="669" t="n">
        <v>0.864</v>
      </c>
      <c r="F25" s="669" t="n">
        <v>1.35</v>
      </c>
      <c r="G25" s="669" t="n">
        <v>0.911</v>
      </c>
      <c r="H25" s="669" t="n">
        <v>1.6</v>
      </c>
      <c r="I25" s="669" t="n">
        <v>0.945</v>
      </c>
      <c r="J25" s="669" t="n">
        <v>1.85</v>
      </c>
      <c r="K25" s="669" t="n">
        <v>0.968</v>
      </c>
      <c r="L25" s="669" t="n">
        <v>2.1</v>
      </c>
      <c r="M25" s="669" t="n">
        <v>0.982</v>
      </c>
    </row>
    <row r="26" customFormat="false" ht="18.75" hidden="false" customHeight="false" outlineLevel="0" collapsed="false">
      <c r="B26" s="665" t="n">
        <v>0.42</v>
      </c>
      <c r="C26" s="666" t="n">
        <f aca="false">0.5+0.5*ERF(B26/SQRT(2))</f>
        <v>0.66275727315175</v>
      </c>
      <c r="D26" s="663" t="n">
        <v>1.105</v>
      </c>
      <c r="E26" s="663" t="n">
        <v>0.865</v>
      </c>
      <c r="F26" s="663" t="n">
        <v>1.355</v>
      </c>
      <c r="G26" s="663" t="n">
        <v>0.912</v>
      </c>
      <c r="H26" s="663" t="n">
        <v>1.605</v>
      </c>
      <c r="I26" s="663" t="n">
        <v>0.946</v>
      </c>
      <c r="J26" s="663" t="n">
        <v>1.855</v>
      </c>
      <c r="K26" s="663" t="n">
        <v>0.968</v>
      </c>
      <c r="L26" s="663" t="n">
        <v>2.105</v>
      </c>
      <c r="M26" s="663" t="n">
        <v>0.982</v>
      </c>
    </row>
    <row r="27" customFormat="false" ht="18.75" hidden="false" customHeight="false" outlineLevel="0" collapsed="false">
      <c r="B27" s="661" t="n">
        <v>0.44</v>
      </c>
      <c r="C27" s="666" t="n">
        <f aca="false">0.5+0.5*ERF(B27/SQRT(2))</f>
        <v>0.670031446339406</v>
      </c>
      <c r="D27" s="663" t="n">
        <v>1.11</v>
      </c>
      <c r="E27" s="663" t="n">
        <v>0.867</v>
      </c>
      <c r="F27" s="663" t="n">
        <v>1.36</v>
      </c>
      <c r="G27" s="663" t="n">
        <v>0.913</v>
      </c>
      <c r="H27" s="663" t="n">
        <v>1.61</v>
      </c>
      <c r="I27" s="663" t="n">
        <v>0.946</v>
      </c>
      <c r="J27" s="663" t="n">
        <v>1.86</v>
      </c>
      <c r="K27" s="663" t="n">
        <v>0.969</v>
      </c>
      <c r="L27" s="663" t="n">
        <v>2.11</v>
      </c>
      <c r="M27" s="663" t="n">
        <v>0.983</v>
      </c>
    </row>
    <row r="28" customFormat="false" ht="18.75" hidden="false" customHeight="false" outlineLevel="0" collapsed="false">
      <c r="B28" s="665" t="n">
        <v>0.46</v>
      </c>
      <c r="C28" s="666" t="n">
        <f aca="false">0.5+0.5*ERF(B28/SQRT(2))</f>
        <v>0.677241889749652</v>
      </c>
      <c r="D28" s="663" t="n">
        <v>1.115</v>
      </c>
      <c r="E28" s="663" t="n">
        <v>0.868</v>
      </c>
      <c r="F28" s="663" t="n">
        <v>1.365</v>
      </c>
      <c r="G28" s="663" t="n">
        <v>0.914</v>
      </c>
      <c r="H28" s="663" t="n">
        <v>1.615</v>
      </c>
      <c r="I28" s="663" t="n">
        <v>0.947</v>
      </c>
      <c r="J28" s="663" t="n">
        <v>1.865</v>
      </c>
      <c r="K28" s="663" t="n">
        <v>0.969</v>
      </c>
      <c r="L28" s="663" t="n">
        <v>2.115</v>
      </c>
      <c r="M28" s="663" t="n">
        <v>0.983</v>
      </c>
    </row>
    <row r="29" customFormat="false" ht="18.75" hidden="false" customHeight="false" outlineLevel="0" collapsed="false">
      <c r="B29" s="661" t="n">
        <v>0.48</v>
      </c>
      <c r="C29" s="666" t="n">
        <f aca="false">0.5+0.5*ERF(B29/SQRT(2))</f>
        <v>0.684386303483777</v>
      </c>
      <c r="D29" s="663" t="n">
        <v>1.12</v>
      </c>
      <c r="E29" s="663" t="n">
        <v>0.869</v>
      </c>
      <c r="F29" s="663" t="n">
        <v>1.37</v>
      </c>
      <c r="G29" s="663" t="n">
        <v>0.915</v>
      </c>
      <c r="H29" s="663" t="n">
        <v>1.62</v>
      </c>
      <c r="I29" s="663" t="n">
        <v>0.947</v>
      </c>
      <c r="J29" s="663" t="n">
        <v>1.87</v>
      </c>
      <c r="K29" s="663" t="n">
        <v>0.969</v>
      </c>
      <c r="L29" s="663" t="n">
        <v>2.12</v>
      </c>
      <c r="M29" s="663" t="n">
        <v>0.983</v>
      </c>
    </row>
    <row r="30" customFormat="false" ht="18.75" hidden="false" customHeight="false" outlineLevel="0" collapsed="false">
      <c r="B30" s="665" t="n">
        <v>0.5</v>
      </c>
      <c r="C30" s="666" t="n">
        <f aca="false">0.5+0.5*ERF(B30/SQRT(2))</f>
        <v>0.691462461274013</v>
      </c>
      <c r="D30" s="663" t="n">
        <v>1.125</v>
      </c>
      <c r="E30" s="663" t="n">
        <v>0.87</v>
      </c>
      <c r="F30" s="663" t="n">
        <v>1.375</v>
      </c>
      <c r="G30" s="663" t="n">
        <v>0.915</v>
      </c>
      <c r="H30" s="663" t="n">
        <v>1.625</v>
      </c>
      <c r="I30" s="663" t="n">
        <v>0.948</v>
      </c>
      <c r="J30" s="670" t="n">
        <v>1.875</v>
      </c>
      <c r="K30" s="670" t="n">
        <v>0.97</v>
      </c>
      <c r="L30" s="663" t="n">
        <v>2.125</v>
      </c>
      <c r="M30" s="663" t="n">
        <v>0.983</v>
      </c>
    </row>
    <row r="31" customFormat="false" ht="18.75" hidden="false" customHeight="false" outlineLevel="0" collapsed="false">
      <c r="B31" s="661" t="n">
        <v>0.52</v>
      </c>
      <c r="C31" s="666" t="n">
        <f aca="false">0.5+0.5*ERF(B31/SQRT(2))</f>
        <v>0.698468212453034</v>
      </c>
      <c r="D31" s="669" t="n">
        <v>1.13</v>
      </c>
      <c r="E31" s="669" t="n">
        <v>0.871</v>
      </c>
      <c r="F31" s="669" t="n">
        <v>1.38</v>
      </c>
      <c r="G31" s="669" t="n">
        <v>0.916</v>
      </c>
      <c r="H31" s="669" t="n">
        <v>1.63</v>
      </c>
      <c r="I31" s="669" t="n">
        <v>0.948</v>
      </c>
      <c r="J31" s="669" t="n">
        <v>1.88</v>
      </c>
      <c r="K31" s="669" t="n">
        <v>0.97</v>
      </c>
      <c r="L31" s="669" t="n">
        <v>2.13</v>
      </c>
      <c r="M31" s="669" t="n">
        <v>0.983</v>
      </c>
    </row>
    <row r="32" customFormat="false" ht="18.75" hidden="false" customHeight="false" outlineLevel="0" collapsed="false">
      <c r="B32" s="665" t="n">
        <v>0.54</v>
      </c>
      <c r="C32" s="666" t="n">
        <f aca="false">0.5+0.5*ERF(B32/SQRT(2))</f>
        <v>0.705401483784302</v>
      </c>
      <c r="D32" s="663" t="n">
        <v>1.135</v>
      </c>
      <c r="E32" s="663" t="n">
        <v>0.872</v>
      </c>
      <c r="F32" s="663" t="n">
        <v>1.385</v>
      </c>
      <c r="G32" s="663" t="n">
        <v>0.917</v>
      </c>
      <c r="H32" s="663" t="n">
        <v>1.635</v>
      </c>
      <c r="I32" s="663" t="n">
        <v>0.949</v>
      </c>
      <c r="J32" s="663" t="n">
        <v>1.885</v>
      </c>
      <c r="K32" s="663" t="n">
        <v>0.97</v>
      </c>
      <c r="L32" s="663" t="n">
        <v>2.135</v>
      </c>
      <c r="M32" s="663" t="n">
        <v>0.984</v>
      </c>
    </row>
    <row r="33" customFormat="false" ht="18.75" hidden="false" customHeight="false" outlineLevel="0" collapsed="false">
      <c r="B33" s="661" t="n">
        <v>0.56</v>
      </c>
      <c r="C33" s="666" t="n">
        <f aca="false">0.5+0.5*ERF(B33/SQRT(2))</f>
        <v>0.712260281150973</v>
      </c>
      <c r="D33" s="663" t="n">
        <v>1.14</v>
      </c>
      <c r="E33" s="663" t="n">
        <v>0.873</v>
      </c>
      <c r="F33" s="663" t="n">
        <v>1.39</v>
      </c>
      <c r="G33" s="663" t="n">
        <v>0.918</v>
      </c>
      <c r="H33" s="663" t="n">
        <v>1.64</v>
      </c>
      <c r="I33" s="663" t="n">
        <v>0.949</v>
      </c>
      <c r="J33" s="663" t="n">
        <v>1.89</v>
      </c>
      <c r="K33" s="663" t="n">
        <v>0.971</v>
      </c>
      <c r="L33" s="663" t="n">
        <v>2.14</v>
      </c>
      <c r="M33" s="663" t="n">
        <v>0.984</v>
      </c>
    </row>
    <row r="34" customFormat="false" ht="18.75" hidden="false" customHeight="false" outlineLevel="0" collapsed="false">
      <c r="B34" s="665" t="n">
        <v>0.58</v>
      </c>
      <c r="C34" s="666" t="n">
        <f aca="false">0.5+0.5*ERF(B34/SQRT(2))</f>
        <v>0.719042691101436</v>
      </c>
      <c r="D34" s="663" t="n">
        <v>1.145</v>
      </c>
      <c r="E34" s="663" t="n">
        <v>0.874</v>
      </c>
      <c r="F34" s="663" t="n">
        <v>1.395</v>
      </c>
      <c r="G34" s="663" t="n">
        <v>0.918</v>
      </c>
      <c r="H34" s="670" t="n">
        <v>1.645</v>
      </c>
      <c r="I34" s="670" t="n">
        <v>0.95</v>
      </c>
      <c r="J34" s="663" t="n">
        <v>1.895</v>
      </c>
      <c r="K34" s="663" t="n">
        <v>0.971</v>
      </c>
      <c r="L34" s="663" t="n">
        <v>2.145</v>
      </c>
      <c r="M34" s="663" t="n">
        <v>0.984</v>
      </c>
    </row>
    <row r="35" customFormat="false" ht="18.75" hidden="false" customHeight="false" outlineLevel="0" collapsed="false">
      <c r="B35" s="661" t="n">
        <v>0.6</v>
      </c>
      <c r="C35" s="666" t="n">
        <f aca="false">0.5+0.5*ERF(B35/SQRT(2))</f>
        <v>0.725746882249926</v>
      </c>
      <c r="D35" s="663" t="n">
        <v>1.15</v>
      </c>
      <c r="E35" s="663" t="n">
        <v>0.875</v>
      </c>
      <c r="F35" s="663" t="n">
        <v>1.4</v>
      </c>
      <c r="G35" s="663" t="n">
        <v>0.919</v>
      </c>
      <c r="H35" s="663" t="n">
        <v>1.65</v>
      </c>
      <c r="I35" s="663" t="n">
        <v>0.951</v>
      </c>
      <c r="J35" s="663" t="n">
        <v>1.9</v>
      </c>
      <c r="K35" s="663" t="n">
        <v>0.971</v>
      </c>
      <c r="L35" s="663" t="n">
        <v>2.15</v>
      </c>
      <c r="M35" s="663" t="n">
        <v>0.984</v>
      </c>
    </row>
    <row r="36" customFormat="false" ht="18.75" hidden="false" customHeight="false" outlineLevel="0" collapsed="false">
      <c r="B36" s="665" t="n">
        <v>0.62</v>
      </c>
      <c r="C36" s="666" t="n">
        <f aca="false">0.5+0.5*ERF(B36/SQRT(2))</f>
        <v>0.732371106531017</v>
      </c>
      <c r="D36" s="663" t="n">
        <v>1.155</v>
      </c>
      <c r="E36" s="663" t="n">
        <v>0.876</v>
      </c>
      <c r="F36" s="663" t="n">
        <v>1.405</v>
      </c>
      <c r="G36" s="663" t="n">
        <v>0.92</v>
      </c>
      <c r="H36" s="663" t="n">
        <v>1.655</v>
      </c>
      <c r="I36" s="663" t="n">
        <v>0.951</v>
      </c>
      <c r="J36" s="663" t="n">
        <v>1.905</v>
      </c>
      <c r="K36" s="663" t="n">
        <v>0.972</v>
      </c>
      <c r="L36" s="663" t="n">
        <v>2.155</v>
      </c>
      <c r="M36" s="663" t="n">
        <v>0.984</v>
      </c>
    </row>
    <row r="37" customFormat="false" ht="18.75" hidden="false" customHeight="false" outlineLevel="0" collapsed="false">
      <c r="B37" s="661" t="n">
        <v>0.64</v>
      </c>
      <c r="C37" s="666" t="n">
        <f aca="false">0.5+0.5*ERF(B37/SQRT(2))</f>
        <v>0.738913700307138</v>
      </c>
      <c r="D37" s="663" t="n">
        <v>1.16</v>
      </c>
      <c r="E37" s="663" t="n">
        <v>0.877</v>
      </c>
      <c r="F37" s="663" t="n">
        <v>1.41</v>
      </c>
      <c r="G37" s="663" t="n">
        <v>0.921</v>
      </c>
      <c r="H37" s="663" t="n">
        <v>1.66</v>
      </c>
      <c r="I37" s="663" t="n">
        <v>0.952</v>
      </c>
      <c r="J37" s="663" t="n">
        <v>1.91</v>
      </c>
      <c r="K37" s="663" t="n">
        <v>0.972</v>
      </c>
      <c r="L37" s="663" t="n">
        <v>2.16</v>
      </c>
      <c r="M37" s="663" t="n">
        <v>0.985</v>
      </c>
    </row>
    <row r="38" customFormat="false" ht="18.75" hidden="false" customHeight="false" outlineLevel="0" collapsed="false">
      <c r="B38" s="665" t="n">
        <v>0.66</v>
      </c>
      <c r="C38" s="666" t="n">
        <f aca="false">0.5+0.5*ERF(B38/SQRT(2))</f>
        <v>0.745373085328664</v>
      </c>
      <c r="D38" s="663" t="n">
        <v>1.165</v>
      </c>
      <c r="E38" s="663" t="n">
        <v>0.878</v>
      </c>
      <c r="F38" s="663" t="n">
        <v>1.415</v>
      </c>
      <c r="G38" s="663" t="n">
        <v>0.921</v>
      </c>
      <c r="H38" s="663" t="n">
        <v>1.665</v>
      </c>
      <c r="I38" s="663" t="n">
        <v>0.952</v>
      </c>
      <c r="J38" s="663" t="n">
        <v>1.915</v>
      </c>
      <c r="K38" s="663" t="n">
        <v>0.972</v>
      </c>
      <c r="L38" s="663" t="n">
        <v>2.165</v>
      </c>
      <c r="M38" s="663" t="n">
        <v>0.985</v>
      </c>
    </row>
    <row r="39" customFormat="false" ht="18.75" hidden="false" customHeight="false" outlineLevel="0" collapsed="false">
      <c r="B39" s="661" t="n">
        <v>0.68</v>
      </c>
      <c r="C39" s="666" t="n">
        <f aca="false">0.5+0.5*ERF(B39/SQRT(2))</f>
        <v>0.751747769546429</v>
      </c>
      <c r="D39" s="663" t="n">
        <v>1.17</v>
      </c>
      <c r="E39" s="663" t="n">
        <v>0.879</v>
      </c>
      <c r="F39" s="663" t="n">
        <v>1.42</v>
      </c>
      <c r="G39" s="663" t="n">
        <v>0.922</v>
      </c>
      <c r="H39" s="663" t="n">
        <v>1.67</v>
      </c>
      <c r="I39" s="663" t="n">
        <v>0.953</v>
      </c>
      <c r="J39" s="663" t="n">
        <v>1.92</v>
      </c>
      <c r="K39" s="663" t="n">
        <v>0.973</v>
      </c>
      <c r="L39" s="663" t="n">
        <v>2.17</v>
      </c>
      <c r="M39" s="663" t="n">
        <v>0.985</v>
      </c>
    </row>
    <row r="40" customFormat="false" ht="18.75" hidden="false" customHeight="false" outlineLevel="0" collapsed="false">
      <c r="B40" s="665" t="n">
        <v>0.7</v>
      </c>
      <c r="C40" s="666" t="n">
        <f aca="false">0.5+0.5*ERF(B40/SQRT(2))</f>
        <v>0.758036347776927</v>
      </c>
      <c r="D40" s="663" t="n">
        <v>1.175</v>
      </c>
      <c r="E40" s="663" t="n">
        <v>0.88</v>
      </c>
      <c r="F40" s="663" t="n">
        <v>1.425</v>
      </c>
      <c r="G40" s="663" t="n">
        <v>0.923</v>
      </c>
      <c r="H40" s="663" t="n">
        <v>1.675</v>
      </c>
      <c r="I40" s="663" t="n">
        <v>0.953</v>
      </c>
      <c r="J40" s="663" t="n">
        <v>1.925</v>
      </c>
      <c r="K40" s="663" t="n">
        <v>0.973</v>
      </c>
      <c r="L40" s="663" t="n">
        <v>2.175</v>
      </c>
      <c r="M40" s="663" t="n">
        <v>0.985</v>
      </c>
    </row>
    <row r="41" customFormat="false" ht="18.75" hidden="false" customHeight="false" outlineLevel="0" collapsed="false">
      <c r="B41" s="661" t="n">
        <v>0.72</v>
      </c>
      <c r="C41" s="666" t="n">
        <f aca="false">0.5+0.5*ERF(B41/SQRT(2))</f>
        <v>0.764237502220749</v>
      </c>
      <c r="D41" s="663" t="n">
        <v>1.18</v>
      </c>
      <c r="E41" s="663" t="n">
        <v>0.881</v>
      </c>
      <c r="F41" s="663" t="n">
        <v>1.43</v>
      </c>
      <c r="G41" s="663" t="n">
        <v>0.924</v>
      </c>
      <c r="H41" s="663" t="n">
        <v>1.68</v>
      </c>
      <c r="I41" s="663" t="n">
        <v>0.954</v>
      </c>
      <c r="J41" s="663" t="n">
        <v>1.93</v>
      </c>
      <c r="K41" s="663" t="n">
        <v>0.973</v>
      </c>
      <c r="L41" s="663" t="n">
        <v>2.18</v>
      </c>
      <c r="M41" s="663" t="n">
        <v>0.985</v>
      </c>
    </row>
    <row r="42" customFormat="false" ht="18.75" hidden="false" customHeight="false" outlineLevel="0" collapsed="false">
      <c r="B42" s="665" t="n">
        <v>0.74</v>
      </c>
      <c r="C42" s="666" t="n">
        <f aca="false">0.5+0.5*ERF(B42/SQRT(2))</f>
        <v>0.770350002835209</v>
      </c>
      <c r="D42" s="663" t="n">
        <v>1.185</v>
      </c>
      <c r="E42" s="663" t="n">
        <v>0.882</v>
      </c>
      <c r="F42" s="663" t="n">
        <v>1.435</v>
      </c>
      <c r="G42" s="663" t="n">
        <v>0.924</v>
      </c>
      <c r="H42" s="663" t="n">
        <v>1.685</v>
      </c>
      <c r="I42" s="663" t="n">
        <v>0.954</v>
      </c>
      <c r="J42" s="663" t="n">
        <v>1.935</v>
      </c>
      <c r="K42" s="663" t="n">
        <v>0.974</v>
      </c>
      <c r="L42" s="663" t="n">
        <v>2.185</v>
      </c>
      <c r="M42" s="663" t="n">
        <v>0.986</v>
      </c>
    </row>
    <row r="43" customFormat="false" ht="18.75" hidden="false" customHeight="false" outlineLevel="0" collapsed="false">
      <c r="B43" s="661" t="n">
        <v>0.76</v>
      </c>
      <c r="C43" s="666" t="n">
        <f aca="false">0.5+0.5*ERF(B43/SQRT(2))</f>
        <v>0.776372707562401</v>
      </c>
      <c r="D43" s="663" t="n">
        <v>1.19</v>
      </c>
      <c r="E43" s="663" t="n">
        <v>0.883</v>
      </c>
      <c r="F43" s="663" t="n">
        <v>1.44</v>
      </c>
      <c r="G43" s="663" t="n">
        <v>0.925</v>
      </c>
      <c r="H43" s="663" t="n">
        <v>1.69</v>
      </c>
      <c r="I43" s="663" t="n">
        <v>0.954</v>
      </c>
      <c r="J43" s="663" t="n">
        <v>1.94</v>
      </c>
      <c r="K43" s="663" t="n">
        <v>0.974</v>
      </c>
      <c r="L43" s="663" t="n">
        <v>2.19</v>
      </c>
      <c r="M43" s="663" t="n">
        <v>0.986</v>
      </c>
    </row>
    <row r="44" customFormat="false" ht="18.75" hidden="false" customHeight="false" outlineLevel="0" collapsed="false">
      <c r="B44" s="665" t="n">
        <v>0.78</v>
      </c>
      <c r="C44" s="666" t="n">
        <f aca="false">0.5+0.5*ERF(B44/SQRT(2))</f>
        <v>0.782304562414267</v>
      </c>
      <c r="D44" s="663" t="n">
        <v>1.195</v>
      </c>
      <c r="E44" s="663" t="n">
        <v>0.884</v>
      </c>
      <c r="F44" s="663" t="n">
        <v>1.445</v>
      </c>
      <c r="G44" s="663" t="n">
        <v>0.926</v>
      </c>
      <c r="H44" s="663" t="n">
        <v>1.695</v>
      </c>
      <c r="I44" s="663" t="n">
        <v>0.955</v>
      </c>
      <c r="J44" s="663" t="n">
        <v>1.945</v>
      </c>
      <c r="K44" s="663" t="n">
        <v>0.974</v>
      </c>
      <c r="L44" s="663" t="n">
        <v>2.195</v>
      </c>
      <c r="M44" s="663" t="n">
        <v>0.986</v>
      </c>
    </row>
    <row r="45" customFormat="false" ht="18.75" hidden="false" customHeight="false" outlineLevel="0" collapsed="false">
      <c r="B45" s="661" t="n">
        <v>0.8</v>
      </c>
      <c r="C45" s="666" t="n">
        <f aca="false">0.5+0.5*ERF(B45/SQRT(2))</f>
        <v>0.788144601416603</v>
      </c>
      <c r="D45" s="663" t="n">
        <v>1.2</v>
      </c>
      <c r="E45" s="663" t="n">
        <v>0.885</v>
      </c>
      <c r="F45" s="663" t="n">
        <v>1.45</v>
      </c>
      <c r="G45" s="663" t="n">
        <v>0.926</v>
      </c>
      <c r="H45" s="663" t="n">
        <v>1.7</v>
      </c>
      <c r="I45" s="663" t="n">
        <v>0.955</v>
      </c>
      <c r="J45" s="663" t="n">
        <v>1.95</v>
      </c>
      <c r="K45" s="663" t="n">
        <v>0.974</v>
      </c>
      <c r="L45" s="663" t="n">
        <v>2.2</v>
      </c>
      <c r="M45" s="663" t="n">
        <v>0.986</v>
      </c>
    </row>
    <row r="46" customFormat="false" ht="18.75" hidden="false" customHeight="false" outlineLevel="0" collapsed="false">
      <c r="B46" s="665" t="n">
        <v>0.82</v>
      </c>
      <c r="C46" s="666" t="n">
        <f aca="false">0.5+0.5*ERF(B46/SQRT(2))</f>
        <v>0.793891946414187</v>
      </c>
      <c r="D46" s="663" t="n">
        <v>1.205</v>
      </c>
      <c r="E46" s="663" t="n">
        <v>0.886</v>
      </c>
      <c r="F46" s="663" t="n">
        <v>1.455</v>
      </c>
      <c r="G46" s="663" t="n">
        <v>0.927</v>
      </c>
      <c r="H46" s="663" t="n">
        <v>1.705</v>
      </c>
      <c r="I46" s="663" t="n">
        <v>0.956</v>
      </c>
      <c r="J46" s="663" t="n">
        <v>1.955</v>
      </c>
      <c r="K46" s="663" t="n">
        <v>0.975</v>
      </c>
      <c r="L46" s="663" t="n">
        <v>2.205</v>
      </c>
      <c r="M46" s="663" t="n">
        <v>0.986</v>
      </c>
    </row>
    <row r="47" customFormat="false" ht="18.75" hidden="false" customHeight="false" outlineLevel="0" collapsed="false">
      <c r="B47" s="661" t="n">
        <v>0.84</v>
      </c>
      <c r="C47" s="666" t="n">
        <f aca="false">0.5+0.5*ERF(B47/SQRT(2))</f>
        <v>0.79954580673955</v>
      </c>
      <c r="D47" s="663" t="n">
        <v>1.21</v>
      </c>
      <c r="E47" s="663" t="n">
        <v>0.887</v>
      </c>
      <c r="F47" s="663" t="n">
        <v>1.46</v>
      </c>
      <c r="G47" s="663" t="n">
        <v>0.928</v>
      </c>
      <c r="H47" s="663" t="n">
        <v>1.71</v>
      </c>
      <c r="I47" s="663" t="n">
        <v>0.956</v>
      </c>
      <c r="J47" s="663" t="n">
        <v>1.96</v>
      </c>
      <c r="K47" s="663" t="n">
        <v>0.975</v>
      </c>
      <c r="L47" s="663" t="n">
        <v>2.21</v>
      </c>
      <c r="M47" s="663" t="n">
        <v>0.986</v>
      </c>
    </row>
    <row r="48" customFormat="false" ht="18.75" hidden="false" customHeight="false" outlineLevel="0" collapsed="false">
      <c r="B48" s="665" t="n">
        <v>0.86</v>
      </c>
      <c r="C48" s="666" t="n">
        <f aca="false">0.5+0.5*ERF(B48/SQRT(2))</f>
        <v>0.805105478748192</v>
      </c>
      <c r="D48" s="663" t="n">
        <v>1.215</v>
      </c>
      <c r="E48" s="663" t="n">
        <v>0.888</v>
      </c>
      <c r="F48" s="663" t="n">
        <v>1.465</v>
      </c>
      <c r="G48" s="663" t="n">
        <v>0.929</v>
      </c>
      <c r="H48" s="663" t="n">
        <v>1.715</v>
      </c>
      <c r="I48" s="663" t="n">
        <v>0.957</v>
      </c>
      <c r="J48" s="663" t="n">
        <v>1.965</v>
      </c>
      <c r="K48" s="663" t="n">
        <v>0.975</v>
      </c>
      <c r="L48" s="663" t="n">
        <v>2.215</v>
      </c>
      <c r="M48" s="663" t="n">
        <v>0.987</v>
      </c>
    </row>
    <row r="49" customFormat="false" ht="18.75" hidden="false" customHeight="false" outlineLevel="0" collapsed="false">
      <c r="B49" s="661" t="n">
        <v>0.88</v>
      </c>
      <c r="C49" s="666" t="n">
        <f aca="false">0.5+0.5*ERF(B49/SQRT(2))</f>
        <v>0.810570345223288</v>
      </c>
      <c r="D49" s="663" t="n">
        <v>1.22</v>
      </c>
      <c r="E49" s="663" t="n">
        <v>0.889</v>
      </c>
      <c r="F49" s="663" t="n">
        <v>1.47</v>
      </c>
      <c r="G49" s="663" t="n">
        <v>0.929</v>
      </c>
      <c r="H49" s="663" t="n">
        <v>1.72</v>
      </c>
      <c r="I49" s="663" t="n">
        <v>0.957</v>
      </c>
      <c r="J49" s="663" t="n">
        <v>1.97</v>
      </c>
      <c r="K49" s="663" t="n">
        <v>0.976</v>
      </c>
      <c r="L49" s="663" t="n">
        <v>2.22</v>
      </c>
      <c r="M49" s="663" t="n">
        <v>0.987</v>
      </c>
    </row>
    <row r="50" customFormat="false" ht="18.75" hidden="false" customHeight="false" outlineLevel="0" collapsed="false">
      <c r="B50" s="665" t="n">
        <v>0.9</v>
      </c>
      <c r="C50" s="666" t="n">
        <f aca="false">0.5+0.5*ERF(B50/SQRT(2))</f>
        <v>0.81593987465324</v>
      </c>
      <c r="D50" s="663" t="n">
        <v>1.225</v>
      </c>
      <c r="E50" s="663" t="n">
        <v>0.89</v>
      </c>
      <c r="F50" s="663" t="n">
        <v>1.475</v>
      </c>
      <c r="G50" s="663" t="n">
        <v>0.93</v>
      </c>
      <c r="H50" s="663" t="n">
        <v>1.725</v>
      </c>
      <c r="I50" s="663" t="n">
        <v>0.958</v>
      </c>
      <c r="J50" s="663" t="n">
        <v>1.975</v>
      </c>
      <c r="K50" s="663" t="n">
        <v>0.976</v>
      </c>
      <c r="L50" s="663" t="n">
        <v>2.225</v>
      </c>
      <c r="M50" s="663" t="n">
        <v>0.987</v>
      </c>
    </row>
    <row r="51" customFormat="false" ht="18.75" hidden="false" customHeight="false" outlineLevel="0" collapsed="false">
      <c r="B51" s="661" t="n">
        <v>0.92</v>
      </c>
      <c r="C51" s="666" t="n">
        <f aca="false">0.5+0.5*ERF(B51/SQRT(2))</f>
        <v>0.821213620385628</v>
      </c>
      <c r="D51" s="663" t="n">
        <v>1.23</v>
      </c>
      <c r="E51" s="663" t="n">
        <v>0.891</v>
      </c>
      <c r="F51" s="663" t="n">
        <v>1.48</v>
      </c>
      <c r="G51" s="663" t="n">
        <v>0.931</v>
      </c>
      <c r="H51" s="663" t="n">
        <v>1.73</v>
      </c>
      <c r="I51" s="663" t="n">
        <v>0.958</v>
      </c>
      <c r="J51" s="663" t="n">
        <v>1.98</v>
      </c>
      <c r="K51" s="663" t="n">
        <v>0.976</v>
      </c>
      <c r="L51" s="663" t="n">
        <v>2.23</v>
      </c>
      <c r="M51" s="663" t="n">
        <v>0.987</v>
      </c>
    </row>
    <row r="52" customFormat="false" ht="18.75" hidden="false" customHeight="false" outlineLevel="0" collapsed="false">
      <c r="B52" s="665" t="n">
        <v>0.94</v>
      </c>
      <c r="C52" s="666" t="n">
        <f aca="false">0.5+0.5*ERF(B52/SQRT(2))</f>
        <v>0.826391219661375</v>
      </c>
      <c r="D52" s="663" t="n">
        <v>1.235</v>
      </c>
      <c r="E52" s="663" t="n">
        <v>0.892</v>
      </c>
      <c r="F52" s="663" t="n">
        <v>1.485</v>
      </c>
      <c r="G52" s="663" t="n">
        <v>0.931</v>
      </c>
      <c r="H52" s="663" t="n">
        <v>1.735</v>
      </c>
      <c r="I52" s="663" t="n">
        <v>0.959</v>
      </c>
      <c r="J52" s="663" t="n">
        <v>1.985</v>
      </c>
      <c r="K52" s="663" t="n">
        <v>0.976</v>
      </c>
      <c r="L52" s="663" t="n">
        <v>2.235</v>
      </c>
      <c r="M52" s="663" t="n">
        <v>0.987</v>
      </c>
    </row>
    <row r="53" customFormat="false" ht="18.75" hidden="false" customHeight="false" outlineLevel="0" collapsed="false">
      <c r="B53" s="661" t="n">
        <v>0.96</v>
      </c>
      <c r="C53" s="666" t="n">
        <f aca="false">0.5+0.5*ERF(B53/SQRT(2))</f>
        <v>0.831472392533162</v>
      </c>
      <c r="D53" s="663" t="n">
        <v>1.24</v>
      </c>
      <c r="E53" s="663" t="n">
        <v>0.893</v>
      </c>
      <c r="F53" s="663" t="n">
        <v>1.49</v>
      </c>
      <c r="G53" s="663" t="n">
        <v>0.932</v>
      </c>
      <c r="H53" s="663" t="n">
        <v>1.74</v>
      </c>
      <c r="I53" s="663" t="n">
        <v>0.959</v>
      </c>
      <c r="J53" s="663" t="n">
        <v>1.99</v>
      </c>
      <c r="K53" s="663" t="n">
        <v>0.977</v>
      </c>
      <c r="L53" s="663" t="n">
        <v>2.24</v>
      </c>
      <c r="M53" s="663" t="n">
        <v>0.987</v>
      </c>
    </row>
    <row r="54" customFormat="false" ht="18.75" hidden="false" customHeight="false" outlineLevel="0" collapsed="false">
      <c r="B54" s="665" t="n">
        <v>0.98</v>
      </c>
      <c r="C54" s="666" t="n">
        <f aca="false">0.5+0.5*ERF(B54/SQRT(2))</f>
        <v>0.836456940672308</v>
      </c>
      <c r="D54" s="663" t="n">
        <v>1.245</v>
      </c>
      <c r="E54" s="663" t="n">
        <v>0.893</v>
      </c>
      <c r="F54" s="663" t="n">
        <v>1.495</v>
      </c>
      <c r="G54" s="663" t="n">
        <v>0.933</v>
      </c>
      <c r="H54" s="663" t="n">
        <v>1.745</v>
      </c>
      <c r="I54" s="663" t="n">
        <v>0.96</v>
      </c>
      <c r="J54" s="663" t="n">
        <v>1.995</v>
      </c>
      <c r="K54" s="663" t="n">
        <v>0.977</v>
      </c>
      <c r="L54" s="663" t="n">
        <v>2.245</v>
      </c>
      <c r="M54" s="663" t="n">
        <v>0.988</v>
      </c>
    </row>
    <row r="55" customFormat="false" ht="18.75" hidden="false" customHeight="false" outlineLevel="0" collapsed="false">
      <c r="B55" s="661" t="n">
        <v>1</v>
      </c>
      <c r="C55" s="666" t="n">
        <f aca="false">0.5+0.5*ERF(B55/SQRT(2))</f>
        <v>0.841344746068543</v>
      </c>
      <c r="D55" s="663" t="n">
        <v>1.25</v>
      </c>
      <c r="E55" s="663" t="n">
        <v>0.894</v>
      </c>
      <c r="F55" s="663" t="n">
        <v>1.5</v>
      </c>
      <c r="G55" s="663" t="n">
        <v>0.933</v>
      </c>
      <c r="H55" s="663" t="n">
        <v>1.75</v>
      </c>
      <c r="I55" s="663" t="n">
        <v>0.96</v>
      </c>
      <c r="J55" s="663" t="n">
        <v>2</v>
      </c>
      <c r="K55" s="663" t="n">
        <v>0.977</v>
      </c>
      <c r="L55" s="663" t="n">
        <v>2.25</v>
      </c>
      <c r="M55" s="663" t="n">
        <v>0.988</v>
      </c>
    </row>
    <row r="56" customFormat="false" ht="18.75" hidden="false" customHeight="false" outlineLevel="0" collapsed="false">
      <c r="B56" s="665" t="n">
        <v>1.02</v>
      </c>
      <c r="C56" s="666" t="n">
        <f aca="false">0.5+0.5*ERF(B56/SQRT(2))</f>
        <v>0.846135769627265</v>
      </c>
    </row>
    <row r="57" customFormat="false" ht="18.75" hidden="false" customHeight="false" outlineLevel="0" collapsed="false">
      <c r="B57" s="661" t="n">
        <v>1.04</v>
      </c>
      <c r="C57" s="666" t="n">
        <f aca="false">0.5+0.5*ERF(B57/SQRT(2))</f>
        <v>0.850830049669019</v>
      </c>
    </row>
    <row r="58" customFormat="false" ht="18.75" hidden="false" customHeight="false" outlineLevel="0" collapsed="false">
      <c r="B58" s="665" t="n">
        <v>1.06</v>
      </c>
      <c r="C58" s="666" t="n">
        <f aca="false">0.5+0.5*ERF(B58/SQRT(2))</f>
        <v>0.855427700336091</v>
      </c>
    </row>
    <row r="59" customFormat="false" ht="18.75" hidden="false" customHeight="false" outlineLevel="0" collapsed="false">
      <c r="B59" s="661" t="n">
        <v>1.08</v>
      </c>
      <c r="C59" s="666" t="n">
        <f aca="false">0.5+0.5*ERF(B59/SQRT(2))</f>
        <v>0.859928909911231</v>
      </c>
    </row>
    <row r="60" customFormat="false" ht="18.75" hidden="false" customHeight="false" outlineLevel="0" collapsed="false">
      <c r="B60" s="665" t="n">
        <v>1.1</v>
      </c>
      <c r="C60" s="666" t="n">
        <f aca="false">0.5+0.5*ERF(B60/SQRT(2))</f>
        <v>0.864333939053617</v>
      </c>
    </row>
    <row r="61" customFormat="false" ht="18.75" hidden="false" customHeight="false" outlineLevel="0" collapsed="false">
      <c r="B61" s="661" t="n">
        <v>1.12</v>
      </c>
      <c r="C61" s="666" t="n">
        <f aca="false">0.5+0.5*ERF(B61/SQRT(2))</f>
        <v>0.868643118957269</v>
      </c>
    </row>
    <row r="62" customFormat="false" ht="18.75" hidden="false" customHeight="false" outlineLevel="0" collapsed="false">
      <c r="B62" s="665" t="n">
        <v>1.14</v>
      </c>
      <c r="C62" s="666" t="n">
        <f aca="false">0.5+0.5*ERF(B62/SQRT(2))</f>
        <v>0.872856849437202</v>
      </c>
    </row>
    <row r="63" customFormat="false" ht="18.75" hidden="false" customHeight="false" outlineLevel="0" collapsed="false">
      <c r="B63" s="661" t="n">
        <v>1.16</v>
      </c>
      <c r="C63" s="666" t="n">
        <f aca="false">0.5+0.5*ERF(B63/SQRT(2))</f>
        <v>0.876975596948657</v>
      </c>
    </row>
    <row r="64" customFormat="false" ht="18.75" hidden="false" customHeight="false" outlineLevel="0" collapsed="false">
      <c r="B64" s="665" t="n">
        <v>1.18</v>
      </c>
      <c r="C64" s="666" t="n">
        <f aca="false">0.5+0.5*ERF(B64/SQRT(2))</f>
        <v>0.880999892544799</v>
      </c>
    </row>
    <row r="65" customFormat="false" ht="18.75" hidden="false" customHeight="false" outlineLevel="0" collapsed="false">
      <c r="B65" s="661" t="n">
        <v>1.2</v>
      </c>
      <c r="C65" s="666" t="n">
        <f aca="false">0.5+0.5*ERF(B65/SQRT(2))</f>
        <v>0.884930329778292</v>
      </c>
    </row>
    <row r="66" customFormat="false" ht="18.75" hidden="false" customHeight="false" outlineLevel="0" collapsed="false">
      <c r="B66" s="665" t="n">
        <v>1.22</v>
      </c>
      <c r="C66" s="666" t="n">
        <f aca="false">0.5+0.5*ERF(B66/SQRT(2))</f>
        <v>0.888767562552165</v>
      </c>
    </row>
    <row r="67" customFormat="false" ht="18.75" hidden="false" customHeight="false" outlineLevel="0" collapsed="false">
      <c r="B67" s="661" t="n">
        <v>1.24</v>
      </c>
      <c r="C67" s="666" t="n">
        <f aca="false">0.5+0.5*ERF(B67/SQRT(2))</f>
        <v>0.892512302925413</v>
      </c>
    </row>
    <row r="68" customFormat="false" ht="18.75" hidden="false" customHeight="false" outlineLevel="0" collapsed="false">
      <c r="B68" s="665" t="n">
        <v>1.26</v>
      </c>
      <c r="C68" s="666" t="n">
        <f aca="false">0.5+0.5*ERF(B68/SQRT(2))</f>
        <v>0.8961653188787</v>
      </c>
    </row>
    <row r="69" customFormat="false" ht="18.75" hidden="false" customHeight="false" outlineLevel="0" collapsed="false">
      <c r="B69" s="661" t="n">
        <v>1.28</v>
      </c>
      <c r="C69" s="666" t="n">
        <f aca="false">0.5+0.5*ERF(B69/SQRT(2))</f>
        <v>0.899727432045558</v>
      </c>
    </row>
    <row r="70" customFormat="false" ht="18.75" hidden="false" customHeight="false" outlineLevel="0" collapsed="false">
      <c r="B70" s="665" t="n">
        <v>1.3</v>
      </c>
      <c r="C70" s="666" t="n">
        <f aca="false">0.5+0.5*ERF(B70/SQRT(2))</f>
        <v>0.90319951541439</v>
      </c>
    </row>
    <row r="71" customFormat="false" ht="18.75" hidden="false" customHeight="false" outlineLevel="0" collapsed="false">
      <c r="B71" s="661" t="n">
        <v>1.32</v>
      </c>
      <c r="C71" s="666" t="n">
        <f aca="false">0.5+0.5*ERF(B71/SQRT(2))</f>
        <v>0.906582491006528</v>
      </c>
    </row>
    <row r="72" customFormat="false" ht="18.75" hidden="false" customHeight="false" outlineLevel="0" collapsed="false">
      <c r="B72" s="665" t="n">
        <v>1.34</v>
      </c>
      <c r="C72" s="666" t="n">
        <f aca="false">0.5+0.5*ERF(B72/SQRT(2))</f>
        <v>0.909877327535548</v>
      </c>
    </row>
    <row r="73" customFormat="false" ht="18.75" hidden="false" customHeight="false" outlineLevel="0" collapsed="false">
      <c r="B73" s="661" t="n">
        <v>1.36</v>
      </c>
      <c r="C73" s="666" t="n">
        <f aca="false">0.5+0.5*ERF(B73/SQRT(2))</f>
        <v>0.913085038052915</v>
      </c>
    </row>
    <row r="74" customFormat="false" ht="18.75" hidden="false" customHeight="false" outlineLevel="0" collapsed="false">
      <c r="B74" s="665" t="n">
        <v>1.38</v>
      </c>
      <c r="C74" s="666" t="n">
        <f aca="false">0.5+0.5*ERF(B74/SQRT(2))</f>
        <v>0.916206677584986</v>
      </c>
    </row>
    <row r="75" customFormat="false" ht="18.75" hidden="false" customHeight="false" outlineLevel="0" collapsed="false">
      <c r="B75" s="661" t="n">
        <v>1.4</v>
      </c>
      <c r="C75" s="666" t="n">
        <f aca="false">0.5+0.5*ERF(B75/SQRT(2))</f>
        <v>0.919243340766229</v>
      </c>
    </row>
    <row r="76" customFormat="false" ht="18.75" hidden="false" customHeight="false" outlineLevel="0" collapsed="false">
      <c r="B76" s="665" t="n">
        <v>1.42</v>
      </c>
      <c r="C76" s="666" t="n">
        <f aca="false">0.5+0.5*ERF(B76/SQRT(2))</f>
        <v>0.922196159473454</v>
      </c>
    </row>
    <row r="77" customFormat="false" ht="18.75" hidden="false" customHeight="false" outlineLevel="0" collapsed="false">
      <c r="B77" s="661" t="n">
        <v>1.44</v>
      </c>
      <c r="C77" s="666" t="n">
        <f aca="false">0.5+0.5*ERF(B77/SQRT(2))</f>
        <v>0.925066300465673</v>
      </c>
    </row>
    <row r="78" customFormat="false" ht="18.75" hidden="false" customHeight="false" outlineLevel="0" collapsed="false">
      <c r="B78" s="665" t="n">
        <v>1.46</v>
      </c>
      <c r="C78" s="666" t="n">
        <f aca="false">0.5+0.5*ERF(B78/SQRT(2))</f>
        <v>0.927854963034106</v>
      </c>
    </row>
    <row r="79" customFormat="false" ht="18.75" hidden="false" customHeight="false" outlineLevel="0" collapsed="false">
      <c r="B79" s="661" t="n">
        <v>1.48</v>
      </c>
      <c r="C79" s="666" t="n">
        <f aca="false">0.5+0.5*ERF(B79/SQRT(2))</f>
        <v>0.930563376666668</v>
      </c>
    </row>
    <row r="80" customFormat="false" ht="18.75" hidden="false" customHeight="false" outlineLevel="0" collapsed="false">
      <c r="B80" s="665" t="n">
        <v>1.5</v>
      </c>
      <c r="C80" s="666" t="n">
        <f aca="false">0.5+0.5*ERF(B80/SQRT(2))</f>
        <v>0.933192798731142</v>
      </c>
    </row>
    <row r="81" customFormat="false" ht="18.75" hidden="false" customHeight="false" outlineLevel="0" collapsed="false">
      <c r="B81" s="661" t="n">
        <v>1.52</v>
      </c>
      <c r="C81" s="666" t="n">
        <f aca="false">0.5+0.5*ERF(B81/SQRT(2))</f>
        <v>0.935744512181064</v>
      </c>
    </row>
    <row r="82" customFormat="false" ht="18.75" hidden="false" customHeight="false" outlineLevel="0" collapsed="false">
      <c r="B82" s="665" t="n">
        <v>1.54</v>
      </c>
      <c r="C82" s="666" t="n">
        <f aca="false">0.5+0.5*ERF(B82/SQRT(2))</f>
        <v>0.938219823288188</v>
      </c>
    </row>
    <row r="83" customFormat="false" ht="18.75" hidden="false" customHeight="false" outlineLevel="0" collapsed="false">
      <c r="B83" s="661" t="n">
        <v>1.56</v>
      </c>
      <c r="C83" s="666" t="n">
        <f aca="false">0.5+0.5*ERF(B83/SQRT(2))</f>
        <v>0.940620059405207</v>
      </c>
    </row>
    <row r="84" customFormat="false" ht="18.75" hidden="false" customHeight="false" outlineLevel="0" collapsed="false">
      <c r="B84" s="665" t="n">
        <v>1.58</v>
      </c>
      <c r="C84" s="666" t="n">
        <f aca="false">0.5+0.5*ERF(B84/SQRT(2))</f>
        <v>0.942946566762246</v>
      </c>
    </row>
    <row r="85" customFormat="false" ht="18.75" hidden="false" customHeight="false" outlineLevel="0" collapsed="false">
      <c r="B85" s="661" t="n">
        <v>1.6</v>
      </c>
      <c r="C85" s="666" t="n">
        <f aca="false">0.5+0.5*ERF(B85/SQRT(2))</f>
        <v>0.945200708300442</v>
      </c>
    </row>
    <row r="86" customFormat="false" ht="18.75" hidden="false" customHeight="false" outlineLevel="0" collapsed="false">
      <c r="B86" s="665" t="n">
        <v>1.62</v>
      </c>
      <c r="C86" s="666" t="n">
        <f aca="false">0.5+0.5*ERF(B86/SQRT(2))</f>
        <v>0.947383861545748</v>
      </c>
    </row>
    <row r="87" customFormat="false" ht="18.75" hidden="false" customHeight="false" outlineLevel="0" collapsed="false">
      <c r="B87" s="661" t="n">
        <v>1.64</v>
      </c>
      <c r="C87" s="666" t="n">
        <f aca="false">0.5+0.5*ERF(B87/SQRT(2))</f>
        <v>0.949497416525896</v>
      </c>
    </row>
    <row r="88" customFormat="false" ht="18.75" hidden="false" customHeight="false" outlineLevel="0" collapsed="false">
      <c r="B88" s="665" t="n">
        <v>1.66</v>
      </c>
      <c r="C88" s="666" t="n">
        <f aca="false">0.5+0.5*ERF(B88/SQRT(2))</f>
        <v>0.951542773733277</v>
      </c>
    </row>
    <row r="89" customFormat="false" ht="18.75" hidden="false" customHeight="false" outlineLevel="0" collapsed="false">
      <c r="B89" s="661" t="n">
        <v>1.68</v>
      </c>
      <c r="C89" s="666" t="n">
        <f aca="false">0.5+0.5*ERF(B89/SQRT(2))</f>
        <v>0.95352134213628</v>
      </c>
    </row>
    <row r="90" customFormat="false" ht="18.75" hidden="false" customHeight="false" outlineLevel="0" collapsed="false">
      <c r="B90" s="665" t="n">
        <v>1.7</v>
      </c>
      <c r="C90" s="666" t="n">
        <f aca="false">0.5+0.5*ERF(B90/SQRT(2))</f>
        <v>0.955434537241457</v>
      </c>
    </row>
    <row r="91" customFormat="false" ht="18.75" hidden="false" customHeight="false" outlineLevel="0" collapsed="false">
      <c r="B91" s="661" t="n">
        <v>1.72</v>
      </c>
      <c r="C91" s="666" t="n">
        <f aca="false">0.5+0.5*ERF(B91/SQRT(2))</f>
        <v>0.957283779208671</v>
      </c>
    </row>
    <row r="92" customFormat="false" ht="18.75" hidden="false" customHeight="false" outlineLevel="0" collapsed="false">
      <c r="B92" s="665" t="n">
        <v>1.74</v>
      </c>
      <c r="C92" s="666" t="n">
        <f aca="false">0.5+0.5*ERF(B92/SQRT(2))</f>
        <v>0.959070491021193</v>
      </c>
    </row>
    <row r="93" customFormat="false" ht="18.75" hidden="false" customHeight="false" outlineLevel="0" collapsed="false">
      <c r="B93" s="661" t="n">
        <v>1.76</v>
      </c>
      <c r="C93" s="666" t="n">
        <f aca="false">0.5+0.5*ERF(B93/SQRT(2))</f>
        <v>0.960796096712517</v>
      </c>
    </row>
    <row r="94" customFormat="false" ht="18.75" hidden="false" customHeight="false" outlineLevel="0" collapsed="false">
      <c r="B94" s="665" t="n">
        <v>1.78</v>
      </c>
      <c r="C94" s="666" t="n">
        <f aca="false">0.5+0.5*ERF(B94/SQRT(2))</f>
        <v>0.962462019651483</v>
      </c>
    </row>
    <row r="95" customFormat="false" ht="18.75" hidden="false" customHeight="false" outlineLevel="0" collapsed="false">
      <c r="B95" s="661" t="n">
        <v>1.8</v>
      </c>
      <c r="C95" s="666" t="n">
        <f aca="false">0.5+0.5*ERF(B95/SQRT(2))</f>
        <v>0.964069680887074</v>
      </c>
    </row>
    <row r="96" customFormat="false" ht="18.75" hidden="false" customHeight="false" outlineLevel="0" collapsed="false">
      <c r="B96" s="665" t="n">
        <v>1.82</v>
      </c>
      <c r="C96" s="666" t="n">
        <f aca="false">0.5+0.5*ERF(B96/SQRT(2))</f>
        <v>0.96562049755411</v>
      </c>
    </row>
    <row r="97" customFormat="false" ht="18.75" hidden="false" customHeight="false" outlineLevel="0" collapsed="false">
      <c r="B97" s="661" t="n">
        <v>1.84</v>
      </c>
      <c r="C97" s="666" t="n">
        <f aca="false">0.5+0.5*ERF(B97/SQRT(2))</f>
        <v>0.967115881340836</v>
      </c>
    </row>
    <row r="98" customFormat="false" ht="18.75" hidden="false" customHeight="false" outlineLevel="0" collapsed="false">
      <c r="B98" s="665" t="n">
        <v>1.86</v>
      </c>
      <c r="C98" s="666" t="n">
        <f aca="false">0.5+0.5*ERF(B98/SQRT(2))</f>
        <v>0.968557237019247</v>
      </c>
    </row>
    <row r="99" customFormat="false" ht="18.75" hidden="false" customHeight="false" outlineLevel="0" collapsed="false">
      <c r="B99" s="661" t="n">
        <v>1.88</v>
      </c>
      <c r="C99" s="666" t="n">
        <f aca="false">0.5+0.5*ERF(B99/SQRT(2))</f>
        <v>0.9699459610388</v>
      </c>
    </row>
    <row r="100" customFormat="false" ht="18.75" hidden="false" customHeight="false" outlineLevel="0" collapsed="false">
      <c r="B100" s="665" t="n">
        <v>1.9</v>
      </c>
      <c r="C100" s="666" t="n">
        <f aca="false">0.5+0.5*ERF(B100/SQRT(2))</f>
        <v>0.971283440183998</v>
      </c>
    </row>
    <row r="101" customFormat="false" ht="18.75" hidden="false" customHeight="false" outlineLevel="0" collapsed="false">
      <c r="B101" s="661" t="n">
        <v>1.92</v>
      </c>
      <c r="C101" s="666" t="n">
        <f aca="false">0.5+0.5*ERF(B101/SQRT(2))</f>
        <v>0.972571050296163</v>
      </c>
    </row>
    <row r="102" customFormat="false" ht="18.75" hidden="false" customHeight="false" outlineLevel="0" collapsed="false">
      <c r="B102" s="665" t="n">
        <v>1.94</v>
      </c>
      <c r="C102" s="666" t="n">
        <f aca="false">0.5+0.5*ERF(B102/SQRT(2))</f>
        <v>0.973810155059547</v>
      </c>
    </row>
    <row r="103" customFormat="false" ht="18.75" hidden="false" customHeight="false" outlineLevel="0" collapsed="false">
      <c r="B103" s="661" t="n">
        <v>1.96</v>
      </c>
      <c r="C103" s="666" t="n">
        <f aca="false">0.5+0.5*ERF(B103/SQRT(2))</f>
        <v>0.97500210485178</v>
      </c>
    </row>
    <row r="104" customFormat="false" ht="18.75" hidden="false" customHeight="false" outlineLevel="0" collapsed="false">
      <c r="B104" s="665" t="n">
        <v>1.98</v>
      </c>
      <c r="C104" s="666" t="n">
        <f aca="false">0.5+0.5*ERF(B104/SQRT(2))</f>
        <v>0.976148235658491</v>
      </c>
    </row>
    <row r="105" customFormat="false" ht="18.75" hidden="false" customHeight="false" outlineLevel="0" collapsed="false">
      <c r="B105" s="661" t="n">
        <v>2</v>
      </c>
      <c r="C105" s="666" t="n">
        <f aca="false">0.5+0.5*ERF(B105/SQRT(2))</f>
        <v>0.977249868051821</v>
      </c>
    </row>
    <row r="106" customFormat="false" ht="18.75" hidden="false" customHeight="false" outlineLevel="0" collapsed="false">
      <c r="B106" s="665" t="n">
        <v>2.02</v>
      </c>
      <c r="C106" s="666" t="n">
        <f aca="false">0.5+0.5*ERF(B106/SQRT(2))</f>
        <v>0.978308306232353</v>
      </c>
    </row>
    <row r="107" customFormat="false" ht="18.75" hidden="false" customHeight="false" outlineLevel="0" collapsed="false">
      <c r="B107" s="661" t="n">
        <v>2.04</v>
      </c>
      <c r="C107" s="666" t="n">
        <f aca="false">0.5+0.5*ERF(B107/SQRT(2))</f>
        <v>0.97932483713393</v>
      </c>
    </row>
    <row r="108" customFormat="false" ht="18.75" hidden="false" customHeight="false" outlineLevel="0" collapsed="false">
      <c r="B108" s="665" t="n">
        <v>2.06</v>
      </c>
      <c r="C108" s="666" t="n">
        <f aca="false">0.5+0.5*ERF(B108/SQRT(2))</f>
        <v>0.980300729590623</v>
      </c>
    </row>
    <row r="109" customFormat="false" ht="18.75" hidden="false" customHeight="false" outlineLevel="0" collapsed="false">
      <c r="B109" s="661" t="n">
        <v>2.08</v>
      </c>
      <c r="C109" s="666" t="n">
        <f aca="false">0.5+0.5*ERF(B109/SQRT(2))</f>
        <v>0.981237233565062</v>
      </c>
    </row>
    <row r="110" customFormat="false" ht="18.75" hidden="false" customHeight="false" outlineLevel="0" collapsed="false">
      <c r="B110" s="665" t="n">
        <v>2.1</v>
      </c>
      <c r="C110" s="666" t="n">
        <f aca="false">0.5+0.5*ERF(B110/SQRT(2))</f>
        <v>0.982135579437183</v>
      </c>
    </row>
    <row r="111" customFormat="false" ht="18.75" hidden="false" customHeight="false" outlineLevel="0" collapsed="false">
      <c r="B111" s="661" t="n">
        <v>2.12</v>
      </c>
      <c r="C111" s="666" t="n">
        <f aca="false">0.5+0.5*ERF(B111/SQRT(2))</f>
        <v>0.982996977352367</v>
      </c>
    </row>
    <row r="112" customFormat="false" ht="18.75" hidden="false" customHeight="false" outlineLevel="0" collapsed="false">
      <c r="B112" s="665" t="n">
        <v>2.14</v>
      </c>
      <c r="C112" s="666" t="n">
        <f aca="false">0.5+0.5*ERF(B112/SQRT(2))</f>
        <v>0.983822616627834</v>
      </c>
    </row>
    <row r="113" customFormat="false" ht="18.75" hidden="false" customHeight="false" outlineLevel="0" collapsed="false">
      <c r="B113" s="661" t="n">
        <v>2.16</v>
      </c>
      <c r="C113" s="666" t="n">
        <f aca="false">0.5+0.5*ERF(B113/SQRT(2))</f>
        <v>0.984613665216074</v>
      </c>
    </row>
    <row r="114" customFormat="false" ht="18.75" hidden="false" customHeight="false" outlineLevel="0" collapsed="false">
      <c r="B114" s="665" t="n">
        <v>2.18</v>
      </c>
      <c r="C114" s="666" t="n">
        <f aca="false">0.5+0.5*ERF(B114/SQRT(2))</f>
        <v>0.985371269224011</v>
      </c>
    </row>
    <row r="115" customFormat="false" ht="18.75" hidden="false" customHeight="false" outlineLevel="0" collapsed="false">
      <c r="B115" s="661" t="n">
        <v>2.2</v>
      </c>
      <c r="C115" s="666" t="n">
        <f aca="false">0.5+0.5*ERF(B115/SQRT(2))</f>
        <v>0.986096552486501</v>
      </c>
    </row>
    <row r="116" customFormat="false" ht="18.75" hidden="false" customHeight="false" outlineLevel="0" collapsed="false">
      <c r="B116" s="665" t="n">
        <v>2.22</v>
      </c>
      <c r="C116" s="666" t="n">
        <f aca="false">0.5+0.5*ERF(B116/SQRT(2))</f>
        <v>0.986790616192744</v>
      </c>
    </row>
    <row r="117" customFormat="false" ht="18.75" hidden="false" customHeight="false" outlineLevel="0" collapsed="false">
      <c r="B117" s="661" t="n">
        <v>2.24</v>
      </c>
      <c r="C117" s="666" t="n">
        <f aca="false">0.5+0.5*ERF(B117/SQRT(2))</f>
        <v>0.987454538564053</v>
      </c>
    </row>
    <row r="118" customFormat="false" ht="18.75" hidden="false" customHeight="false" outlineLevel="0" collapsed="false">
      <c r="B118" s="665" t="n">
        <v>2.26</v>
      </c>
      <c r="C118" s="666" t="n">
        <f aca="false">0.5+0.5*ERF(B118/SQRT(2))</f>
        <v>0.988089374581453</v>
      </c>
    </row>
    <row r="119" customFormat="false" ht="18.75" hidden="false" customHeight="false" outlineLevel="0" collapsed="false">
      <c r="B119" s="661" t="n">
        <v>2.28</v>
      </c>
      <c r="C119" s="666" t="n">
        <f aca="false">0.5+0.5*ERF(B119/SQRT(2))</f>
        <v>0.988696155761447</v>
      </c>
    </row>
    <row r="120" customFormat="false" ht="18.75" hidden="false" customHeight="false" outlineLevel="0" collapsed="false">
      <c r="B120" s="665" t="n">
        <v>2.3</v>
      </c>
      <c r="C120" s="666" t="n">
        <f aca="false">0.5+0.5*ERF(B120/SQRT(2))</f>
        <v>0.989275889978324</v>
      </c>
    </row>
    <row r="121" customFormat="false" ht="18.75" hidden="false" customHeight="false" outlineLevel="0" collapsed="false">
      <c r="B121" s="661" t="n">
        <v>2.32</v>
      </c>
      <c r="C121" s="666" t="n">
        <f aca="false">0.5+0.5*ERF(B121/SQRT(2))</f>
        <v>0.98982956133128</v>
      </c>
    </row>
    <row r="122" customFormat="false" ht="18.75" hidden="false" customHeight="false" outlineLevel="0" collapsed="false">
      <c r="B122" s="665" t="n">
        <v>2.34</v>
      </c>
      <c r="C122" s="666" t="n">
        <f aca="false">0.5+0.5*ERF(B122/SQRT(2))</f>
        <v>0.990358130054642</v>
      </c>
    </row>
    <row r="123" customFormat="false" ht="18.75" hidden="false" customHeight="false" outlineLevel="0" collapsed="false">
      <c r="B123" s="661" t="n">
        <v>2.36</v>
      </c>
      <c r="C123" s="666" t="n">
        <f aca="false">0.5+0.5*ERF(B123/SQRT(2))</f>
        <v>0.990862532469427</v>
      </c>
    </row>
    <row r="124" customFormat="false" ht="18.75" hidden="false" customHeight="false" outlineLevel="0" collapsed="false">
      <c r="B124" s="665" t="n">
        <v>2.38</v>
      </c>
      <c r="C124" s="666" t="n">
        <f aca="false">0.5+0.5*ERF(B124/SQRT(2))</f>
        <v>0.991343680974483</v>
      </c>
    </row>
    <row r="125" customFormat="false" ht="18.75" hidden="false" customHeight="false" outlineLevel="0" collapsed="false">
      <c r="B125" s="661" t="n">
        <v>2.4</v>
      </c>
      <c r="C125" s="666" t="n">
        <f aca="false">0.5+0.5*ERF(B125/SQRT(2))</f>
        <v>0.991802464075404</v>
      </c>
    </row>
    <row r="126" customFormat="false" ht="18.75" hidden="false" customHeight="false" outlineLevel="0" collapsed="false">
      <c r="B126" s="665" t="n">
        <v>2.42</v>
      </c>
      <c r="C126" s="666" t="n">
        <f aca="false">0.5+0.5*ERF(B126/SQRT(2))</f>
        <v>0.992239746449446</v>
      </c>
    </row>
    <row r="127" customFormat="false" ht="18.75" hidden="false" customHeight="false" outlineLevel="0" collapsed="false">
      <c r="B127" s="661" t="n">
        <v>2.44</v>
      </c>
      <c r="C127" s="666" t="n">
        <f aca="false">0.5+0.5*ERF(B127/SQRT(2))</f>
        <v>0.992656369044652</v>
      </c>
    </row>
    <row r="128" customFormat="false" ht="18.75" hidden="false" customHeight="false" outlineLevel="0" collapsed="false">
      <c r="B128" s="665" t="n">
        <v>2.46</v>
      </c>
      <c r="C128" s="666" t="n">
        <f aca="false">0.5+0.5*ERF(B128/SQRT(2))</f>
        <v>0.993053149211376</v>
      </c>
    </row>
    <row r="129" customFormat="false" ht="18.75" hidden="false" customHeight="false" outlineLevel="0" collapsed="false">
      <c r="B129" s="661" t="n">
        <v>2.48</v>
      </c>
      <c r="C129" s="666" t="n">
        <f aca="false">0.5+0.5*ERF(B129/SQRT(2))</f>
        <v>0.993430880864453</v>
      </c>
    </row>
    <row r="130" customFormat="false" ht="18.75" hidden="false" customHeight="false" outlineLevel="0" collapsed="false">
      <c r="B130" s="665" t="n">
        <v>2.5</v>
      </c>
      <c r="C130" s="666" t="n">
        <f aca="false">0.5+0.5*ERF(B130/SQRT(2))</f>
        <v>0.993790334674224</v>
      </c>
    </row>
    <row r="131" customFormat="false" ht="18.75" hidden="false" customHeight="false" outlineLevel="0" collapsed="false">
      <c r="B131" s="661" t="n">
        <v>2.52</v>
      </c>
      <c r="C131" s="666" t="n">
        <f aca="false">0.5+0.5*ERF(B131/SQRT(2))</f>
        <v>0.994132258284667</v>
      </c>
    </row>
    <row r="132" customFormat="false" ht="18.75" hidden="false" customHeight="false" outlineLevel="0" collapsed="false">
      <c r="B132" s="665" t="n">
        <v>2.54</v>
      </c>
      <c r="C132" s="666" t="n">
        <f aca="false">0.5+0.5*ERF(B132/SQRT(2))</f>
        <v>0.994457376556917</v>
      </c>
    </row>
    <row r="133" customFormat="false" ht="18.75" hidden="false" customHeight="false" outlineLevel="0" collapsed="false">
      <c r="B133" s="661" t="n">
        <v>2.56</v>
      </c>
      <c r="C133" s="666" t="n">
        <f aca="false">0.5+0.5*ERF(B133/SQRT(2))</f>
        <v>0.994766391836444</v>
      </c>
    </row>
    <row r="134" customFormat="false" ht="18.75" hidden="false" customHeight="false" outlineLevel="0" collapsed="false">
      <c r="B134" s="665" t="n">
        <v>2.58</v>
      </c>
      <c r="C134" s="666" t="n">
        <f aca="false">0.5+0.5*ERF(B134/SQRT(2))</f>
        <v>0.995059984242229</v>
      </c>
    </row>
    <row r="135" customFormat="false" ht="18.75" hidden="false" customHeight="false" outlineLevel="0" collapsed="false">
      <c r="B135" s="661" t="n">
        <v>2.6</v>
      </c>
      <c r="C135" s="666" t="n">
        <f aca="false">0.5+0.5*ERF(B135/SQRT(2))</f>
        <v>0.995338811976281</v>
      </c>
    </row>
    <row r="136" customFormat="false" ht="18.75" hidden="false" customHeight="false" outlineLevel="0" collapsed="false">
      <c r="B136" s="665" t="n">
        <v>2.62</v>
      </c>
      <c r="C136" s="666" t="n">
        <f aca="false">0.5+0.5*ERF(B136/SQRT(2))</f>
        <v>0.995603511651879</v>
      </c>
    </row>
    <row r="137" customFormat="false" ht="18.75" hidden="false" customHeight="false" outlineLevel="0" collapsed="false">
      <c r="B137" s="661" t="n">
        <v>2.64</v>
      </c>
      <c r="C137" s="666" t="n">
        <f aca="false">0.5+0.5*ERF(B137/SQRT(2))</f>
        <v>0.995854698638964</v>
      </c>
    </row>
    <row r="138" customFormat="false" ht="18.75" hidden="false" customHeight="false" outlineLevel="0" collapsed="false">
      <c r="B138" s="665" t="n">
        <v>2.66</v>
      </c>
      <c r="C138" s="666" t="n">
        <f aca="false">0.5+0.5*ERF(B138/SQRT(2))</f>
        <v>0.996092967425147</v>
      </c>
    </row>
    <row r="139" customFormat="false" ht="18.75" hidden="false" customHeight="false" outlineLevel="0" collapsed="false">
      <c r="B139" s="661" t="n">
        <v>2.68</v>
      </c>
      <c r="C139" s="666" t="n">
        <f aca="false">0.5+0.5*ERF(B139/SQRT(2))</f>
        <v>0.996318891990825</v>
      </c>
    </row>
    <row r="140" customFormat="false" ht="18.75" hidden="false" customHeight="false" outlineLevel="0" collapsed="false">
      <c r="B140" s="665" t="n">
        <v>2.7</v>
      </c>
      <c r="C140" s="666" t="n">
        <f aca="false">0.5+0.5*ERF(B140/SQRT(2))</f>
        <v>0.996533026196959</v>
      </c>
    </row>
    <row r="141" customFormat="false" ht="18.75" hidden="false" customHeight="false" outlineLevel="0" collapsed="false">
      <c r="B141" s="661" t="n">
        <v>2.72</v>
      </c>
      <c r="C141" s="666" t="n">
        <f aca="false">0.5+0.5*ERF(B141/SQRT(2))</f>
        <v>0.996735904184109</v>
      </c>
    </row>
    <row r="142" customFormat="false" ht="18.75" hidden="false" customHeight="false" outlineLevel="0" collapsed="false">
      <c r="B142" s="665" t="n">
        <v>2.74</v>
      </c>
      <c r="C142" s="666" t="n">
        <f aca="false">0.5+0.5*ERF(B142/SQRT(2))</f>
        <v>0.996928040781349</v>
      </c>
    </row>
    <row r="143" customFormat="false" ht="18.75" hidden="false" customHeight="false" outlineLevel="0" collapsed="false">
      <c r="B143" s="661" t="n">
        <v>2.76</v>
      </c>
      <c r="C143" s="666" t="n">
        <f aca="false">0.5+0.5*ERF(B143/SQRT(2))</f>
        <v>0.997109931923774</v>
      </c>
    </row>
    <row r="144" customFormat="false" ht="18.75" hidden="false" customHeight="false" outlineLevel="0" collapsed="false">
      <c r="B144" s="665" t="n">
        <v>2.78</v>
      </c>
      <c r="C144" s="666" t="n">
        <f aca="false">0.5+0.5*ERF(B144/SQRT(2))</f>
        <v>0.997282055077299</v>
      </c>
    </row>
    <row r="145" customFormat="false" ht="18.75" hidden="false" customHeight="false" outlineLevel="0" collapsed="false">
      <c r="B145" s="661" t="n">
        <v>2.8</v>
      </c>
      <c r="C145" s="666" t="n">
        <f aca="false">0.5+0.5*ERF(B145/SQRT(2))</f>
        <v>0.997444869669572</v>
      </c>
    </row>
    <row r="146" customFormat="false" ht="18.75" hidden="false" customHeight="false" outlineLevel="0" collapsed="false">
      <c r="B146" s="665" t="n">
        <v>2.82</v>
      </c>
      <c r="C146" s="666" t="n">
        <f aca="false">0.5+0.5*ERF(B146/SQRT(2))</f>
        <v>0.997598817525811</v>
      </c>
    </row>
    <row r="147" customFormat="false" ht="18.75" hidden="false" customHeight="false" outlineLevel="0" collapsed="false">
      <c r="B147" s="661" t="n">
        <v>2.84</v>
      </c>
      <c r="C147" s="666" t="n">
        <f aca="false">0.5+0.5*ERF(B147/SQRT(2))</f>
        <v>0.997744323308458</v>
      </c>
    </row>
    <row r="148" customFormat="false" ht="18.75" hidden="false" customHeight="false" outlineLevel="0" collapsed="false">
      <c r="B148" s="665" t="n">
        <v>2.86</v>
      </c>
      <c r="C148" s="666" t="n">
        <f aca="false">0.5+0.5*ERF(B148/SQRT(2))</f>
        <v>0.997881794959595</v>
      </c>
    </row>
    <row r="149" customFormat="false" ht="18.75" hidden="false" customHeight="false" outlineLevel="0" collapsed="false">
      <c r="B149" s="661" t="n">
        <v>2.88</v>
      </c>
      <c r="C149" s="666" t="n">
        <f aca="false">0.5+0.5*ERF(B149/SQRT(2))</f>
        <v>0.998011624145106</v>
      </c>
    </row>
    <row r="150" customFormat="false" ht="18.75" hidden="false" customHeight="false" outlineLevel="0" collapsed="false">
      <c r="B150" s="665" t="n">
        <v>2.9</v>
      </c>
      <c r="C150" s="666" t="n">
        <f aca="false">0.5+0.5*ERF(B150/SQRT(2))</f>
        <v>0.998134186699616</v>
      </c>
    </row>
    <row r="151" customFormat="false" ht="18.75" hidden="false" customHeight="false" outlineLevel="0" collapsed="false">
      <c r="B151" s="661" t="n">
        <v>2.92</v>
      </c>
      <c r="C151" s="666" t="n">
        <f aca="false">0.5+0.5*ERF(B151/SQRT(2))</f>
        <v>0.998249843071324</v>
      </c>
    </row>
    <row r="152" customFormat="false" ht="18.75" hidden="false" customHeight="false" outlineLevel="0" collapsed="false">
      <c r="B152" s="665" t="n">
        <v>2.94</v>
      </c>
      <c r="C152" s="666" t="n">
        <f aca="false">0.5+0.5*ERF(B152/SQRT(2))</f>
        <v>0.998358938765843</v>
      </c>
    </row>
    <row r="153" customFormat="false" ht="18.75" hidden="false" customHeight="false" outlineLevel="0" collapsed="false">
      <c r="B153" s="661" t="n">
        <v>2.96</v>
      </c>
      <c r="C153" s="666" t="n">
        <f aca="false">0.5+0.5*ERF(B153/SQRT(2))</f>
        <v>0.998461804788262</v>
      </c>
    </row>
    <row r="154" customFormat="false" ht="18.75" hidden="false" customHeight="false" outlineLevel="0" collapsed="false">
      <c r="B154" s="665" t="n">
        <v>2.98</v>
      </c>
      <c r="C154" s="666" t="n">
        <f aca="false">0.5+0.5*ERF(B154/SQRT(2))</f>
        <v>0.99855875808266</v>
      </c>
    </row>
    <row r="155" customFormat="false" ht="18.75" hidden="false" customHeight="false" outlineLevel="0" collapsed="false">
      <c r="B155" s="661" t="n">
        <v>3</v>
      </c>
      <c r="C155" s="671" t="n">
        <f aca="false">0.5+0.5*ERF(B155/SQRT(2))</f>
        <v>0.99865010196837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8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4.63917525773196"/>
    <col collapsed="false" hidden="false" max="6" min="2" style="0" width="7.63917525773196"/>
    <col collapsed="false" hidden="false" max="7" min="7" style="0" width="10.3659793814433"/>
    <col collapsed="false" hidden="false" max="8" min="8" style="0" width="16.3659793814433"/>
    <col collapsed="false" hidden="false" max="10" min="9" style="0" width="7.63917525773196"/>
    <col collapsed="false" hidden="false" max="11" min="11" style="0" width="13.3659793814433"/>
    <col collapsed="false" hidden="false" max="12" min="12" style="0" width="10.9123711340206"/>
    <col collapsed="false" hidden="false" max="16" min="13" style="0" width="7.63917525773196"/>
    <col collapsed="false" hidden="false" max="17" min="17" style="0" width="10.3659793814433"/>
    <col collapsed="false" hidden="false" max="24" min="18" style="0" width="7.63917525773196"/>
    <col collapsed="false" hidden="false" max="25" min="25" style="0" width="16.3659793814433"/>
    <col collapsed="false" hidden="false" max="26" min="26" style="0" width="10.3659793814433"/>
    <col collapsed="false" hidden="false" max="1025" min="27" style="0" width="7.63917525773196"/>
  </cols>
  <sheetData>
    <row r="1" customFormat="false" ht="15.75" hidden="false" customHeight="false" outlineLevel="0" collapsed="false">
      <c r="B1" s="76" t="s">
        <v>59</v>
      </c>
      <c r="C1" s="76"/>
      <c r="D1" s="76"/>
      <c r="E1" s="76"/>
      <c r="F1" s="76"/>
      <c r="G1" s="76"/>
      <c r="H1" s="77" t="s">
        <v>60</v>
      </c>
      <c r="I1" s="78"/>
      <c r="J1" s="78"/>
      <c r="K1" s="78"/>
      <c r="L1" s="79" t="s">
        <v>61</v>
      </c>
      <c r="M1" s="78"/>
      <c r="N1" s="80" t="s">
        <v>62</v>
      </c>
      <c r="O1" s="78"/>
      <c r="P1" s="81" t="s">
        <v>63</v>
      </c>
      <c r="Q1" s="78"/>
      <c r="R1" s="78"/>
      <c r="S1" s="78"/>
      <c r="T1" s="78"/>
      <c r="U1" s="78"/>
      <c r="V1" s="78"/>
      <c r="W1" s="78"/>
      <c r="X1" s="78"/>
      <c r="Y1" s="78"/>
      <c r="Z1" s="78"/>
      <c r="AA1" s="78"/>
    </row>
    <row r="2" customFormat="false" ht="18" hidden="false" customHeight="true" outlineLevel="0" collapsed="false">
      <c r="B2" s="82" t="s">
        <v>64</v>
      </c>
      <c r="C2" s="82"/>
      <c r="D2" s="82"/>
      <c r="E2" s="82"/>
      <c r="F2" s="82"/>
      <c r="G2" s="82"/>
      <c r="H2" s="83" t="e">
        <f aca="false">VLOOKUP([1]'Вхідні параметри'!H3,[1]!Таблица1[#data],2,0)</f>
        <v>#N/A</v>
      </c>
      <c r="I2" s="84"/>
      <c r="J2" s="84"/>
      <c r="K2" s="78"/>
      <c r="L2" s="78"/>
      <c r="M2" s="78"/>
      <c r="N2" s="78"/>
      <c r="O2" s="78"/>
      <c r="P2" s="78"/>
      <c r="Q2" s="78"/>
      <c r="R2" s="78"/>
      <c r="S2" s="78"/>
      <c r="T2" s="78"/>
      <c r="U2" s="78"/>
      <c r="V2" s="78"/>
      <c r="W2" s="78"/>
      <c r="X2" s="78"/>
      <c r="Y2" s="78"/>
      <c r="Z2" s="78"/>
      <c r="AA2" s="78"/>
    </row>
    <row r="3" customFormat="false" ht="33" hidden="false" customHeight="true" outlineLevel="0" collapsed="false">
      <c r="B3" s="85" t="s">
        <v>65</v>
      </c>
      <c r="C3" s="85"/>
      <c r="D3" s="85"/>
      <c r="E3" s="85"/>
      <c r="F3" s="85"/>
      <c r="G3" s="85"/>
      <c r="H3" s="86" t="n">
        <v>0.1</v>
      </c>
      <c r="I3" s="84"/>
      <c r="J3" s="84"/>
      <c r="K3" s="78"/>
      <c r="L3" s="87" t="s">
        <v>66</v>
      </c>
      <c r="M3" s="87"/>
      <c r="N3" s="87"/>
      <c r="O3" s="87"/>
      <c r="P3" s="87"/>
      <c r="Q3" s="87"/>
      <c r="R3" s="88" t="n">
        <f aca="false">CEILING(H16,0.05)</f>
        <v>0.8</v>
      </c>
      <c r="S3" s="78"/>
      <c r="T3" s="87" t="s">
        <v>66</v>
      </c>
      <c r="U3" s="87"/>
      <c r="V3" s="87"/>
      <c r="W3" s="87"/>
      <c r="X3" s="87"/>
      <c r="Y3" s="87"/>
      <c r="Z3" s="88" t="n">
        <f aca="false">CEILING(H16,0.05)</f>
        <v>0.8</v>
      </c>
      <c r="AA3" s="78"/>
    </row>
    <row r="4" customFormat="false" ht="16.5" hidden="false" customHeight="true" outlineLevel="0" collapsed="false">
      <c r="B4" s="85" t="s">
        <v>67</v>
      </c>
      <c r="C4" s="85"/>
      <c r="D4" s="85"/>
      <c r="E4" s="85"/>
      <c r="F4" s="85"/>
      <c r="G4" s="85"/>
      <c r="H4" s="86" t="n">
        <v>600</v>
      </c>
      <c r="I4" s="84"/>
      <c r="J4" s="84"/>
      <c r="K4" s="78"/>
      <c r="L4" s="87"/>
      <c r="M4" s="87"/>
      <c r="N4" s="87"/>
      <c r="O4" s="87"/>
      <c r="P4" s="87"/>
      <c r="Q4" s="87"/>
      <c r="R4" s="89" t="n">
        <f aca="false">FLOOR(H16,0.05)</f>
        <v>0.75</v>
      </c>
      <c r="S4" s="78"/>
      <c r="T4" s="87"/>
      <c r="U4" s="87"/>
      <c r="V4" s="87"/>
      <c r="W4" s="87"/>
      <c r="X4" s="87"/>
      <c r="Y4" s="87"/>
      <c r="Z4" s="89" t="n">
        <f aca="false">FLOOR(H16,0.05)</f>
        <v>0.75</v>
      </c>
      <c r="AA4" s="78"/>
    </row>
    <row r="5" customFormat="false" ht="15.75" hidden="false" customHeight="true" outlineLevel="0" collapsed="false">
      <c r="B5" s="85" t="s">
        <v>68</v>
      </c>
      <c r="C5" s="85"/>
      <c r="D5" s="85"/>
      <c r="E5" s="85"/>
      <c r="F5" s="85"/>
      <c r="G5" s="85"/>
      <c r="H5" s="90" t="e">
        <f aca="false">VLOOKUP([1]'Вхідні параметри'!H4,[1]!Таблица3[#data],2,0)</f>
        <v>#N/A</v>
      </c>
      <c r="I5" s="84"/>
      <c r="J5" s="84"/>
      <c r="K5" s="78"/>
      <c r="L5" s="91" t="s">
        <v>69</v>
      </c>
      <c r="M5" s="91"/>
      <c r="N5" s="91"/>
      <c r="O5" s="91"/>
      <c r="P5" s="91"/>
      <c r="Q5" s="91"/>
      <c r="R5" s="92" t="e">
        <f aca="false">VLOOKUP([1]'Вхідні параметри'!H8,[1]!Таблица20[#data],IF(R3=[1]'Табл. 4.6'!AB5,2,IF(R3=[1]'Табл. 4.6'!AC5,3,IF(R3=[1]'Табл. 4.6'!AD5,4,IF(R3=[1]'Табл. 4.6'!AE5,5,IF(R3=[1]'Табл. 4.6'!AF5,6,IF(R3=[1]'Табл. 4.6'!AG5,7,IF(R3=[1]'Табл. 4.6'!AH5,8,IF(R3=[1]'Табл. 4.6'!AI5,9,IF(R3=[1]'Табл. 4.6'!AJ5,10,"error"))))))))),0)</f>
        <v>#N/A</v>
      </c>
      <c r="S5" s="78"/>
      <c r="T5" s="91" t="s">
        <v>69</v>
      </c>
      <c r="U5" s="91"/>
      <c r="V5" s="91"/>
      <c r="W5" s="91"/>
      <c r="X5" s="91"/>
      <c r="Y5" s="91"/>
      <c r="Z5" s="92" t="e">
        <f aca="false">VLOOKUP([1]'Вхідні параметри'!H24,[1]!Таблица20[#data],IF(Z3=[1]'Табл. 4.6'!AB5,2,IF(Z3=[1]'Табл. 4.6'!AC5,3,IF(Z3=[1]'Табл. 4.6'!AD5,4,IF(Z3=[1]'Табл. 4.6'!AE5,5,IF(Z3=[1]'Табл. 4.6'!AF5,6,IF(Z3=[1]'Табл. 4.6'!AG5,7,IF(Z3=[1]'Табл. 4.6'!AH5,8,IF(Z3=[1]'Табл. 4.6'!AI5,9,IF(Z3=[1]'Табл. 4.6'!AJ5,10,"error"))))))))),0)</f>
        <v>#N/A</v>
      </c>
      <c r="AA5" s="78"/>
    </row>
    <row r="6" customFormat="false" ht="16.5" hidden="false" customHeight="true" outlineLevel="0" collapsed="false">
      <c r="B6" s="85" t="s">
        <v>70</v>
      </c>
      <c r="C6" s="85"/>
      <c r="D6" s="85"/>
      <c r="E6" s="85"/>
      <c r="F6" s="85"/>
      <c r="G6" s="85"/>
      <c r="H6" s="90" t="e">
        <f aca="false">VLOOKUP([1]'Вхідні параметри'!H4,[1]!Таблица3[#data],3,0)</f>
        <v>#N/A</v>
      </c>
      <c r="I6" s="84"/>
      <c r="J6" s="84"/>
      <c r="K6" s="78"/>
      <c r="L6" s="91"/>
      <c r="M6" s="91"/>
      <c r="N6" s="91"/>
      <c r="O6" s="91"/>
      <c r="P6" s="91"/>
      <c r="Q6" s="91"/>
      <c r="R6" s="93" t="e">
        <f aca="false">VLOOKUP([1]'Вхідні параметри'!H8,[1]!Таблица20[#data],IF(R4=[1]'Табл. 4.6'!AB5,2,IF(R4=[1]'Табл. 4.6'!AC5,3,IF(R4=[1]'Табл. 4.6'!AD5,4,IF(R4=[1]'Табл. 4.6'!AE5,5,IF(R4=[1]'Табл. 4.6'!AF5,6,IF(R4=[1]'Табл. 4.6'!AG5,7,IF(R4=[1]'Табл. 4.6'!AH5,8,IF(R4=[1]'Табл. 4.6'!AI5,9,IF(R4=[1]'Табл. 4.6'!AJ5,10,"error"))))))))),0)</f>
        <v>#N/A</v>
      </c>
      <c r="S6" s="78"/>
      <c r="T6" s="91"/>
      <c r="U6" s="91"/>
      <c r="V6" s="91"/>
      <c r="W6" s="91"/>
      <c r="X6" s="91"/>
      <c r="Y6" s="91"/>
      <c r="Z6" s="93" t="e">
        <f aca="false">VLOOKUP([1]'Вхідні параметри'!H24,[1]!Таблица20[#data],IF(Z4=[1]'Табл. 4.6'!AB5,2,IF(Z4=[1]'Табл. 4.6'!AC5,3,IF(Z4=[1]'Табл. 4.6'!AD5,4,IF(Z4=[1]'Табл. 4.6'!AE5,5,IF(Z4=[1]'Табл. 4.6'!AF5,6,IF(Z4=[1]'Табл. 4.6'!AG5,7,IF(Z4=[1]'Табл. 4.6'!AH5,8,IF(Z4=[1]'Табл. 4.6'!AI5,9,IF(Z4=[1]'Табл. 4.6'!AJ5,10,"error"))))))))),0)</f>
        <v>#N/A</v>
      </c>
      <c r="AA6" s="78"/>
    </row>
    <row r="7" customFormat="false" ht="15.75" hidden="false" customHeight="true" outlineLevel="0" collapsed="false">
      <c r="B7" s="85" t="s">
        <v>71</v>
      </c>
      <c r="C7" s="85"/>
      <c r="D7" s="85"/>
      <c r="E7" s="85"/>
      <c r="F7" s="85"/>
      <c r="G7" s="85"/>
      <c r="H7" s="90" t="e">
        <f aca="false">VLOOKUP([1]'Вхідні параметри'!H4,[1]!Таблица3[#data],4,0)</f>
        <v>#N/A</v>
      </c>
      <c r="I7" s="84"/>
      <c r="J7" s="84"/>
      <c r="K7" s="78"/>
      <c r="L7" s="94" t="s">
        <v>72</v>
      </c>
      <c r="M7" s="94"/>
      <c r="N7" s="94"/>
      <c r="O7" s="94"/>
      <c r="P7" s="94"/>
      <c r="Q7" s="94"/>
      <c r="R7" s="92" t="e">
        <f aca="false">VLOOKUP([1]'Вхідні параметри'!H8,[1]!Таблица10[#data],IF(R3=[1]'Табл. 4.6'!AB5,2,IF(R3=[1]'Табл. 4.6'!AC5,3,IF(R3=[1]'Табл. 4.6'!AD5,4,IF(R3=[1]'Табл. 4.6'!AE5,5,IF(R3=[1]'Табл. 4.6'!AF5,6,IF(R3=[1]'Табл. 4.6'!AG5,7,IF(R3=[1]'Табл. 4.6'!AH5,8,IF(R3=[1]'Табл. 4.6'!AI5,9,IF(R3=[1]'Табл. 4.6'!AJ5,10,"error"))))))))),0)</f>
        <v>#N/A</v>
      </c>
      <c r="S7" s="78"/>
      <c r="T7" s="94" t="s">
        <v>72</v>
      </c>
      <c r="U7" s="94"/>
      <c r="V7" s="94"/>
      <c r="W7" s="94"/>
      <c r="X7" s="94"/>
      <c r="Y7" s="94"/>
      <c r="Z7" s="92" t="e">
        <f aca="false">VLOOKUP([1]'Вхідні параметри'!H24,[1]!Таблица10[#data],IF(Z3=[1]'Табл. 4.6'!AB5,2,IF(Z3=[1]'Табл. 4.6'!AC5,3,IF(Z3=[1]'Табл. 4.6'!AD5,4,IF(Z3=[1]'Табл. 4.6'!AE5,5,IF(Z3=[1]'Табл. 4.6'!AF5,6,IF(Z3=[1]'Табл. 4.6'!AG5,7,IF(Z3=[1]'Табл. 4.6'!AH5,8,IF(Z3=[1]'Табл. 4.6'!AI5,9,IF(Z3=[1]'Табл. 4.6'!AJ5,10,"error"))))))))),0)</f>
        <v>#N/A</v>
      </c>
      <c r="AA7" s="78"/>
    </row>
    <row r="8" customFormat="false" ht="16.5" hidden="false" customHeight="true" outlineLevel="0" collapsed="false">
      <c r="B8" s="85" t="s">
        <v>73</v>
      </c>
      <c r="C8" s="85"/>
      <c r="D8" s="85"/>
      <c r="E8" s="85"/>
      <c r="F8" s="85"/>
      <c r="G8" s="85"/>
      <c r="H8" s="90" t="e">
        <f aca="false">VLOOKUP([1]'Вхідні параметри'!H4,[1]!Таблица3[#data],5,0)</f>
        <v>#N/A</v>
      </c>
      <c r="I8" s="84"/>
      <c r="J8" s="84"/>
      <c r="K8" s="78"/>
      <c r="L8" s="94"/>
      <c r="M8" s="94"/>
      <c r="N8" s="94"/>
      <c r="O8" s="94"/>
      <c r="P8" s="94"/>
      <c r="Q8" s="94"/>
      <c r="R8" s="95" t="e">
        <f aca="false">VLOOKUP([1]'Вхідні параметри'!H8,[1]!Таблица10[#data],IF(R4=[1]'Табл. 4.6'!AB5,2,IF(R4=[1]'Табл. 4.6'!AC5,3,IF(R4=[1]'Табл. 4.6'!AD5,4,IF(R4=[1]'Табл. 4.6'!AE5,5,IF(R4=[1]'Табл. 4.6'!AF5,6,IF(R4=[1]'Табл. 4.6'!AG5,7,IF(R4=[1]'Табл. 4.6'!AH5,8,IF(R4=[1]'Табл. 4.6'!AI5,9,IF(R4=[1]'Табл. 4.6'!AJ5,10,"error"))))))))),0)</f>
        <v>#N/A</v>
      </c>
      <c r="S8" s="78"/>
      <c r="T8" s="94"/>
      <c r="U8" s="94"/>
      <c r="V8" s="94"/>
      <c r="W8" s="94"/>
      <c r="X8" s="94"/>
      <c r="Y8" s="94"/>
      <c r="Z8" s="95" t="e">
        <f aca="false">VLOOKUP([1]'Вхідні параметри'!H24,[1]!Таблица10[#data],IF(Z4=[1]'Табл. 4.6'!AB5,2,IF(Z4=[1]'Табл. 4.6'!AC5,3,IF(Z4=[1]'Табл. 4.6'!AD5,4,IF(Z4=[1]'Табл. 4.6'!AE5,5,IF(Z4=[1]'Табл. 4.6'!AF5,6,IF(Z4=[1]'Табл. 4.6'!AG5,7,IF(Z4=[1]'Табл. 4.6'!AH5,8,IF(Z4=[1]'Табл. 4.6'!AI5,9,IF(Z4=[1]'Табл. 4.6'!AJ5,10,"error"))))))))),0)</f>
        <v>#N/A</v>
      </c>
      <c r="AA8" s="78"/>
    </row>
    <row r="9" customFormat="false" ht="32.25" hidden="false" customHeight="true" outlineLevel="0" collapsed="false">
      <c r="B9" s="96" t="s">
        <v>74</v>
      </c>
      <c r="C9" s="96"/>
      <c r="D9" s="96"/>
      <c r="E9" s="96"/>
      <c r="F9" s="96"/>
      <c r="G9" s="96"/>
      <c r="H9" s="90" t="e">
        <f aca="false">VLOOKUP([1]'Вхідні параметри'!H4,[1]!Таблица3[#data],6,0)</f>
        <v>#N/A</v>
      </c>
      <c r="I9" s="84"/>
      <c r="J9" s="84"/>
      <c r="K9" s="78"/>
      <c r="L9" s="97" t="s">
        <v>75</v>
      </c>
      <c r="M9" s="97"/>
      <c r="N9" s="97"/>
      <c r="O9" s="97"/>
      <c r="P9" s="97"/>
      <c r="Q9" s="97"/>
      <c r="R9" s="92" t="e">
        <f aca="false">VLOOKUP([1]'Вхідні параметри'!H8,[1]!Таблица17[#data],IF(R3=[1]'Табл. 4.6'!AB5,2,IF(R3=[1]'Табл. 4.6'!AC5,3,IF(R3=[1]'Табл. 4.6'!AD5,4,IF(R3=[1]'Табл. 4.6'!AE5,5,IF(R3=[1]'Табл. 4.6'!AF5,6,IF(R3=[1]'Табл. 4.6'!AG5,7,IF(R3=[1]'Табл. 4.6'!AH5,8,IF(R3=[1]'Табл. 4.6'!AI5,9,IF(R3=[1]'Табл. 4.6'!AJ5,10,"error"))))))))),0)</f>
        <v>#N/A</v>
      </c>
      <c r="S9" s="78"/>
      <c r="T9" s="97" t="s">
        <v>75</v>
      </c>
      <c r="U9" s="97"/>
      <c r="V9" s="97"/>
      <c r="W9" s="97"/>
      <c r="X9" s="97"/>
      <c r="Y9" s="97"/>
      <c r="Z9" s="92" t="e">
        <f aca="false">VLOOKUP([1]'Вхідні параметри'!H24,[1]!Таблица17[#data],IF(Z3=[1]'Табл. 4.6'!AB5,2,IF(Z3=[1]'Табл. 4.6'!AC5,3,IF(Z3=[1]'Табл. 4.6'!AD5,4,IF(Z3=[1]'Табл. 4.6'!AE5,5,IF(Z3=[1]'Табл. 4.6'!AF5,6,IF(Z3=[1]'Табл. 4.6'!AG5,7,IF(Z3=[1]'Табл. 4.6'!AH5,8,IF(Z3=[1]'Табл. 4.6'!AI5,9,IF(Z3=[1]'Табл. 4.6'!AJ5,10,"error"))))))))),0)</f>
        <v>#N/A</v>
      </c>
      <c r="AA9" s="78"/>
    </row>
    <row r="10" customFormat="false" ht="16.5" hidden="false" customHeight="true" outlineLevel="0" collapsed="false">
      <c r="B10" s="98" t="s">
        <v>76</v>
      </c>
      <c r="C10" s="98"/>
      <c r="D10" s="98"/>
      <c r="E10" s="98"/>
      <c r="F10" s="98"/>
      <c r="G10" s="98"/>
      <c r="H10" s="99" t="n">
        <f aca="false">VLOOKUP([1]'Вхідні параметри'!H3,[1]'Табл. 6.8'!C3:D7,2,0)</f>
        <v>25</v>
      </c>
      <c r="I10" s="84"/>
      <c r="J10" s="84"/>
      <c r="K10" s="78"/>
      <c r="L10" s="97"/>
      <c r="M10" s="97"/>
      <c r="N10" s="97"/>
      <c r="O10" s="97"/>
      <c r="P10" s="97"/>
      <c r="Q10" s="97"/>
      <c r="R10" s="93" t="e">
        <f aca="false">VLOOKUP([1]'Вхідні параметри'!H8,[1]!Таблица17[#data],IF(R4=[1]'Табл. 4.6'!AB5,2,IF(R4=[1]'Табл. 4.6'!AC5,3,IF(R4=[1]'Табл. 4.6'!AD5,4,IF(R4=[1]'Табл. 4.6'!AE5,5,IF(R4=[1]'Табл. 4.6'!AF5,6,IF(R4=[1]'Табл. 4.6'!AG5,7,IF(R4=[1]'Табл. 4.6'!AH5,8,IF(R4=[1]'Табл. 4.6'!AI5,9,IF(R4=[1]'Табл. 4.6'!AJ5,10,"error"))))))))),0)</f>
        <v>#N/A</v>
      </c>
      <c r="S10" s="78"/>
      <c r="T10" s="97"/>
      <c r="U10" s="97"/>
      <c r="V10" s="97"/>
      <c r="W10" s="97"/>
      <c r="X10" s="97"/>
      <c r="Y10" s="97"/>
      <c r="Z10" s="93" t="e">
        <f aca="false">VLOOKUP([1]'Вхідні параметри'!H24,[1]!Таблица17[#data],IF(Z4=[1]'Табл. 4.6'!AB5,2,IF(Z4=[1]'Табл. 4.6'!AC5,3,IF(Z4=[1]'Табл. 4.6'!AD5,4,IF(Z4=[1]'Табл. 4.6'!AE5,5,IF(Z4=[1]'Табл. 4.6'!AF5,6,IF(Z4=[1]'Табл. 4.6'!AG5,7,IF(Z4=[1]'Табл. 4.6'!AH5,8,IF(Z4=[1]'Табл. 4.6'!AI5,9,IF(Z4=[1]'Табл. 4.6'!AJ5,10,"error"))))))))),0)</f>
        <v>#N/A</v>
      </c>
      <c r="AA10" s="78"/>
    </row>
    <row r="11" customFormat="false" ht="15.75" hidden="false" customHeight="true" outlineLevel="0" collapsed="false">
      <c r="B11" s="100" t="s">
        <v>77</v>
      </c>
      <c r="C11" s="100"/>
      <c r="D11" s="100"/>
      <c r="E11" s="100"/>
      <c r="F11" s="100"/>
      <c r="G11" s="100"/>
      <c r="H11" s="101" t="e">
        <f aca="false">VLOOKUP([1]'Вхідні параметри'!H7,IF([1]'Вхідні параметри'!B6=[1]'Табл. 4.1 - 4.5'!B6,[1]!Таблица4[#data],IF([1]'Вхідні параметри'!B6=[1]'Табл. 4.1 - 4.5'!B7,[1]!Таблица5[#data],IF([1]'Вхідні параметри'!B6=[1]'Табл. 4.1 - 4.5'!B8,[1]!Таблица6[#data],IF([1]'Вхідні параметри'!B6=[1]'Табл. 4.1 - 4.5'!B9,[1]!Таблица7[#data],IF([1]'Вхідні параметри'!B6=[1]'Табл. 4.1 - 4.5'!B10,[1]!Таблица8[#data],error))))),2,0)</f>
        <v>#N/A</v>
      </c>
      <c r="I11" s="78"/>
      <c r="J11" s="78"/>
      <c r="K11" s="78"/>
      <c r="L11" s="78"/>
      <c r="M11" s="78"/>
      <c r="N11" s="78"/>
      <c r="O11" s="78"/>
      <c r="P11" s="78"/>
      <c r="Q11" s="78"/>
      <c r="R11" s="78"/>
      <c r="S11" s="78"/>
      <c r="T11" s="78"/>
      <c r="U11" s="78"/>
      <c r="V11" s="78"/>
      <c r="W11" s="78"/>
      <c r="X11" s="78"/>
      <c r="Y11" s="78"/>
      <c r="Z11" s="78"/>
      <c r="AA11" s="78"/>
    </row>
    <row r="12" customFormat="false" ht="15.75" hidden="false" customHeight="false" outlineLevel="0" collapsed="false">
      <c r="B12" s="102" t="s">
        <v>78</v>
      </c>
      <c r="C12" s="102"/>
      <c r="D12" s="102"/>
      <c r="E12" s="102"/>
      <c r="F12" s="102"/>
      <c r="G12" s="102"/>
      <c r="H12" s="99" t="n">
        <f aca="false">VLOOKUP(H5,[1]Табл.6.2!B3:C7,2,0)</f>
        <v>1.97</v>
      </c>
      <c r="I12" s="103"/>
      <c r="J12" s="103"/>
      <c r="K12" s="78"/>
      <c r="L12" s="78"/>
      <c r="M12" s="78"/>
      <c r="N12" s="78"/>
      <c r="O12" s="78"/>
      <c r="P12" s="78"/>
      <c r="Q12" s="78"/>
      <c r="R12" s="78"/>
      <c r="S12" s="78"/>
      <c r="T12" s="78"/>
      <c r="U12" s="78"/>
      <c r="V12" s="78"/>
      <c r="W12" s="78"/>
      <c r="X12" s="78"/>
      <c r="Y12" s="78"/>
      <c r="Z12" s="78"/>
      <c r="AA12" s="78"/>
    </row>
    <row r="13" customFormat="false" ht="32.25" hidden="false" customHeight="true" outlineLevel="0" collapsed="false">
      <c r="B13" s="104" t="s">
        <v>79</v>
      </c>
      <c r="C13" s="104"/>
      <c r="D13" s="104"/>
      <c r="E13" s="104"/>
      <c r="F13" s="104"/>
      <c r="G13" s="104"/>
      <c r="H13" s="105" t="e">
        <f aca="false">VLOOKUP([1]'Вхідні параметри'!H7,IF([1]'Вхідні параметри'!B6=[1]'Табл. 4.1 - 4.5'!B6,[1]!Таблица4[#data],IF([1]'Вхідні параметри'!B6=[1]'Табл. 4.1 - 4.5'!B7,[1]!Таблица5[#data],IF([1]'Вхідні параметри'!B6=[1]'Табл. 4.1 - 4.5'!B8,[1]!Таблица6[#data],IF([1]'Вхідні параметри'!B6=[1]'Табл. 4.1 - 4.5'!B9,[1]!Таблица7[#data],IF([1]'Вхідні параметри'!B6=[1]'Табл. 4.1 - 4.5'!B10,[1]!Таблица8[#data],error))))),IF(OR([1]'Вхідні параметри'!H4=[1]'Табл. 4.1 - 4.5'!B12,[1]'Вхідні параметри'!H4=[1]'Табл. 4.1 - 4.5'!B13,[1]'Вхідні параметри'!H4=[1]'Табл. 4.1 - 4.5'!B14),3,IF(OR([1]'Вхідні параметри'!H4=[1]'Табл. 4.1 - 4.5'!B15,[1]'Вхідні параметри'!H4=[1]'Табл. 4.1 - 4.5'!B16),4,IF([1]'Вхідні параметри'!H4=[1]'Табл. 4.1 - 4.5'!B17,5,error))),0)</f>
        <v>#N/A</v>
      </c>
      <c r="I13" s="84"/>
      <c r="J13" s="84"/>
      <c r="K13" s="78"/>
      <c r="L13" s="78"/>
      <c r="M13" s="78"/>
      <c r="N13" s="78"/>
      <c r="O13" s="78"/>
      <c r="P13" s="78"/>
      <c r="Q13" s="78"/>
      <c r="R13" s="78"/>
      <c r="S13" s="78"/>
      <c r="T13" s="78"/>
      <c r="U13" s="78"/>
      <c r="V13" s="78"/>
      <c r="W13" s="78"/>
      <c r="X13" s="78"/>
      <c r="Y13" s="78"/>
      <c r="Z13" s="78"/>
      <c r="AA13" s="78"/>
    </row>
    <row r="14" customFormat="false" ht="33" hidden="false" customHeight="true" outlineLevel="0" collapsed="false">
      <c r="B14" s="106" t="s">
        <v>80</v>
      </c>
      <c r="C14" s="106"/>
      <c r="D14" s="106"/>
      <c r="E14" s="106"/>
      <c r="F14" s="106"/>
      <c r="G14" s="106"/>
      <c r="H14" s="107" t="n">
        <f aca="false">VLOOKUP([1]'Вхідні параметри'!H12,[1]'Табл. 4.7'!C7:G16,IF(OR([1]'Вхідні параметри'!H4=[1]'Таблиця 6.1'!B4,[1]'Вхідні параметри'!H4=[1]'Таблиця 6.1'!B5),2,IF([1]'Вхідні параметри'!H4=[1]'Таблиця 6.1'!B6,3,IF([1]'Вхідні параметри'!H4=[1]'Таблиця 6.1'!B7,4,IF([1]'Вхідні параметри'!H4=[1]'Таблиця 6.1'!B8,5,0)))),0)</f>
        <v>0.05</v>
      </c>
      <c r="I14" s="84"/>
      <c r="J14" s="84"/>
      <c r="K14" s="78"/>
      <c r="L14" s="78"/>
      <c r="M14" s="78"/>
      <c r="N14" s="78"/>
      <c r="O14" s="78"/>
      <c r="P14" s="78"/>
      <c r="Q14" s="78"/>
      <c r="R14" s="78"/>
      <c r="S14" s="78"/>
      <c r="T14" s="78"/>
      <c r="U14" s="78"/>
      <c r="V14" s="78"/>
      <c r="W14" s="78"/>
      <c r="X14" s="78"/>
      <c r="Y14" s="78"/>
      <c r="Z14" s="78"/>
      <c r="AA14" s="78"/>
    </row>
    <row r="15" customFormat="false" ht="15" hidden="false" customHeight="false" outlineLevel="0" collapsed="false">
      <c r="B15" s="108" t="s">
        <v>81</v>
      </c>
      <c r="C15" s="108"/>
      <c r="D15" s="108"/>
      <c r="E15" s="108"/>
      <c r="F15" s="108"/>
      <c r="G15" s="108"/>
      <c r="H15" s="109" t="n">
        <v>0.1</v>
      </c>
      <c r="I15" s="84"/>
      <c r="J15" s="84"/>
      <c r="K15" s="78"/>
      <c r="L15" s="78"/>
      <c r="M15" s="78"/>
      <c r="N15" s="78"/>
      <c r="O15" s="78"/>
      <c r="P15" s="78"/>
      <c r="Q15" s="78"/>
      <c r="R15" s="78"/>
      <c r="S15" s="78"/>
      <c r="T15" s="78"/>
      <c r="U15" s="78"/>
      <c r="V15" s="78"/>
      <c r="W15" s="78"/>
      <c r="X15" s="78"/>
      <c r="Y15" s="78"/>
      <c r="Z15" s="78"/>
      <c r="AA15" s="78"/>
    </row>
    <row r="16" customFormat="false" ht="15" hidden="false" customHeight="false" outlineLevel="0" collapsed="false">
      <c r="B16" s="110" t="s">
        <v>82</v>
      </c>
      <c r="C16" s="110"/>
      <c r="D16" s="110"/>
      <c r="E16" s="110"/>
      <c r="F16" s="110"/>
      <c r="G16" s="110"/>
      <c r="H16" s="99" t="n">
        <f aca="false">(H13-H14)*(1+H12*H15)</f>
        <v>0.79002</v>
      </c>
      <c r="I16" s="84" t="n">
        <f aca="false">IF(AND(H13&lt;=0.75,[1]РозрахУмовЗсувЗемлПолот!H4&lt;=0.75),(H13-H14)*(1+H12*H15),(-0.967*POWER(H13,2) +1.956*H13-0.924)*0.0001*POWER([1]РозрахУмовЗсувЗемлПолот!H4,2)+(-2.531*POWER(H13,2) +5.745*H13-2.885)*0.01*[1]РозрахУмовЗсувЗемлПолот!H4+(-2.029*POWER(H13,2) +5.319*H13-2.098))</f>
        <v>0.654907214240497</v>
      </c>
      <c r="J16" s="84"/>
      <c r="K16" s="78"/>
      <c r="L16" s="78"/>
      <c r="M16" s="78"/>
      <c r="N16" s="78"/>
      <c r="O16" s="78"/>
      <c r="P16" s="78"/>
      <c r="Q16" s="78"/>
      <c r="R16" s="78"/>
      <c r="S16" s="78"/>
      <c r="T16" s="78"/>
      <c r="U16" s="78"/>
      <c r="V16" s="78"/>
      <c r="W16" s="78"/>
      <c r="X16" s="78"/>
      <c r="Y16" s="78"/>
      <c r="Z16" s="78"/>
      <c r="AA16" s="78"/>
    </row>
    <row r="17" customFormat="false" ht="15.75" hidden="false" customHeight="false" outlineLevel="0" collapsed="false">
      <c r="B17" s="102" t="s">
        <v>83</v>
      </c>
      <c r="C17" s="102"/>
      <c r="D17" s="102"/>
      <c r="E17" s="102"/>
      <c r="F17" s="102"/>
      <c r="G17" s="102"/>
      <c r="H17" s="111" t="e">
        <f aca="false">VLOOKUP([1]'Вхідні параметри'!H8,[1]!Таблица611[#data],2,0)</f>
        <v>#N/A</v>
      </c>
      <c r="I17" s="84"/>
      <c r="J17" s="84"/>
      <c r="K17" s="78"/>
      <c r="L17" s="78"/>
      <c r="M17" s="78"/>
      <c r="N17" s="78"/>
      <c r="O17" s="78"/>
      <c r="P17" s="78"/>
      <c r="Q17" s="78"/>
      <c r="R17" s="78"/>
      <c r="S17" s="78"/>
      <c r="T17" s="78"/>
      <c r="U17" s="78"/>
      <c r="V17" s="78"/>
      <c r="W17" s="78"/>
      <c r="X17" s="78"/>
      <c r="Y17" s="78"/>
      <c r="Z17" s="78"/>
      <c r="AA17" s="78"/>
    </row>
    <row r="18" customFormat="false" ht="15.75" hidden="false" customHeight="true" outlineLevel="0" collapsed="false">
      <c r="B18" s="106" t="s">
        <v>84</v>
      </c>
      <c r="C18" s="106"/>
      <c r="D18" s="106"/>
      <c r="E18" s="106"/>
      <c r="F18" s="106"/>
      <c r="G18" s="106"/>
      <c r="H18" s="112" t="e">
        <f aca="false">VLOOKUP([1]'Вхідні параметри'!H8,[1]!Таблица611[#data],3,0)</f>
        <v>#N/A</v>
      </c>
      <c r="I18" s="84"/>
      <c r="J18" s="84"/>
      <c r="K18" s="78"/>
      <c r="L18" s="78"/>
      <c r="M18" s="78"/>
      <c r="N18" s="78"/>
      <c r="O18" s="78"/>
      <c r="P18" s="78"/>
      <c r="Q18" s="78"/>
      <c r="R18" s="78"/>
      <c r="S18" s="78"/>
      <c r="T18" s="78"/>
      <c r="U18" s="78"/>
      <c r="V18" s="78"/>
      <c r="W18" s="78"/>
      <c r="X18" s="78"/>
      <c r="Y18" s="78"/>
      <c r="Z18" s="78"/>
      <c r="AA18" s="78"/>
    </row>
    <row r="19" customFormat="false" ht="15.75" hidden="false" customHeight="false" outlineLevel="0" collapsed="false">
      <c r="B19" s="106"/>
      <c r="C19" s="106"/>
      <c r="D19" s="106"/>
      <c r="E19" s="106"/>
      <c r="F19" s="106"/>
      <c r="G19" s="106"/>
      <c r="H19" s="113" t="s">
        <v>85</v>
      </c>
      <c r="I19" s="84" t="s">
        <v>86</v>
      </c>
      <c r="J19" s="84"/>
      <c r="K19" s="78"/>
      <c r="L19" s="78"/>
      <c r="M19" s="78"/>
      <c r="N19" s="78"/>
      <c r="O19" s="78"/>
      <c r="P19" s="78"/>
      <c r="Q19" s="78"/>
      <c r="R19" s="78"/>
      <c r="S19" s="78"/>
      <c r="T19" s="78"/>
      <c r="U19" s="78"/>
      <c r="V19" s="78"/>
      <c r="W19" s="78"/>
      <c r="X19" s="78"/>
      <c r="Y19" s="78"/>
      <c r="Z19" s="78"/>
      <c r="AA19" s="78"/>
    </row>
    <row r="20" customFormat="false" ht="15.75" hidden="false" customHeight="true" outlineLevel="0" collapsed="false">
      <c r="B20" s="106" t="s">
        <v>87</v>
      </c>
      <c r="C20" s="106"/>
      <c r="D20" s="106"/>
      <c r="E20" s="106"/>
      <c r="F20" s="106"/>
      <c r="G20" s="106"/>
      <c r="H20" s="114" t="n">
        <f aca="false">R6+(H16-R4)*((R6-R5)/(R4-R3))</f>
        <v>35.5968</v>
      </c>
      <c r="I20" s="115" t="n">
        <f aca="false">Z6+(H16-Z4)*((Z6-Z5)/(Z4-Z3))</f>
        <v>130</v>
      </c>
      <c r="J20" s="84"/>
      <c r="K20" s="78"/>
      <c r="L20" s="78"/>
      <c r="M20" s="78"/>
      <c r="N20" s="78"/>
      <c r="O20" s="78"/>
      <c r="P20" s="78"/>
      <c r="Q20" s="78"/>
      <c r="R20" s="78"/>
      <c r="S20" s="78"/>
      <c r="T20" s="78"/>
      <c r="U20" s="78"/>
      <c r="V20" s="78"/>
      <c r="W20" s="78"/>
      <c r="X20" s="78"/>
      <c r="Y20" s="78"/>
      <c r="Z20" s="78"/>
      <c r="AA20" s="78"/>
    </row>
    <row r="21" customFormat="false" ht="15.75" hidden="false" customHeight="true" outlineLevel="0" collapsed="false">
      <c r="B21" s="106" t="s">
        <v>88</v>
      </c>
      <c r="C21" s="106"/>
      <c r="D21" s="106"/>
      <c r="E21" s="106"/>
      <c r="F21" s="106"/>
      <c r="G21" s="106"/>
      <c r="H21" s="116" t="n">
        <f aca="false">R8+(H16-R4)*((R8-R7)/(R4-R3))</f>
        <v>16.3992</v>
      </c>
      <c r="I21" s="117" t="n">
        <f aca="false">Z8+(H16-Z4)*((Z8-Z7)/(Z4-Z3))</f>
        <v>35</v>
      </c>
      <c r="J21" s="84"/>
      <c r="K21" s="78"/>
      <c r="L21" s="78"/>
      <c r="M21" s="78"/>
      <c r="N21" s="78"/>
      <c r="O21" s="78"/>
      <c r="P21" s="78"/>
      <c r="Q21" s="78"/>
      <c r="R21" s="78"/>
      <c r="S21" s="78"/>
      <c r="T21" s="78"/>
      <c r="U21" s="78"/>
      <c r="V21" s="78"/>
      <c r="W21" s="78"/>
      <c r="X21" s="78"/>
      <c r="Y21" s="78"/>
      <c r="Z21" s="78"/>
      <c r="AA21" s="78"/>
    </row>
    <row r="22" customFormat="false" ht="15.75" hidden="false" customHeight="true" outlineLevel="0" collapsed="false">
      <c r="B22" s="118" t="s">
        <v>89</v>
      </c>
      <c r="C22" s="118"/>
      <c r="D22" s="118"/>
      <c r="E22" s="118"/>
      <c r="F22" s="118"/>
      <c r="G22" s="118"/>
      <c r="H22" s="119" t="n">
        <f aca="false">R10+(H16-R4)*((R10-R9)/(R4-R3))</f>
        <v>0.0095988</v>
      </c>
      <c r="I22" s="120" t="n">
        <f aca="false">Z10+(H16-Z4)*((Z10-Z9)/(Z4-Z3))</f>
        <v>0.004</v>
      </c>
      <c r="J22" s="84"/>
      <c r="K22" s="78"/>
      <c r="L22" s="78"/>
      <c r="M22" s="78"/>
      <c r="N22" s="78"/>
      <c r="O22" s="78"/>
      <c r="P22" s="78"/>
      <c r="Q22" s="78"/>
      <c r="R22" s="78"/>
      <c r="S22" s="78"/>
      <c r="T22" s="78"/>
      <c r="U22" s="78"/>
      <c r="V22" s="78"/>
      <c r="W22" s="78"/>
      <c r="X22" s="78"/>
      <c r="Y22" s="78"/>
      <c r="Z22" s="78"/>
      <c r="AA22" s="78"/>
    </row>
    <row r="23" customFormat="false" ht="15" hidden="false" customHeight="true" outlineLevel="0" collapsed="false">
      <c r="B23" s="106" t="s">
        <v>90</v>
      </c>
      <c r="C23" s="106"/>
      <c r="D23" s="106"/>
      <c r="E23" s="106"/>
      <c r="F23" s="106"/>
      <c r="G23" s="106"/>
      <c r="H23" s="107" t="e">
        <f aca="false">VLOOKUP([1]'Вхідні параметри'!H10,[1]!Таблица9[#data],2,0)</f>
        <v>#N/A</v>
      </c>
      <c r="I23" s="84"/>
      <c r="J23" s="84"/>
      <c r="K23" s="78"/>
      <c r="L23" s="78"/>
      <c r="M23" s="78"/>
      <c r="N23" s="78"/>
      <c r="O23" s="78"/>
      <c r="P23" s="78"/>
      <c r="Q23" s="78"/>
      <c r="R23" s="78"/>
      <c r="S23" s="78"/>
      <c r="T23" s="78"/>
      <c r="U23" s="78"/>
      <c r="V23" s="78"/>
      <c r="W23" s="78"/>
      <c r="X23" s="78"/>
      <c r="Y23" s="78"/>
      <c r="Z23" s="78"/>
      <c r="AA23" s="78"/>
    </row>
    <row r="24" customFormat="false" ht="31.5" hidden="false" customHeight="true" outlineLevel="0" collapsed="false">
      <c r="B24" s="106" t="s">
        <v>91</v>
      </c>
      <c r="C24" s="106"/>
      <c r="D24" s="106"/>
      <c r="E24" s="106"/>
      <c r="F24" s="106"/>
      <c r="G24" s="106"/>
      <c r="H24" s="107" t="e">
        <f aca="false">VLOOKUP([1]'Вхідні параметри'!H10,[1]!Таблица9[#data],3,0)</f>
        <v>#N/A</v>
      </c>
      <c r="I24" s="84"/>
      <c r="J24" s="84"/>
      <c r="K24" s="78"/>
      <c r="L24" s="78"/>
      <c r="M24" s="78"/>
      <c r="N24" s="78"/>
      <c r="O24" s="78"/>
      <c r="P24" s="78"/>
      <c r="Q24" s="78"/>
      <c r="R24" s="78"/>
      <c r="S24" s="78"/>
      <c r="T24" s="78"/>
      <c r="U24" s="78"/>
      <c r="V24" s="78"/>
      <c r="W24" s="78"/>
      <c r="X24" s="78"/>
      <c r="Y24" s="78"/>
      <c r="Z24" s="78"/>
      <c r="AA24" s="78"/>
    </row>
    <row r="25" customFormat="false" ht="15" hidden="false" customHeight="true" outlineLevel="0" collapsed="false">
      <c r="B25" s="106" t="s">
        <v>92</v>
      </c>
      <c r="C25" s="106"/>
      <c r="D25" s="106"/>
      <c r="E25" s="106"/>
      <c r="F25" s="106"/>
      <c r="G25" s="106"/>
      <c r="H25" s="107" t="e">
        <f aca="false">VLOOKUP([1]'Вхідні параметри'!H10,[1]!Таблица9[#data],4,0)</f>
        <v>#N/A</v>
      </c>
      <c r="I25" s="84"/>
      <c r="J25" s="84"/>
      <c r="K25" s="78"/>
      <c r="L25" s="78"/>
      <c r="M25" s="78"/>
      <c r="N25" s="78"/>
      <c r="O25" s="78"/>
      <c r="P25" s="78"/>
      <c r="Q25" s="78"/>
      <c r="R25" s="78"/>
      <c r="S25" s="78"/>
      <c r="T25" s="78"/>
      <c r="U25" s="78"/>
      <c r="V25" s="78"/>
      <c r="W25" s="78"/>
      <c r="X25" s="78"/>
      <c r="Y25" s="78"/>
      <c r="Z25" s="78"/>
      <c r="AA25" s="78"/>
    </row>
    <row r="26" customFormat="false" ht="15" hidden="false" customHeight="true" outlineLevel="0" collapsed="false">
      <c r="B26" s="106" t="s">
        <v>93</v>
      </c>
      <c r="C26" s="106"/>
      <c r="D26" s="106"/>
      <c r="E26" s="106"/>
      <c r="F26" s="106"/>
      <c r="G26" s="106"/>
      <c r="H26" s="107" t="e">
        <f aca="false">VLOOKUP([1]'Вхідні параметри'!H10,[1]!Таблица9[#data],5,0)</f>
        <v>#N/A</v>
      </c>
      <c r="I26" s="84"/>
      <c r="J26" s="84"/>
      <c r="K26" s="78"/>
      <c r="L26" s="78"/>
      <c r="M26" s="78"/>
      <c r="N26" s="78"/>
      <c r="O26" s="78"/>
      <c r="P26" s="78"/>
      <c r="Q26" s="78"/>
      <c r="R26" s="78"/>
      <c r="S26" s="78"/>
      <c r="T26" s="78"/>
      <c r="U26" s="78"/>
      <c r="V26" s="78"/>
      <c r="W26" s="78"/>
      <c r="X26" s="78"/>
      <c r="Y26" s="78"/>
      <c r="Z26" s="78"/>
      <c r="AA26" s="78"/>
    </row>
    <row r="27" customFormat="false" ht="15" hidden="false" customHeight="true" outlineLevel="0" collapsed="false">
      <c r="B27" s="106" t="s">
        <v>94</v>
      </c>
      <c r="C27" s="106"/>
      <c r="D27" s="106"/>
      <c r="E27" s="106"/>
      <c r="F27" s="106"/>
      <c r="G27" s="106"/>
      <c r="H27" s="107" t="e">
        <f aca="false">VLOOKUP([1]'Вхідні параметри'!H10,[1]!Таблица9[#data],6,0)</f>
        <v>#N/A</v>
      </c>
      <c r="I27" s="84"/>
      <c r="J27" s="84"/>
      <c r="K27" s="78"/>
      <c r="L27" s="78"/>
      <c r="M27" s="78"/>
      <c r="N27" s="78"/>
      <c r="O27" s="78"/>
      <c r="P27" s="78"/>
      <c r="Q27" s="78"/>
      <c r="R27" s="78"/>
      <c r="S27" s="78"/>
      <c r="T27" s="78"/>
      <c r="U27" s="78"/>
      <c r="V27" s="78"/>
      <c r="W27" s="78"/>
      <c r="X27" s="78"/>
      <c r="Y27" s="78"/>
      <c r="Z27" s="78"/>
      <c r="AA27" s="78"/>
    </row>
    <row r="28" customFormat="false" ht="15" hidden="false" customHeight="true" outlineLevel="0" collapsed="false">
      <c r="B28" s="106" t="s">
        <v>95</v>
      </c>
      <c r="C28" s="106"/>
      <c r="D28" s="106"/>
      <c r="E28" s="106"/>
      <c r="F28" s="106"/>
      <c r="G28" s="106"/>
      <c r="H28" s="107" t="n">
        <v>1.3</v>
      </c>
      <c r="I28" s="84"/>
      <c r="J28" s="84"/>
      <c r="K28" s="78"/>
      <c r="L28" s="78"/>
      <c r="M28" s="78"/>
      <c r="N28" s="78"/>
      <c r="O28" s="78"/>
      <c r="P28" s="78"/>
      <c r="Q28" s="78"/>
      <c r="R28" s="78"/>
      <c r="S28" s="78"/>
      <c r="T28" s="78"/>
      <c r="U28" s="78"/>
      <c r="V28" s="78"/>
      <c r="W28" s="78"/>
      <c r="X28" s="78"/>
      <c r="Y28" s="78"/>
      <c r="Z28" s="78"/>
      <c r="AA28" s="78"/>
    </row>
    <row r="29" customFormat="false" ht="15" hidden="false" customHeight="true" outlineLevel="0" collapsed="false">
      <c r="B29" s="106" t="s">
        <v>96</v>
      </c>
      <c r="C29" s="106"/>
      <c r="D29" s="106"/>
      <c r="E29" s="106"/>
      <c r="F29" s="106"/>
      <c r="G29" s="106"/>
      <c r="H29" s="107" t="n">
        <f aca="false">H28*H23</f>
        <v>149.5</v>
      </c>
      <c r="I29" s="84"/>
      <c r="J29" s="84"/>
      <c r="K29" s="78"/>
      <c r="L29" s="78"/>
      <c r="M29" s="78"/>
      <c r="N29" s="78"/>
      <c r="O29" s="78"/>
      <c r="P29" s="78"/>
      <c r="Q29" s="78"/>
      <c r="R29" s="78"/>
      <c r="S29" s="78"/>
      <c r="T29" s="78"/>
      <c r="U29" s="78"/>
      <c r="V29" s="78"/>
      <c r="W29" s="78"/>
      <c r="X29" s="78"/>
      <c r="Y29" s="78"/>
      <c r="Z29" s="78"/>
      <c r="AA29" s="78"/>
    </row>
    <row r="30" customFormat="false" ht="15" hidden="false" customHeight="false" outlineLevel="0" collapsed="false">
      <c r="B30" s="102" t="s">
        <v>97</v>
      </c>
      <c r="C30" s="102"/>
      <c r="D30" s="102"/>
      <c r="E30" s="102"/>
      <c r="F30" s="102"/>
      <c r="G30" s="102"/>
      <c r="H30" s="121" t="n">
        <f aca="false">[1]'Вхідні параметри'!H27/[1]'Вхідні параметри'!H28/[1]'Розрахункові параметриПеревірка'!H2</f>
        <v>5333.33333333333</v>
      </c>
      <c r="I30" s="84"/>
      <c r="J30" s="84"/>
      <c r="K30" s="78"/>
      <c r="L30" s="78"/>
      <c r="M30" s="78"/>
      <c r="N30" s="78"/>
      <c r="O30" s="78"/>
      <c r="P30" s="78"/>
      <c r="Q30" s="78"/>
      <c r="R30" s="78"/>
      <c r="S30" s="78"/>
      <c r="T30" s="78"/>
      <c r="U30" s="78"/>
      <c r="V30" s="78"/>
      <c r="W30" s="78"/>
      <c r="X30" s="78"/>
      <c r="Y30" s="78"/>
      <c r="Z30" s="78"/>
      <c r="AA30" s="78"/>
    </row>
    <row r="31" customFormat="false" ht="15" hidden="false" customHeight="false" outlineLevel="0" collapsed="false">
      <c r="B31" s="122" t="s">
        <v>98</v>
      </c>
      <c r="C31" s="122"/>
      <c r="D31" s="122"/>
      <c r="E31" s="122"/>
      <c r="F31" s="122"/>
      <c r="G31" s="122"/>
      <c r="H31" s="123"/>
      <c r="I31" s="84"/>
      <c r="J31" s="84"/>
      <c r="K31" s="78"/>
      <c r="L31" s="78"/>
      <c r="M31" s="78"/>
      <c r="N31" s="78"/>
      <c r="O31" s="78"/>
      <c r="P31" s="78"/>
      <c r="Q31" s="78"/>
      <c r="R31" s="78"/>
      <c r="S31" s="78"/>
      <c r="T31" s="78"/>
      <c r="U31" s="78"/>
      <c r="V31" s="78"/>
      <c r="W31" s="78"/>
      <c r="X31" s="78"/>
      <c r="Y31" s="78"/>
      <c r="Z31" s="78"/>
      <c r="AA31" s="78"/>
    </row>
    <row r="32" customFormat="false" ht="15" hidden="false" customHeight="true" outlineLevel="0" collapsed="false">
      <c r="B32" s="106" t="s">
        <v>18</v>
      </c>
      <c r="C32" s="106"/>
      <c r="D32" s="106"/>
      <c r="E32" s="106"/>
      <c r="F32" s="106"/>
      <c r="G32" s="106"/>
      <c r="H32" s="99" t="e">
        <f aca="false">VLOOKUP([1]'Вхідні параметри'!H4,[1]!Таблица18[#data],2,0)</f>
        <v>#N/A</v>
      </c>
      <c r="I32" s="84"/>
      <c r="J32" s="84"/>
      <c r="K32" s="78"/>
      <c r="L32" s="78"/>
      <c r="M32" s="78"/>
      <c r="N32" s="78"/>
      <c r="O32" s="78"/>
      <c r="P32" s="78"/>
      <c r="Q32" s="78"/>
      <c r="R32" s="78"/>
      <c r="S32" s="78"/>
      <c r="T32" s="78"/>
      <c r="U32" s="78"/>
      <c r="V32" s="78"/>
      <c r="W32" s="78"/>
      <c r="X32" s="78"/>
      <c r="Y32" s="78"/>
      <c r="Z32" s="78"/>
      <c r="AA32" s="78"/>
    </row>
    <row r="33" customFormat="false" ht="15" hidden="false" customHeight="true" outlineLevel="0" collapsed="false">
      <c r="B33" s="106" t="s">
        <v>99</v>
      </c>
      <c r="C33" s="106"/>
      <c r="D33" s="106"/>
      <c r="E33" s="106"/>
      <c r="F33" s="106"/>
      <c r="G33" s="106"/>
      <c r="H33" s="99" t="e">
        <f aca="false">VLOOKUP([1]'Вхідні параметри'!H4,[1]!Таблица18[#data],3,0)</f>
        <v>#N/A</v>
      </c>
      <c r="I33" s="84"/>
      <c r="J33" s="84"/>
      <c r="K33" s="78"/>
      <c r="L33" s="78"/>
      <c r="M33" s="78"/>
      <c r="N33" s="78"/>
      <c r="O33" s="78"/>
      <c r="P33" s="78"/>
      <c r="Q33" s="78"/>
      <c r="R33" s="78"/>
      <c r="S33" s="78"/>
      <c r="T33" s="78"/>
      <c r="U33" s="78"/>
      <c r="V33" s="78"/>
      <c r="W33" s="78"/>
      <c r="X33" s="78"/>
      <c r="Y33" s="78"/>
      <c r="Z33" s="78"/>
      <c r="AA33" s="78"/>
    </row>
    <row r="34" customFormat="false" ht="15" hidden="false" customHeight="true" outlineLevel="0" collapsed="false">
      <c r="B34" s="106" t="s">
        <v>100</v>
      </c>
      <c r="C34" s="106"/>
      <c r="D34" s="106"/>
      <c r="E34" s="106"/>
      <c r="F34" s="106"/>
      <c r="G34" s="106"/>
      <c r="H34" s="99" t="e">
        <f aca="false">VLOOKUP([1]'Вхідні параметри'!H4,[1]!Таблица18[#data],4,0)</f>
        <v>#N/A</v>
      </c>
      <c r="I34" s="84"/>
      <c r="J34" s="84"/>
      <c r="K34" s="78"/>
      <c r="L34" s="78"/>
      <c r="M34" s="78"/>
      <c r="N34" s="78"/>
      <c r="O34" s="78"/>
      <c r="P34" s="78"/>
      <c r="Q34" s="78"/>
      <c r="R34" s="78"/>
      <c r="S34" s="78"/>
      <c r="T34" s="78"/>
      <c r="U34" s="78"/>
      <c r="V34" s="78"/>
      <c r="W34" s="78"/>
      <c r="X34" s="78"/>
      <c r="Y34" s="78"/>
      <c r="Z34" s="78"/>
      <c r="AA34" s="78"/>
    </row>
    <row r="35" customFormat="false" ht="15" hidden="false" customHeight="true" outlineLevel="0" collapsed="false">
      <c r="B35" s="106" t="s">
        <v>101</v>
      </c>
      <c r="C35" s="106"/>
      <c r="D35" s="106"/>
      <c r="E35" s="106"/>
      <c r="F35" s="106"/>
      <c r="G35" s="106"/>
      <c r="H35" s="99" t="e">
        <f aca="false">VLOOKUP([1]'Вхідні параметри'!H4,[1]!Таблица18[#data],5,0)</f>
        <v>#N/A</v>
      </c>
      <c r="I35" s="84"/>
      <c r="J35" s="84"/>
      <c r="K35" s="78"/>
      <c r="L35" s="78"/>
      <c r="M35" s="78"/>
      <c r="N35" s="78"/>
      <c r="O35" s="78"/>
      <c r="P35" s="78"/>
      <c r="Q35" s="78"/>
      <c r="R35" s="78"/>
      <c r="S35" s="78"/>
      <c r="T35" s="78"/>
      <c r="U35" s="78"/>
      <c r="V35" s="78"/>
      <c r="W35" s="78"/>
      <c r="X35" s="78"/>
      <c r="Y35" s="78"/>
      <c r="Z35" s="78"/>
      <c r="AA35" s="78"/>
    </row>
    <row r="36" customFormat="false" ht="15" hidden="false" customHeight="true" outlineLevel="0" collapsed="false">
      <c r="B36" s="106" t="s">
        <v>102</v>
      </c>
      <c r="C36" s="106"/>
      <c r="D36" s="106"/>
      <c r="E36" s="106"/>
      <c r="F36" s="106"/>
      <c r="G36" s="106"/>
      <c r="H36" s="99" t="e">
        <f aca="false">VLOOKUP([1]'Вхідні параметри'!H4,[1]!Таблица18[#data],6,0)</f>
        <v>#N/A</v>
      </c>
      <c r="I36" s="84"/>
      <c r="J36" s="84"/>
      <c r="K36" s="78"/>
      <c r="L36" s="78"/>
      <c r="M36" s="78"/>
      <c r="N36" s="78"/>
      <c r="O36" s="78"/>
      <c r="P36" s="78"/>
      <c r="Q36" s="78"/>
      <c r="R36" s="78"/>
      <c r="S36" s="78"/>
      <c r="T36" s="78"/>
      <c r="U36" s="78"/>
      <c r="V36" s="78"/>
      <c r="W36" s="78"/>
      <c r="X36" s="78"/>
      <c r="Y36" s="78"/>
      <c r="Z36" s="78"/>
      <c r="AA36" s="78"/>
    </row>
    <row r="37" customFormat="false" ht="15" hidden="false" customHeight="true" outlineLevel="0" collapsed="false">
      <c r="B37" s="106" t="s">
        <v>103</v>
      </c>
      <c r="C37" s="106"/>
      <c r="D37" s="106"/>
      <c r="E37" s="106"/>
      <c r="F37" s="106"/>
      <c r="G37" s="106"/>
      <c r="H37" s="99" t="e">
        <f aca="false">VLOOKUP([1]'Вхідні параметри'!H4,[1]!Таблица18[#data],7,0)</f>
        <v>#N/A</v>
      </c>
      <c r="I37" s="84"/>
      <c r="J37" s="84"/>
      <c r="K37" s="78"/>
      <c r="L37" s="78"/>
      <c r="M37" s="78"/>
      <c r="N37" s="78"/>
      <c r="O37" s="78"/>
      <c r="P37" s="78"/>
      <c r="Q37" s="78"/>
      <c r="R37" s="78"/>
      <c r="S37" s="78"/>
      <c r="T37" s="78"/>
      <c r="U37" s="78"/>
      <c r="V37" s="78"/>
      <c r="W37" s="78"/>
      <c r="X37" s="78"/>
      <c r="Y37" s="78"/>
      <c r="Z37" s="78"/>
      <c r="AA37" s="78"/>
    </row>
    <row r="38" customFormat="false" ht="15.75" hidden="false" customHeight="true" outlineLevel="0" collapsed="false">
      <c r="B38" s="118" t="s">
        <v>104</v>
      </c>
      <c r="C38" s="118"/>
      <c r="D38" s="118"/>
      <c r="E38" s="118"/>
      <c r="F38" s="118"/>
      <c r="G38" s="118"/>
      <c r="H38" s="95" t="e">
        <f aca="false">VLOOKUP([1]'Вхідні параметри'!H4,[1]!Таблица18[#data],8,0)</f>
        <v>#N/A</v>
      </c>
      <c r="I38" s="84"/>
      <c r="J38" s="84"/>
      <c r="K38" s="78"/>
      <c r="L38" s="78"/>
      <c r="M38" s="78"/>
      <c r="N38" s="78"/>
      <c r="O38" s="78"/>
      <c r="P38" s="78"/>
      <c r="Q38" s="78"/>
      <c r="R38" s="78"/>
      <c r="S38" s="78"/>
      <c r="T38" s="78"/>
      <c r="U38" s="78"/>
      <c r="V38" s="78"/>
      <c r="W38" s="78"/>
      <c r="X38" s="78"/>
      <c r="Y38" s="78"/>
      <c r="Z38" s="78"/>
      <c r="AA38" s="78"/>
    </row>
    <row r="39" customFormat="false" ht="15" hidden="false" customHeight="false" outlineLevel="0" collapsed="false">
      <c r="B39" s="124" t="s">
        <v>105</v>
      </c>
      <c r="C39" s="124"/>
      <c r="D39" s="124"/>
      <c r="E39" s="124"/>
      <c r="F39" s="124"/>
      <c r="G39" s="124"/>
      <c r="H39" s="125" t="e">
        <f aca="false">VLOOKUP([1]'Вхідні параметри'!H11,[1]!Таблица820[#data],2,0)</f>
        <v>#N/A</v>
      </c>
      <c r="I39" s="84"/>
      <c r="J39" s="84"/>
      <c r="K39" s="78"/>
      <c r="L39" s="78"/>
      <c r="M39" s="78"/>
      <c r="N39" s="78"/>
      <c r="O39" s="78"/>
      <c r="P39" s="78"/>
      <c r="Q39" s="78"/>
      <c r="R39" s="78"/>
      <c r="S39" s="78"/>
      <c r="T39" s="78"/>
      <c r="U39" s="78"/>
      <c r="V39" s="78"/>
      <c r="W39" s="78"/>
      <c r="X39" s="78"/>
      <c r="Y39" s="78"/>
      <c r="Z39" s="78"/>
      <c r="AA39" s="78"/>
    </row>
    <row r="40" customFormat="false" ht="15" hidden="false" customHeight="false" outlineLevel="0" collapsed="false">
      <c r="B40" s="126" t="s">
        <v>106</v>
      </c>
      <c r="C40" s="126"/>
      <c r="D40" s="126"/>
      <c r="E40" s="126"/>
      <c r="F40" s="126"/>
      <c r="G40" s="126"/>
      <c r="H40" s="107" t="e">
        <f aca="false">VLOOKUP([1]'Вхідні параметри'!H11,[1]!Таблица820[#data],3,0)</f>
        <v>#N/A</v>
      </c>
      <c r="I40" s="84"/>
      <c r="J40" s="84"/>
      <c r="K40" s="78"/>
      <c r="L40" s="78"/>
      <c r="M40" s="78"/>
      <c r="N40" s="78"/>
      <c r="O40" s="78"/>
      <c r="P40" s="78"/>
      <c r="Q40" s="78"/>
      <c r="R40" s="78"/>
      <c r="S40" s="78"/>
      <c r="T40" s="78"/>
      <c r="U40" s="78"/>
      <c r="V40" s="78"/>
      <c r="W40" s="78"/>
      <c r="X40" s="78"/>
      <c r="Y40" s="78"/>
      <c r="Z40" s="78"/>
      <c r="AA40" s="78"/>
    </row>
    <row r="41" customFormat="false" ht="15" hidden="false" customHeight="false" outlineLevel="0" collapsed="false">
      <c r="B41" s="126" t="s">
        <v>107</v>
      </c>
      <c r="C41" s="126"/>
      <c r="D41" s="126"/>
      <c r="E41" s="126"/>
      <c r="F41" s="126"/>
      <c r="G41" s="126"/>
      <c r="H41" s="107" t="e">
        <f aca="false">VLOOKUP([1]'Вхідні параметри'!H11,[1]!Таблица820[#data],4,0)</f>
        <v>#N/A</v>
      </c>
      <c r="I41" s="84"/>
      <c r="J41" s="84"/>
      <c r="K41" s="78"/>
      <c r="L41" s="78"/>
      <c r="M41" s="78"/>
      <c r="N41" s="78"/>
      <c r="O41" s="78"/>
      <c r="P41" s="78"/>
      <c r="Q41" s="78"/>
      <c r="R41" s="78"/>
      <c r="S41" s="78"/>
      <c r="T41" s="78"/>
      <c r="U41" s="78"/>
      <c r="V41" s="78"/>
      <c r="W41" s="78"/>
      <c r="X41" s="78"/>
      <c r="Y41" s="78"/>
      <c r="Z41" s="78"/>
      <c r="AA41" s="78"/>
    </row>
    <row r="42" customFormat="false" ht="15.75" hidden="false" customHeight="false" outlineLevel="0" collapsed="false">
      <c r="B42" s="127" t="s">
        <v>108</v>
      </c>
      <c r="C42" s="127"/>
      <c r="D42" s="127"/>
      <c r="E42" s="127"/>
      <c r="F42" s="127"/>
      <c r="G42" s="127"/>
      <c r="H42" s="105" t="e">
        <f aca="false">VLOOKUP([1]'Вхідні параметри'!H11,[1]!Таблица820[#data],5,0)</f>
        <v>#N/A</v>
      </c>
      <c r="I42" s="84"/>
      <c r="J42" s="84"/>
      <c r="K42" s="78"/>
      <c r="L42" s="78"/>
      <c r="M42" s="78"/>
      <c r="N42" s="78"/>
      <c r="O42" s="78"/>
      <c r="P42" s="78"/>
      <c r="Q42" s="78"/>
      <c r="R42" s="78"/>
      <c r="S42" s="78"/>
      <c r="T42" s="78"/>
      <c r="U42" s="78"/>
      <c r="V42" s="78"/>
      <c r="W42" s="78"/>
      <c r="X42" s="78"/>
      <c r="Y42" s="78"/>
      <c r="Z42" s="78"/>
      <c r="AA42" s="78"/>
    </row>
    <row r="43" customFormat="false" ht="31.5" hidden="false" customHeight="true" outlineLevel="0" collapsed="false">
      <c r="B43" s="128" t="s">
        <v>109</v>
      </c>
      <c r="C43" s="128"/>
      <c r="D43" s="128"/>
      <c r="E43" s="128"/>
      <c r="F43" s="128"/>
      <c r="G43" s="128"/>
      <c r="H43" s="129" t="e">
        <f aca="false">VLOOKUP([1]'Вхідні параметри'!H4,[1]!Таблица21[#data],2,0)</f>
        <v>#N/A</v>
      </c>
      <c r="I43" s="84"/>
      <c r="J43" s="84"/>
      <c r="K43" s="78"/>
      <c r="L43" s="78"/>
      <c r="M43" s="78"/>
      <c r="N43" s="78"/>
      <c r="O43" s="78"/>
      <c r="P43" s="78"/>
      <c r="Q43" s="78"/>
      <c r="R43" s="78"/>
      <c r="S43" s="78"/>
      <c r="T43" s="78"/>
      <c r="U43" s="78"/>
      <c r="V43" s="78"/>
      <c r="W43" s="78"/>
      <c r="X43" s="78"/>
      <c r="Y43" s="78"/>
      <c r="Z43" s="78"/>
      <c r="AA43" s="78"/>
    </row>
    <row r="44" customFormat="false" ht="28.5" hidden="false" customHeight="true" outlineLevel="0" collapsed="false">
      <c r="B44" s="130" t="s">
        <v>110</v>
      </c>
      <c r="C44" s="130"/>
      <c r="D44" s="130"/>
      <c r="E44" s="130"/>
      <c r="F44" s="130"/>
      <c r="G44" s="130"/>
      <c r="H44" s="131" t="e">
        <f aca="false">VLOOKUP([1]'Вхідні параметри'!H4,[1]!Таблица21[#data],3,0)</f>
        <v>#N/A</v>
      </c>
      <c r="I44" s="84"/>
      <c r="J44" s="84"/>
      <c r="K44" s="78"/>
      <c r="L44" s="78"/>
      <c r="M44" s="78"/>
      <c r="N44" s="78"/>
      <c r="O44" s="78"/>
      <c r="P44" s="78"/>
      <c r="Q44" s="78"/>
      <c r="R44" s="78"/>
      <c r="S44" s="78"/>
      <c r="T44" s="78"/>
      <c r="U44" s="78"/>
      <c r="V44" s="78"/>
      <c r="W44" s="78"/>
      <c r="X44" s="78"/>
      <c r="Y44" s="78"/>
      <c r="Z44" s="78"/>
      <c r="AA44" s="78"/>
    </row>
    <row r="45" customFormat="false" ht="30" hidden="false" customHeight="true" outlineLevel="0" collapsed="false">
      <c r="B45" s="132" t="s">
        <v>111</v>
      </c>
      <c r="C45" s="132"/>
      <c r="D45" s="132"/>
      <c r="E45" s="132"/>
      <c r="F45" s="132"/>
      <c r="G45" s="132"/>
      <c r="H45" s="133" t="n">
        <f aca="false">VLOOKUP([1]'Вхідні параметри'!H12,[1]'Табл. 4.7'!C7:G16,IF([1]'Вхідні параметри'!H3=[1]'Таблиця 6.4'!B4,2,IF([1]'Вхідні параметри'!H3=[1]'Таблиця 6.4'!B5,3,IF([1]'Вхідні параметри'!H3=[1]'Таблиця 6.4'!B6,4,IF(OR([1]'Вхідні параметри'!H3=[1]'Таблиця 6.4'!B7,[1]'Вхідні параметри'!H3=[1]'Таблиця 6.4'!B8),5,"error")))),0)</f>
        <v>0.05</v>
      </c>
      <c r="I45" s="84"/>
      <c r="J45" s="84"/>
      <c r="K45" s="78"/>
      <c r="L45" s="78"/>
      <c r="M45" s="78"/>
      <c r="N45" s="78"/>
      <c r="O45" s="78"/>
      <c r="P45" s="78"/>
      <c r="Q45" s="78"/>
      <c r="R45" s="78"/>
      <c r="S45" s="78"/>
      <c r="T45" s="78"/>
      <c r="U45" s="78"/>
      <c r="V45" s="78"/>
      <c r="W45" s="78"/>
      <c r="X45" s="78"/>
      <c r="Y45" s="78"/>
      <c r="Z45" s="78"/>
      <c r="AA45" s="78"/>
    </row>
    <row r="46" customFormat="false" ht="15" hidden="false" customHeight="false" outlineLevel="0" collapsed="false">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row>
    <row r="47" customFormat="false" ht="15" hidden="false" customHeight="false" outlineLevel="0" collapsed="false">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row>
    <row r="48" customFormat="false" ht="15" hidden="false" customHeight="false" outlineLevel="0" collapsed="false">
      <c r="B48" s="134" t="s">
        <v>112</v>
      </c>
      <c r="C48" s="134"/>
      <c r="D48" s="134"/>
      <c r="E48" s="134"/>
      <c r="F48" s="134"/>
      <c r="G48" s="134"/>
      <c r="H48" s="134"/>
      <c r="I48" s="78"/>
      <c r="J48" s="78"/>
      <c r="K48" s="78"/>
      <c r="L48" s="78"/>
      <c r="M48" s="78"/>
      <c r="N48" s="78"/>
      <c r="O48" s="78"/>
      <c r="P48" s="78"/>
      <c r="Q48" s="78"/>
      <c r="R48" s="78"/>
      <c r="S48" s="78"/>
      <c r="T48" s="78"/>
      <c r="U48" s="78"/>
      <c r="V48" s="78"/>
      <c r="W48" s="78"/>
      <c r="X48" s="78"/>
      <c r="Y48" s="78"/>
      <c r="Z48" s="78"/>
      <c r="AA48" s="78"/>
    </row>
    <row r="49" customFormat="false" ht="48" hidden="false" customHeight="true" outlineLevel="0" collapsed="false">
      <c r="A49" s="135" t="s">
        <v>113</v>
      </c>
      <c r="B49" s="136" t="s">
        <v>114</v>
      </c>
      <c r="C49" s="136"/>
      <c r="D49" s="136"/>
      <c r="E49" s="136"/>
      <c r="F49" s="136"/>
      <c r="G49" s="136"/>
      <c r="H49" s="137" t="e">
        <f aca="false">VLOOKUP([1]'Вхідні параметри'!H15,[1]!Таблица22[[матеріал]:[kt]],2,0)</f>
        <v>#N/A</v>
      </c>
      <c r="I49" s="138"/>
      <c r="J49" s="136" t="s">
        <v>5</v>
      </c>
      <c r="K49" s="136" t="s">
        <v>114</v>
      </c>
      <c r="L49" s="136"/>
      <c r="M49" s="136"/>
      <c r="N49" s="136"/>
      <c r="O49" s="136"/>
      <c r="P49" s="136"/>
      <c r="Q49" s="139" t="e">
        <f aca="false">VLOOKUP([1]'Вхідні параметри'!H16,[1]!Таблица22[[матеріал]:[kt]],2,0)</f>
        <v>#N/A</v>
      </c>
      <c r="R49" s="138"/>
      <c r="S49" s="136" t="s">
        <v>115</v>
      </c>
      <c r="T49" s="136" t="s">
        <v>114</v>
      </c>
      <c r="U49" s="136"/>
      <c r="V49" s="136"/>
      <c r="W49" s="136"/>
      <c r="X49" s="136"/>
      <c r="Y49" s="136"/>
      <c r="Z49" s="139" t="e">
        <f aca="false">VLOOKUP([1]'Вхідні параметри'!H17,[1]!Таблица22[[матеріал]:[kt]],2,0)</f>
        <v>#N/A</v>
      </c>
      <c r="AA49" s="78"/>
    </row>
    <row r="50" customFormat="false" ht="15" hidden="false" customHeight="true" outlineLevel="0" collapsed="false">
      <c r="A50" s="135"/>
      <c r="B50" s="140" t="s">
        <v>116</v>
      </c>
      <c r="C50" s="140"/>
      <c r="D50" s="140"/>
      <c r="E50" s="140"/>
      <c r="F50" s="140"/>
      <c r="G50" s="140"/>
      <c r="H50" s="136" t="e">
        <f aca="false">VLOOKUP([1]'Вхідні параметри'!H15,[1]!Таблица22[[матеріал]:[kt]],3,0)</f>
        <v>#N/A</v>
      </c>
      <c r="I50" s="138"/>
      <c r="J50" s="136"/>
      <c r="K50" s="140" t="s">
        <v>116</v>
      </c>
      <c r="L50" s="140"/>
      <c r="M50" s="140"/>
      <c r="N50" s="140"/>
      <c r="O50" s="140"/>
      <c r="P50" s="140"/>
      <c r="Q50" s="136" t="e">
        <f aca="false">VLOOKUP([1]'Вхідні параметри'!H16,[1]!Таблица22[[матеріал]:[kt]],3,0)</f>
        <v>#N/A</v>
      </c>
      <c r="R50" s="138"/>
      <c r="S50" s="136"/>
      <c r="T50" s="140" t="s">
        <v>116</v>
      </c>
      <c r="U50" s="140"/>
      <c r="V50" s="140"/>
      <c r="W50" s="140"/>
      <c r="X50" s="140"/>
      <c r="Y50" s="140"/>
      <c r="Z50" s="136" t="e">
        <f aca="false">VLOOKUP([1]'Вхідні параметри'!H17,[1]!Таблица22[[матеріал]:[kt]],3,0)</f>
        <v>#N/A</v>
      </c>
      <c r="AA50" s="78"/>
    </row>
    <row r="51" customFormat="false" ht="15" hidden="false" customHeight="true" outlineLevel="0" collapsed="false">
      <c r="A51" s="135"/>
      <c r="B51" s="141" t="s">
        <v>117</v>
      </c>
      <c r="C51" s="141"/>
      <c r="D51" s="141"/>
      <c r="E51" s="141"/>
      <c r="F51" s="141"/>
      <c r="G51" s="141"/>
      <c r="H51" s="136" t="e">
        <f aca="false">VLOOKUP([1]'Вхідні параметри'!H15,[1]!Таблица22[[матеріал]:[kt]],4,0)</f>
        <v>#N/A</v>
      </c>
      <c r="I51" s="138"/>
      <c r="J51" s="136"/>
      <c r="K51" s="141" t="s">
        <v>118</v>
      </c>
      <c r="L51" s="141"/>
      <c r="M51" s="141"/>
      <c r="N51" s="141"/>
      <c r="O51" s="141"/>
      <c r="P51" s="141"/>
      <c r="Q51" s="136" t="e">
        <f aca="false">VLOOKUP([1]'Вхідні параметри'!H16,[1]!Таблица22[[матеріал]:[kt]],4,0)</f>
        <v>#N/A</v>
      </c>
      <c r="R51" s="138"/>
      <c r="S51" s="136"/>
      <c r="T51" s="141" t="s">
        <v>118</v>
      </c>
      <c r="U51" s="141"/>
      <c r="V51" s="141"/>
      <c r="W51" s="141"/>
      <c r="X51" s="141"/>
      <c r="Y51" s="141"/>
      <c r="Z51" s="136" t="e">
        <f aca="false">VLOOKUP([1]'Вхідні параметри'!H17,[1]!Таблица22[[матеріал]:[kt]],4,0)</f>
        <v>#N/A</v>
      </c>
      <c r="AA51" s="78"/>
    </row>
    <row r="52" customFormat="false" ht="15" hidden="false" customHeight="false" outlineLevel="0" collapsed="false">
      <c r="A52" s="135"/>
      <c r="B52" s="136" t="s">
        <v>119</v>
      </c>
      <c r="C52" s="136"/>
      <c r="D52" s="136"/>
      <c r="E52" s="136"/>
      <c r="F52" s="136"/>
      <c r="G52" s="136"/>
      <c r="H52" s="136" t="e">
        <f aca="false">VLOOKUP([1]'Вхідні параметри'!H15,[1]!Таблица22[[матеріал]:[kt]],5,0)</f>
        <v>#N/A</v>
      </c>
      <c r="I52" s="138"/>
      <c r="J52" s="136"/>
      <c r="K52" s="136" t="s">
        <v>119</v>
      </c>
      <c r="L52" s="136"/>
      <c r="M52" s="136"/>
      <c r="N52" s="136"/>
      <c r="O52" s="136"/>
      <c r="P52" s="136"/>
      <c r="Q52" s="136" t="e">
        <f aca="false">VLOOKUP([1]'Вхідні параметри'!H16,[1]!Таблица22[[матеріал]:[kt]],5,0)</f>
        <v>#N/A</v>
      </c>
      <c r="R52" s="138"/>
      <c r="S52" s="136"/>
      <c r="T52" s="136" t="s">
        <v>119</v>
      </c>
      <c r="U52" s="136"/>
      <c r="V52" s="136"/>
      <c r="W52" s="136"/>
      <c r="X52" s="136"/>
      <c r="Y52" s="136"/>
      <c r="Z52" s="136" t="e">
        <f aca="false">VLOOKUP([1]'Вхідні параметри'!H17,[1]!Таблица22[[матеріал]:[kt]],5,0)</f>
        <v>#N/A</v>
      </c>
      <c r="AA52" s="78"/>
    </row>
    <row r="53" customFormat="false" ht="15" hidden="false" customHeight="false" outlineLevel="0" collapsed="false">
      <c r="A53" s="135"/>
      <c r="B53" s="142" t="s">
        <v>120</v>
      </c>
      <c r="C53" s="142"/>
      <c r="D53" s="142"/>
      <c r="E53" s="142"/>
      <c r="F53" s="142"/>
      <c r="G53" s="142"/>
      <c r="H53" s="136" t="e">
        <f aca="false">VLOOKUP([1]'Вхідні параметри'!H15,[1]!Таблица22[[матеріал]:[kt]],6,0)</f>
        <v>#N/A</v>
      </c>
      <c r="I53" s="138"/>
      <c r="J53" s="136"/>
      <c r="K53" s="142" t="s">
        <v>120</v>
      </c>
      <c r="L53" s="142"/>
      <c r="M53" s="142"/>
      <c r="N53" s="142"/>
      <c r="O53" s="142"/>
      <c r="P53" s="142"/>
      <c r="Q53" s="136" t="e">
        <f aca="false">VLOOKUP([1]'Вхідні параметри'!H16,[1]!Таблица22[[матеріал]:[kt]],6,0)</f>
        <v>#N/A</v>
      </c>
      <c r="R53" s="138"/>
      <c r="S53" s="136"/>
      <c r="T53" s="142" t="s">
        <v>120</v>
      </c>
      <c r="U53" s="142"/>
      <c r="V53" s="142"/>
      <c r="W53" s="142"/>
      <c r="X53" s="142"/>
      <c r="Y53" s="142"/>
      <c r="Z53" s="136" t="e">
        <f aca="false">VLOOKUP([1]'Вхідні параметри'!H17,[1]!Таблица22[[матеріал]:[kt]],6,0)</f>
        <v>#N/A</v>
      </c>
      <c r="AA53" s="78"/>
    </row>
    <row r="54" customFormat="false" ht="15" hidden="false" customHeight="false" outlineLevel="0" collapsed="false">
      <c r="A54" s="135"/>
      <c r="B54" s="136" t="s">
        <v>121</v>
      </c>
      <c r="C54" s="136"/>
      <c r="D54" s="136"/>
      <c r="E54" s="136"/>
      <c r="F54" s="136"/>
      <c r="G54" s="136"/>
      <c r="H54" s="136" t="e">
        <f aca="false">VLOOKUP([1]'Вхідні параметри'!H15,[1]!Таблица22[[матеріал]:[kt]],7,0)</f>
        <v>#N/A</v>
      </c>
      <c r="I54" s="138"/>
      <c r="J54" s="136"/>
      <c r="K54" s="136" t="s">
        <v>121</v>
      </c>
      <c r="L54" s="136"/>
      <c r="M54" s="136"/>
      <c r="N54" s="136"/>
      <c r="O54" s="136"/>
      <c r="P54" s="136"/>
      <c r="Q54" s="136" t="e">
        <f aca="false">VLOOKUP([1]'Вхідні параметри'!H16,[1]!Таблица22[[матеріал]:[kt]],7,0)</f>
        <v>#N/A</v>
      </c>
      <c r="R54" s="138"/>
      <c r="S54" s="136"/>
      <c r="T54" s="136" t="s">
        <v>121</v>
      </c>
      <c r="U54" s="136"/>
      <c r="V54" s="136"/>
      <c r="W54" s="136"/>
      <c r="X54" s="136"/>
      <c r="Y54" s="136"/>
      <c r="Z54" s="136" t="e">
        <f aca="false">VLOOKUP([1]'Вхідні параметри'!H17,[1]!Таблица22[[матеріал]:[kt]],7,0)</f>
        <v>#N/A</v>
      </c>
      <c r="AA54" s="78"/>
    </row>
    <row r="55" customFormat="false" ht="15" hidden="false" customHeight="false" outlineLevel="0" collapsed="false">
      <c r="A55" s="135"/>
      <c r="B55" s="136" t="s">
        <v>122</v>
      </c>
      <c r="C55" s="136"/>
      <c r="D55" s="136"/>
      <c r="E55" s="136"/>
      <c r="F55" s="136"/>
      <c r="G55" s="136"/>
      <c r="H55" s="136" t="e">
        <f aca="false">VLOOKUP([1]'Вхідні параметри'!H15,[1]!Таблица22[[матеріал]:[kt]],8,0)</f>
        <v>#N/A</v>
      </c>
      <c r="I55" s="138"/>
      <c r="J55" s="136"/>
      <c r="K55" s="136" t="s">
        <v>122</v>
      </c>
      <c r="L55" s="136"/>
      <c r="M55" s="136"/>
      <c r="N55" s="136"/>
      <c r="O55" s="136"/>
      <c r="P55" s="136"/>
      <c r="Q55" s="136" t="e">
        <f aca="false">VLOOKUP([1]'Вхідні параметри'!H16,[1]!Таблица22[[матеріал]:[kt]],8,0)</f>
        <v>#N/A</v>
      </c>
      <c r="R55" s="138"/>
      <c r="S55" s="136"/>
      <c r="T55" s="136" t="s">
        <v>122</v>
      </c>
      <c r="U55" s="136"/>
      <c r="V55" s="136"/>
      <c r="W55" s="136"/>
      <c r="X55" s="136"/>
      <c r="Y55" s="136"/>
      <c r="Z55" s="136" t="e">
        <f aca="false">VLOOKUP([1]'Вхідні параметри'!H17,[1]!Таблица22[[матеріал]:[kt]],8,0)</f>
        <v>#N/A</v>
      </c>
      <c r="AA55" s="78"/>
    </row>
    <row r="56" customFormat="false" ht="15" hidden="false" customHeight="true" outlineLevel="0" collapsed="false">
      <c r="A56" s="135"/>
      <c r="B56" s="139" t="s">
        <v>123</v>
      </c>
      <c r="C56" s="139"/>
      <c r="D56" s="139"/>
      <c r="E56" s="139"/>
      <c r="F56" s="139"/>
      <c r="G56" s="139"/>
      <c r="H56" s="136" t="e">
        <f aca="false">VLOOKUP([1]'Вхідні параметри'!H15,[1]!Таблица23[[матеріал]:[40]],3,0)</f>
        <v>#N/A</v>
      </c>
      <c r="I56" s="138"/>
      <c r="J56" s="136"/>
      <c r="K56" s="139" t="s">
        <v>123</v>
      </c>
      <c r="L56" s="139"/>
      <c r="M56" s="139"/>
      <c r="N56" s="139"/>
      <c r="O56" s="139"/>
      <c r="P56" s="139"/>
      <c r="Q56" s="136" t="e">
        <f aca="false">VLOOKUP([1]'Вхідні параметри'!H16,[1]!Таблица23[[матеріал]:[40]],3,0)</f>
        <v>#N/A</v>
      </c>
      <c r="R56" s="138"/>
      <c r="S56" s="136"/>
      <c r="T56" s="139" t="s">
        <v>123</v>
      </c>
      <c r="U56" s="139"/>
      <c r="V56" s="139"/>
      <c r="W56" s="139"/>
      <c r="X56" s="139"/>
      <c r="Y56" s="139"/>
      <c r="Z56" s="136" t="e">
        <f aca="false">VLOOKUP([1]'Вхідні параметри'!H17,[1]!Таблица23[[матеріал]:[40]],3,0)</f>
        <v>#N/A</v>
      </c>
      <c r="AA56" s="78"/>
    </row>
    <row r="57" customFormat="false" ht="15" hidden="false" customHeight="true" outlineLevel="0" collapsed="false">
      <c r="A57" s="135"/>
      <c r="B57" s="139" t="s">
        <v>124</v>
      </c>
      <c r="C57" s="139"/>
      <c r="D57" s="139"/>
      <c r="E57" s="139"/>
      <c r="F57" s="139"/>
      <c r="G57" s="139"/>
      <c r="H57" s="136" t="e">
        <f aca="false">VLOOKUP([1]'Вхідні параметри'!H15,[1]!Таблица23[[матеріал]:[40]],IF(H10=[1]'Табл. 5.1 - 5.3'!AI4,3,IF(H10=[1]'Табл. 5.1 - 5.3'!AI5,4,IF(H10=[1]'Табл. 5.1 - 5.3'!AI6,5,IF(H10=[1]'Табл. 5.1 - 5.3'!AI7,6,IF(H10=[1]'Табл. 5.1 - 5.3'!AI8,7,IF(H10=[1]'Табл. 5.1 - 5.3'!AI9,8,"error")))))),0)</f>
        <v>#N/A</v>
      </c>
      <c r="I57" s="138"/>
      <c r="J57" s="136"/>
      <c r="K57" s="139" t="s">
        <v>124</v>
      </c>
      <c r="L57" s="139"/>
      <c r="M57" s="139"/>
      <c r="N57" s="139"/>
      <c r="O57" s="139"/>
      <c r="P57" s="139"/>
      <c r="Q57" s="136" t="e">
        <f aca="false">VLOOKUP([1]'Вхідні параметри'!H16,[1]!Таблица23[[матеріал]:[40]],IF(H10=[1]'Табл. 5.1 - 5.3'!AI4,3,IF(H10=[1]'Табл. 5.1 - 5.3'!AI5,4,IF(H10=[1]'Табл. 5.1 - 5.3'!AI6,5,IF(H10=[1]'Табл. 5.1 - 5.3'!AI7,6,IF(H10=[1]'Табл. 5.1 - 5.3'!AI8,7,IF(H10=[1]'Табл. 5.1 - 5.3'!AI9,8,"error")))))),0)</f>
        <v>#N/A</v>
      </c>
      <c r="R57" s="138"/>
      <c r="S57" s="136"/>
      <c r="T57" s="139" t="s">
        <v>124</v>
      </c>
      <c r="U57" s="139"/>
      <c r="V57" s="139"/>
      <c r="W57" s="139"/>
      <c r="X57" s="139"/>
      <c r="Y57" s="139"/>
      <c r="Z57" s="136" t="e">
        <f aca="false">VLOOKUP([1]'Вхідні параметри'!H17,[1]!Таблица23[[матеріал]:[40]],IF(H10=[1]'Табл. 5.1 - 5.3'!AI4,3,IF(H10=[1]'Табл. 5.1 - 5.3'!AI5,4,IF(H10=[1]'Табл. 5.1 - 5.3'!AI6,5,IF(H10=[1]'Табл. 5.1 - 5.3'!AI7,6,IF(H10=[1]'Табл. 5.1 - 5.3'!AI8,7,IF(H10=[1]'Табл. 5.1 - 5.3'!AI9,8,"error")))))),0)</f>
        <v>#N/A</v>
      </c>
      <c r="AA57" s="78"/>
    </row>
    <row r="58" customFormat="false" ht="15" hidden="false" customHeight="false" outlineLevel="0" collapsed="false">
      <c r="A58" s="135"/>
      <c r="B58" s="136" t="s">
        <v>125</v>
      </c>
      <c r="C58" s="136"/>
      <c r="D58" s="136"/>
      <c r="E58" s="136"/>
      <c r="F58" s="136"/>
      <c r="G58" s="136"/>
      <c r="H58" s="136" t="n">
        <f aca="false">[1]'Вхідні параметри'!D15</f>
        <v>5</v>
      </c>
      <c r="I58" s="138"/>
      <c r="J58" s="136"/>
      <c r="K58" s="136" t="s">
        <v>125</v>
      </c>
      <c r="L58" s="136"/>
      <c r="M58" s="136"/>
      <c r="N58" s="136"/>
      <c r="O58" s="136"/>
      <c r="P58" s="136"/>
      <c r="Q58" s="136" t="n">
        <f aca="false">[1]'Вхідні параметри'!D16</f>
        <v>6</v>
      </c>
      <c r="R58" s="138"/>
      <c r="S58" s="136"/>
      <c r="T58" s="136" t="s">
        <v>125</v>
      </c>
      <c r="U58" s="136"/>
      <c r="V58" s="136"/>
      <c r="W58" s="136"/>
      <c r="X58" s="136"/>
      <c r="Y58" s="136"/>
      <c r="Z58" s="136" t="n">
        <f aca="false">[1]'Вхідні параметри'!D17</f>
        <v>8</v>
      </c>
      <c r="AA58" s="78"/>
    </row>
    <row r="59" customFormat="false" ht="15" hidden="false" customHeight="false" outlineLevel="0" collapsed="false">
      <c r="A59" s="135"/>
      <c r="B59" s="134" t="s">
        <v>126</v>
      </c>
      <c r="C59" s="134"/>
      <c r="D59" s="134"/>
      <c r="E59" s="134"/>
      <c r="F59" s="134"/>
      <c r="G59" s="134"/>
      <c r="H59" s="143" t="n">
        <f aca="false">VLOOKUP(H5,[1]Табл.6.2!B3:C7,2,0)</f>
        <v>1.97</v>
      </c>
      <c r="I59" s="138"/>
      <c r="J59" s="136"/>
      <c r="K59" s="134" t="s">
        <v>126</v>
      </c>
      <c r="L59" s="134"/>
      <c r="M59" s="134"/>
      <c r="N59" s="134"/>
      <c r="O59" s="134"/>
      <c r="P59" s="134"/>
      <c r="Q59" s="144" t="n">
        <f aca="false">VLOOKUP(H5,[1]Табл.6.2!B3:C7,2,0)</f>
        <v>1.97</v>
      </c>
      <c r="R59" s="138"/>
      <c r="S59" s="136"/>
      <c r="T59" s="145" t="s">
        <v>126</v>
      </c>
      <c r="U59" s="145"/>
      <c r="V59" s="145"/>
      <c r="W59" s="145"/>
      <c r="X59" s="145"/>
      <c r="Y59" s="145"/>
      <c r="Z59" s="144" t="n">
        <f aca="false">VLOOKUP(H5,[1]Табл.6.2!B3:C7,2,0)</f>
        <v>1.97</v>
      </c>
      <c r="AA59" s="78"/>
    </row>
    <row r="60" customFormat="false" ht="15" hidden="false" customHeight="false" outlineLevel="0" collapsed="false">
      <c r="A60" s="135"/>
      <c r="B60" s="134" t="s">
        <v>127</v>
      </c>
      <c r="C60" s="134"/>
      <c r="D60" s="134"/>
      <c r="E60" s="134"/>
      <c r="F60" s="134"/>
      <c r="G60" s="134"/>
      <c r="H60" s="143" t="n">
        <f aca="false">H52*(1-H59*H51)</f>
        <v>2.7302</v>
      </c>
      <c r="I60" s="138"/>
      <c r="J60" s="136"/>
      <c r="K60" s="134" t="s">
        <v>127</v>
      </c>
      <c r="L60" s="134"/>
      <c r="M60" s="134"/>
      <c r="N60" s="134"/>
      <c r="O60" s="134"/>
      <c r="P60" s="134"/>
      <c r="Q60" s="146" t="n">
        <f aca="false">Q52*(1-Q59*Q51)</f>
        <v>7.8694</v>
      </c>
      <c r="R60" s="138"/>
      <c r="S60" s="136"/>
      <c r="T60" s="134" t="s">
        <v>128</v>
      </c>
      <c r="U60" s="134"/>
      <c r="V60" s="134"/>
      <c r="W60" s="134"/>
      <c r="X60" s="134"/>
      <c r="Y60" s="134"/>
      <c r="Z60" s="146" t="n">
        <f aca="false">Z52*(1-Z59*Z51)</f>
        <v>6.2664</v>
      </c>
      <c r="AA60" s="78"/>
    </row>
    <row r="61" customFormat="false" ht="15" hidden="false" customHeight="false" outlineLevel="0" collapsed="false">
      <c r="A61" s="147"/>
      <c r="B61" s="136" t="s">
        <v>129</v>
      </c>
      <c r="C61" s="136"/>
      <c r="D61" s="136"/>
      <c r="E61" s="136"/>
      <c r="F61" s="136"/>
      <c r="G61" s="136"/>
      <c r="H61" s="148" t="n">
        <f aca="false">2.84/(10.2+H58)</f>
        <v>0.186842105263158</v>
      </c>
      <c r="I61" s="138"/>
      <c r="J61" s="149"/>
      <c r="K61" s="136" t="s">
        <v>129</v>
      </c>
      <c r="L61" s="136"/>
      <c r="M61" s="136"/>
      <c r="N61" s="136"/>
      <c r="O61" s="136"/>
      <c r="P61" s="136"/>
      <c r="Q61" s="148" t="n">
        <f aca="false">2.84/(10.2+Q58)</f>
        <v>0.175308641975309</v>
      </c>
      <c r="R61" s="138"/>
      <c r="S61" s="149"/>
      <c r="T61" s="136" t="s">
        <v>129</v>
      </c>
      <c r="U61" s="136"/>
      <c r="V61" s="136"/>
      <c r="W61" s="136"/>
      <c r="X61" s="136"/>
      <c r="Y61" s="136"/>
      <c r="Z61" s="148" t="n">
        <f aca="false">2.84/(10.2+Z58)</f>
        <v>0.156043956043956</v>
      </c>
      <c r="AA61" s="78"/>
    </row>
    <row r="62" customFormat="false" ht="15" hidden="false" customHeight="true" outlineLevel="0" collapsed="false">
      <c r="B62" s="78"/>
      <c r="C62" s="78"/>
      <c r="D62" s="78"/>
      <c r="E62" s="78"/>
      <c r="F62" s="78"/>
      <c r="G62" s="78"/>
      <c r="H62" s="78"/>
      <c r="I62" s="78"/>
      <c r="J62" s="150"/>
      <c r="K62" s="150"/>
      <c r="L62" s="150"/>
      <c r="M62" s="150"/>
      <c r="N62" s="150"/>
      <c r="O62" s="150"/>
      <c r="P62" s="150"/>
      <c r="Q62" s="150"/>
      <c r="R62" s="78"/>
      <c r="S62" s="78"/>
      <c r="T62" s="78"/>
      <c r="U62" s="78"/>
      <c r="V62" s="78"/>
      <c r="W62" s="78"/>
      <c r="X62" s="78"/>
      <c r="Y62" s="78"/>
      <c r="Z62" s="78"/>
      <c r="AA62" s="78"/>
    </row>
    <row r="63" customFormat="false" ht="15" hidden="false" customHeight="true" outlineLevel="0" collapsed="false">
      <c r="B63" s="134" t="s">
        <v>130</v>
      </c>
      <c r="C63" s="134"/>
      <c r="D63" s="134"/>
      <c r="E63" s="134"/>
      <c r="F63" s="134"/>
      <c r="G63" s="134"/>
      <c r="H63" s="134"/>
      <c r="I63" s="78"/>
      <c r="J63" s="150"/>
      <c r="K63" s="150"/>
      <c r="L63" s="150"/>
      <c r="M63" s="150"/>
      <c r="N63" s="150"/>
      <c r="O63" s="150"/>
      <c r="P63" s="150"/>
      <c r="Q63" s="150"/>
      <c r="R63" s="78"/>
      <c r="S63" s="78"/>
      <c r="T63" s="78"/>
      <c r="U63" s="78"/>
      <c r="V63" s="78"/>
      <c r="W63" s="78"/>
      <c r="X63" s="78"/>
      <c r="Y63" s="78"/>
      <c r="Z63" s="78"/>
      <c r="AA63" s="78"/>
    </row>
    <row r="64" customFormat="false" ht="15.75" hidden="false" customHeight="true" outlineLevel="0" collapsed="false">
      <c r="A64" s="135" t="s">
        <v>113</v>
      </c>
      <c r="B64" s="140" t="s">
        <v>131</v>
      </c>
      <c r="C64" s="140"/>
      <c r="D64" s="140"/>
      <c r="E64" s="140"/>
      <c r="F64" s="140"/>
      <c r="G64" s="140"/>
      <c r="H64" s="136" t="e">
        <f aca="false">VLOOKUP([1]'Вхідні параметри'!H18,[1]!Таблица26[#data],2,0)</f>
        <v>#N/A</v>
      </c>
      <c r="I64" s="138"/>
      <c r="J64" s="136" t="s">
        <v>5</v>
      </c>
      <c r="K64" s="140" t="s">
        <v>131</v>
      </c>
      <c r="L64" s="140"/>
      <c r="M64" s="140"/>
      <c r="N64" s="140"/>
      <c r="O64" s="140"/>
      <c r="P64" s="140"/>
      <c r="Q64" s="136" t="e">
        <f aca="false">VLOOKUP([1]'Вхідні параметри'!H19,[1]!Таблица26[#data],2,0)</f>
        <v>#N/A</v>
      </c>
      <c r="R64" s="138"/>
      <c r="S64" s="136" t="s">
        <v>115</v>
      </c>
      <c r="T64" s="140" t="s">
        <v>131</v>
      </c>
      <c r="U64" s="140"/>
      <c r="V64" s="140"/>
      <c r="W64" s="140"/>
      <c r="X64" s="140"/>
      <c r="Y64" s="140"/>
      <c r="Z64" s="136" t="e">
        <f aca="false">VLOOKUP([1]'Вхідні параметри'!H20,[1]!Таблица26[#data],2,0)</f>
        <v>#N/A</v>
      </c>
      <c r="AA64" s="78"/>
    </row>
    <row r="65" customFormat="false" ht="15.75" hidden="false" customHeight="true" outlineLevel="0" collapsed="false">
      <c r="A65" s="135"/>
      <c r="B65" s="141" t="s">
        <v>118</v>
      </c>
      <c r="C65" s="141"/>
      <c r="D65" s="141"/>
      <c r="E65" s="141"/>
      <c r="F65" s="141"/>
      <c r="G65" s="141"/>
      <c r="H65" s="136" t="e">
        <f aca="false">VLOOKUP([1]'Вхідні параметри'!H18,[1]!Таблица26[#data],4,0)</f>
        <v>#N/A</v>
      </c>
      <c r="I65" s="138"/>
      <c r="J65" s="136"/>
      <c r="K65" s="141" t="s">
        <v>118</v>
      </c>
      <c r="L65" s="141"/>
      <c r="M65" s="141"/>
      <c r="N65" s="141"/>
      <c r="O65" s="141"/>
      <c r="P65" s="141"/>
      <c r="Q65" s="136" t="e">
        <f aca="false">VLOOKUP([1]'Вхідні параметри'!H19,[1]!Таблица26[#data],4,0)</f>
        <v>#N/A</v>
      </c>
      <c r="R65" s="138"/>
      <c r="S65" s="136"/>
      <c r="T65" s="141" t="s">
        <v>118</v>
      </c>
      <c r="U65" s="141"/>
      <c r="V65" s="141"/>
      <c r="W65" s="141"/>
      <c r="X65" s="141"/>
      <c r="Y65" s="141"/>
      <c r="Z65" s="136" t="e">
        <f aca="false">VLOOKUP([1]'Вхідні параметри'!H20,[1]!Таблица26[#data],4,0)</f>
        <v>#N/A</v>
      </c>
      <c r="AA65" s="78"/>
    </row>
    <row r="66" customFormat="false" ht="15" hidden="false" customHeight="false" outlineLevel="0" collapsed="false">
      <c r="A66" s="135"/>
      <c r="B66" s="136" t="s">
        <v>119</v>
      </c>
      <c r="C66" s="136"/>
      <c r="D66" s="136"/>
      <c r="E66" s="136"/>
      <c r="F66" s="136"/>
      <c r="G66" s="136"/>
      <c r="H66" s="136" t="e">
        <f aca="false">VLOOKUP([1]'Вхідні параметри'!H18,[1]!Таблица26[#data],5,0)</f>
        <v>#N/A</v>
      </c>
      <c r="I66" s="138"/>
      <c r="J66" s="136"/>
      <c r="K66" s="136" t="s">
        <v>119</v>
      </c>
      <c r="L66" s="136"/>
      <c r="M66" s="136"/>
      <c r="N66" s="136"/>
      <c r="O66" s="136"/>
      <c r="P66" s="136"/>
      <c r="Q66" s="136" t="e">
        <f aca="false">VLOOKUP([1]'Вхідні параметри'!H19,[1]!Таблица26[#data],5,0)</f>
        <v>#N/A</v>
      </c>
      <c r="R66" s="138"/>
      <c r="S66" s="136"/>
      <c r="T66" s="136" t="s">
        <v>119</v>
      </c>
      <c r="U66" s="136"/>
      <c r="V66" s="136"/>
      <c r="W66" s="136"/>
      <c r="X66" s="136"/>
      <c r="Y66" s="136"/>
      <c r="Z66" s="136" t="e">
        <f aca="false">VLOOKUP([1]'Вхідні параметри'!H20,[1]!Таблица26[#data],5,0)</f>
        <v>#N/A</v>
      </c>
      <c r="AA66" s="78"/>
    </row>
    <row r="67" customFormat="false" ht="15" hidden="false" customHeight="false" outlineLevel="0" collapsed="false">
      <c r="A67" s="135"/>
      <c r="B67" s="136" t="s">
        <v>125</v>
      </c>
      <c r="C67" s="136"/>
      <c r="D67" s="136"/>
      <c r="E67" s="136"/>
      <c r="F67" s="136"/>
      <c r="G67" s="136"/>
      <c r="H67" s="136" t="n">
        <f aca="false">[1]'Вхідні параметри'!D18</f>
        <v>18</v>
      </c>
      <c r="I67" s="138"/>
      <c r="J67" s="136"/>
      <c r="K67" s="136" t="s">
        <v>125</v>
      </c>
      <c r="L67" s="136"/>
      <c r="M67" s="136"/>
      <c r="N67" s="136"/>
      <c r="O67" s="136"/>
      <c r="P67" s="136"/>
      <c r="Q67" s="136" t="n">
        <f aca="false">[1]'Вхідні параметри'!D19</f>
        <v>0</v>
      </c>
      <c r="R67" s="138"/>
      <c r="S67" s="136"/>
      <c r="T67" s="136" t="s">
        <v>125</v>
      </c>
      <c r="U67" s="136"/>
      <c r="V67" s="136"/>
      <c r="W67" s="136"/>
      <c r="X67" s="136"/>
      <c r="Y67" s="136"/>
      <c r="Z67" s="136" t="n">
        <f aca="false">[1]'Вхідні параметри'!D20</f>
        <v>15</v>
      </c>
      <c r="AA67" s="78"/>
    </row>
    <row r="68" customFormat="false" ht="15" hidden="false" customHeight="false" outlineLevel="0" collapsed="false">
      <c r="A68" s="147"/>
      <c r="B68" s="136" t="s">
        <v>129</v>
      </c>
      <c r="C68" s="136"/>
      <c r="D68" s="136"/>
      <c r="E68" s="136"/>
      <c r="F68" s="136"/>
      <c r="G68" s="136"/>
      <c r="H68" s="148" t="n">
        <f aca="false">2.84/(5.6+H67)</f>
        <v>0.120338983050847</v>
      </c>
      <c r="I68" s="138"/>
      <c r="J68" s="149"/>
      <c r="K68" s="136" t="s">
        <v>129</v>
      </c>
      <c r="L68" s="136"/>
      <c r="M68" s="136"/>
      <c r="N68" s="136"/>
      <c r="O68" s="136"/>
      <c r="P68" s="136"/>
      <c r="Q68" s="148" t="n">
        <f aca="false">2.84/(5.6+Q67)</f>
        <v>0.507142857142857</v>
      </c>
      <c r="R68" s="138"/>
      <c r="S68" s="149"/>
      <c r="T68" s="136" t="s">
        <v>129</v>
      </c>
      <c r="U68" s="136"/>
      <c r="V68" s="136"/>
      <c r="W68" s="136"/>
      <c r="X68" s="136"/>
      <c r="Y68" s="136"/>
      <c r="Z68" s="148" t="n">
        <f aca="false">2.84/(5.6+Z67)</f>
        <v>0.137864077669903</v>
      </c>
      <c r="AA68" s="78"/>
    </row>
    <row r="69" customFormat="false" ht="15" hidden="false" customHeight="false" outlineLevel="0" collapsed="false">
      <c r="A69" s="147"/>
      <c r="B69" s="149"/>
      <c r="C69" s="149"/>
      <c r="D69" s="149"/>
      <c r="E69" s="149"/>
      <c r="F69" s="149"/>
      <c r="G69" s="149"/>
      <c r="H69" s="149"/>
      <c r="I69" s="138"/>
      <c r="J69" s="149"/>
      <c r="K69" s="149"/>
      <c r="L69" s="149"/>
      <c r="M69" s="149"/>
      <c r="N69" s="149"/>
      <c r="O69" s="149"/>
      <c r="P69" s="149"/>
      <c r="Q69" s="149"/>
      <c r="R69" s="138"/>
      <c r="S69" s="149"/>
      <c r="T69" s="149"/>
      <c r="U69" s="149"/>
      <c r="V69" s="149"/>
      <c r="W69" s="149"/>
      <c r="X69" s="149"/>
      <c r="Y69" s="149"/>
      <c r="Z69" s="149"/>
      <c r="AA69" s="78"/>
    </row>
    <row r="70" customFormat="false" ht="15" hidden="false" customHeight="false" outlineLevel="0" collapsed="false">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row>
    <row r="71" customFormat="false" ht="15" hidden="false" customHeight="false" outlineLevel="0" collapsed="false">
      <c r="B71" s="134" t="s">
        <v>132</v>
      </c>
      <c r="C71" s="134"/>
      <c r="D71" s="134"/>
      <c r="E71" s="134"/>
      <c r="F71" s="134"/>
      <c r="G71" s="134"/>
      <c r="H71" s="134"/>
      <c r="I71" s="78"/>
      <c r="J71" s="150"/>
      <c r="K71" s="150"/>
      <c r="L71" s="150"/>
      <c r="M71" s="150"/>
      <c r="N71" s="150"/>
      <c r="O71" s="150"/>
      <c r="P71" s="150"/>
      <c r="Q71" s="150"/>
      <c r="R71" s="78"/>
      <c r="S71" s="78"/>
      <c r="T71" s="78"/>
      <c r="U71" s="78"/>
      <c r="V71" s="78"/>
      <c r="W71" s="78"/>
      <c r="X71" s="78"/>
      <c r="Y71" s="78"/>
      <c r="Z71" s="78"/>
      <c r="AA71" s="78"/>
    </row>
    <row r="72" customFormat="false" ht="15" hidden="false" customHeight="true" outlineLevel="0" collapsed="false">
      <c r="A72" s="135" t="s">
        <v>113</v>
      </c>
      <c r="B72" s="140" t="s">
        <v>131</v>
      </c>
      <c r="C72" s="140"/>
      <c r="D72" s="140"/>
      <c r="E72" s="140"/>
      <c r="F72" s="140"/>
      <c r="G72" s="140"/>
      <c r="H72" s="136" t="n">
        <f aca="false">VLOOKUP([1]'Вхідні параметри'!H21,[1]'Табл. 5.5'!C5:G28,3,0)</f>
        <v>280</v>
      </c>
      <c r="I72" s="138"/>
      <c r="J72" s="136" t="s">
        <v>5</v>
      </c>
      <c r="K72" s="140" t="s">
        <v>131</v>
      </c>
      <c r="L72" s="140"/>
      <c r="M72" s="140"/>
      <c r="N72" s="140"/>
      <c r="O72" s="140"/>
      <c r="P72" s="140"/>
      <c r="Q72" s="136" t="n">
        <f aca="false">VLOOKUP([1]'Вхідні параметри'!H22,[1]'Табл. 5.5'!C5:G28,3,0)</f>
        <v>280</v>
      </c>
      <c r="R72" s="138"/>
      <c r="S72" s="136" t="s">
        <v>115</v>
      </c>
      <c r="T72" s="140" t="s">
        <v>131</v>
      </c>
      <c r="U72" s="140"/>
      <c r="V72" s="140"/>
      <c r="W72" s="140"/>
      <c r="X72" s="140"/>
      <c r="Y72" s="140"/>
      <c r="Z72" s="136" t="n">
        <f aca="false">VLOOKUP([1]'Вхідні параметри'!H23,[1]'Табл. 5.5'!C5:G28,2,0)</f>
        <v>180</v>
      </c>
      <c r="AA72" s="78"/>
    </row>
    <row r="73" customFormat="false" ht="15" hidden="false" customHeight="true" outlineLevel="0" collapsed="false">
      <c r="A73" s="135"/>
      <c r="B73" s="151" t="s">
        <v>88</v>
      </c>
      <c r="C73" s="151"/>
      <c r="D73" s="151"/>
      <c r="E73" s="151"/>
      <c r="F73" s="151"/>
      <c r="G73" s="151"/>
      <c r="H73" s="136" t="str">
        <f aca="false">VLOOKUP([1]'Вхідні параметри'!H21,[1]'Табл. 5.5'!C5:G28,4,0)</f>
        <v>–</v>
      </c>
      <c r="I73" s="138"/>
      <c r="J73" s="136"/>
      <c r="K73" s="151" t="s">
        <v>88</v>
      </c>
      <c r="L73" s="151"/>
      <c r="M73" s="151"/>
      <c r="N73" s="151"/>
      <c r="O73" s="151"/>
      <c r="P73" s="151"/>
      <c r="Q73" s="136" t="str">
        <f aca="false">VLOOKUP([1]'Вхідні параметри'!H22,[1]'Табл. 5.5'!C5:G28,4,0)</f>
        <v>–</v>
      </c>
      <c r="R73" s="138"/>
      <c r="S73" s="136"/>
      <c r="T73" s="151" t="s">
        <v>88</v>
      </c>
      <c r="U73" s="151"/>
      <c r="V73" s="151"/>
      <c r="W73" s="151"/>
      <c r="X73" s="151"/>
      <c r="Y73" s="151"/>
      <c r="Z73" s="136" t="str">
        <f aca="false">VLOOKUP([1]'Вхідні параметри'!H23,[1]'Табл. 5.5'!C5:G28,4,0)</f>
        <v>–</v>
      </c>
      <c r="AA73" s="78"/>
    </row>
    <row r="74" customFormat="false" ht="15" hidden="false" customHeight="false" outlineLevel="0" collapsed="false">
      <c r="A74" s="135"/>
      <c r="B74" s="136" t="s">
        <v>133</v>
      </c>
      <c r="C74" s="136"/>
      <c r="D74" s="136"/>
      <c r="E74" s="136"/>
      <c r="F74" s="136"/>
      <c r="G74" s="136"/>
      <c r="H74" s="136" t="str">
        <f aca="false">VLOOKUP([1]'Вхідні параметри'!H21,[1]'Табл. 5.5'!C5:G28,5,0)</f>
        <v>–</v>
      </c>
      <c r="I74" s="138"/>
      <c r="J74" s="136"/>
      <c r="K74" s="136" t="s">
        <v>133</v>
      </c>
      <c r="L74" s="136"/>
      <c r="M74" s="136"/>
      <c r="N74" s="136"/>
      <c r="O74" s="136"/>
      <c r="P74" s="136"/>
      <c r="Q74" s="136" t="str">
        <f aca="false">VLOOKUP([1]'Вхідні параметри'!H22,[1]'Табл. 5.5'!C5:G28,5,0)</f>
        <v>–</v>
      </c>
      <c r="R74" s="138"/>
      <c r="S74" s="136"/>
      <c r="T74" s="136" t="s">
        <v>133</v>
      </c>
      <c r="U74" s="136"/>
      <c r="V74" s="136"/>
      <c r="W74" s="136"/>
      <c r="X74" s="136"/>
      <c r="Y74" s="136"/>
      <c r="Z74" s="136" t="str">
        <f aca="false">VLOOKUP([1]'Вхідні параметри'!H23,[1]'Табл. 5.5'!C5:G28,5,0)</f>
        <v>–</v>
      </c>
      <c r="AA74" s="78"/>
    </row>
    <row r="75" customFormat="false" ht="15" hidden="false" customHeight="false" outlineLevel="0" collapsed="false">
      <c r="A75" s="135"/>
      <c r="B75" s="136" t="s">
        <v>125</v>
      </c>
      <c r="C75" s="136"/>
      <c r="D75" s="136"/>
      <c r="E75" s="136"/>
      <c r="F75" s="136"/>
      <c r="G75" s="136"/>
      <c r="H75" s="136" t="n">
        <f aca="false">[1]'Вхідні параметри'!D21</f>
        <v>18</v>
      </c>
      <c r="I75" s="138"/>
      <c r="J75" s="136"/>
      <c r="K75" s="136" t="s">
        <v>125</v>
      </c>
      <c r="L75" s="136"/>
      <c r="M75" s="136"/>
      <c r="N75" s="136"/>
      <c r="O75" s="136"/>
      <c r="P75" s="136"/>
      <c r="Q75" s="136" t="n">
        <f aca="false">[1]'Вхідні параметри'!D22</f>
        <v>0</v>
      </c>
      <c r="R75" s="138"/>
      <c r="S75" s="136"/>
      <c r="T75" s="136" t="s">
        <v>125</v>
      </c>
      <c r="U75" s="136"/>
      <c r="V75" s="136"/>
      <c r="W75" s="136"/>
      <c r="X75" s="136"/>
      <c r="Y75" s="136"/>
      <c r="Z75" s="136" t="n">
        <f aca="false">[1]'Вхідні параметри'!D23</f>
        <v>8</v>
      </c>
      <c r="AA75" s="78"/>
    </row>
    <row r="76" customFormat="false" ht="15" hidden="false" customHeight="false" outlineLevel="0" collapsed="false">
      <c r="B76" s="136" t="s">
        <v>129</v>
      </c>
      <c r="C76" s="136"/>
      <c r="D76" s="136"/>
      <c r="E76" s="136"/>
      <c r="F76" s="136"/>
      <c r="G76" s="136"/>
      <c r="H76" s="148" t="n">
        <f aca="false">2.84/(5.6+H75)</f>
        <v>0.120338983050847</v>
      </c>
      <c r="I76" s="78"/>
      <c r="J76" s="78"/>
      <c r="K76" s="136" t="s">
        <v>129</v>
      </c>
      <c r="L76" s="136"/>
      <c r="M76" s="136"/>
      <c r="N76" s="136"/>
      <c r="O76" s="136"/>
      <c r="P76" s="136"/>
      <c r="Q76" s="148" t="n">
        <f aca="false">2.84/(5.6+Q75)</f>
        <v>0.507142857142857</v>
      </c>
      <c r="R76" s="78"/>
      <c r="S76" s="78"/>
      <c r="T76" s="136" t="s">
        <v>129</v>
      </c>
      <c r="U76" s="136"/>
      <c r="V76" s="136"/>
      <c r="W76" s="136"/>
      <c r="X76" s="136"/>
      <c r="Y76" s="136"/>
      <c r="Z76" s="148" t="n">
        <f aca="false">2.84/(5.6+Z75)</f>
        <v>0.208823529411765</v>
      </c>
      <c r="AA76" s="78"/>
    </row>
    <row r="77" customFormat="false" ht="15" hidden="false" customHeight="false" outlineLevel="0" collapsed="false">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row>
    <row r="78" customFormat="false" ht="15" hidden="false" customHeight="false" outlineLevel="0" collapsed="false">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row>
    <row r="79" customFormat="false" ht="15" hidden="false" customHeight="false" outlineLevel="0" collapsed="false">
      <c r="B79" s="134" t="s">
        <v>132</v>
      </c>
      <c r="C79" s="134"/>
      <c r="D79" s="134"/>
      <c r="E79" s="134"/>
      <c r="F79" s="134"/>
      <c r="G79" s="134"/>
      <c r="H79" s="134"/>
    </row>
    <row r="80" customFormat="false" ht="15.75" hidden="false" customHeight="true" outlineLevel="0" collapsed="false">
      <c r="A80" s="135" t="s">
        <v>113</v>
      </c>
      <c r="B80" s="140" t="s">
        <v>131</v>
      </c>
      <c r="C80" s="140"/>
      <c r="D80" s="140"/>
      <c r="E80" s="140"/>
      <c r="F80" s="140"/>
      <c r="G80" s="140"/>
      <c r="H80" s="136" t="n">
        <f aca="false">I20</f>
        <v>130</v>
      </c>
      <c r="I80" s="152"/>
      <c r="J80" s="152"/>
    </row>
    <row r="81" customFormat="false" ht="15.75" hidden="false" customHeight="true" outlineLevel="0" collapsed="false">
      <c r="A81" s="135"/>
      <c r="B81" s="151" t="s">
        <v>88</v>
      </c>
      <c r="C81" s="151"/>
      <c r="D81" s="151"/>
      <c r="E81" s="151"/>
      <c r="F81" s="151"/>
      <c r="G81" s="151"/>
      <c r="H81" s="136" t="n">
        <f aca="false">I21</f>
        <v>35</v>
      </c>
      <c r="I81" s="153"/>
      <c r="J81" s="153"/>
    </row>
    <row r="82" customFormat="false" ht="15" hidden="false" customHeight="false" outlineLevel="0" collapsed="false">
      <c r="A82" s="135"/>
      <c r="B82" s="136" t="s">
        <v>133</v>
      </c>
      <c r="C82" s="136"/>
      <c r="D82" s="136"/>
      <c r="E82" s="136"/>
      <c r="F82" s="136"/>
      <c r="G82" s="136"/>
      <c r="H82" s="136" t="n">
        <f aca="false">I22</f>
        <v>0.004</v>
      </c>
      <c r="I82" s="154"/>
      <c r="J82" s="154"/>
    </row>
    <row r="83" customFormat="false" ht="15" hidden="false" customHeight="false" outlineLevel="0" collapsed="false">
      <c r="A83" s="135"/>
      <c r="B83" s="136" t="s">
        <v>125</v>
      </c>
      <c r="C83" s="136"/>
      <c r="D83" s="136"/>
      <c r="E83" s="136"/>
      <c r="F83" s="136"/>
      <c r="G83" s="136"/>
      <c r="H83" s="136" t="n">
        <f aca="false">'Вхідні параметри'!D24</f>
        <v>10</v>
      </c>
      <c r="I83" s="154"/>
      <c r="J83" s="154"/>
    </row>
    <row r="84" customFormat="false" ht="15" hidden="false" customHeight="false" outlineLevel="0" collapsed="false">
      <c r="B84" s="136" t="s">
        <v>129</v>
      </c>
      <c r="C84" s="136"/>
      <c r="D84" s="136"/>
      <c r="E84" s="136"/>
      <c r="F84" s="136"/>
      <c r="G84" s="136"/>
      <c r="H84" s="148" t="n">
        <f aca="false">2.84/(5.6+H83)</f>
        <v>0.182051282051282</v>
      </c>
      <c r="I84" s="154"/>
      <c r="J84" s="154"/>
    </row>
  </sheetData>
  <mergeCells count="141">
    <mergeCell ref="B1:G1"/>
    <mergeCell ref="B2:G2"/>
    <mergeCell ref="B3:G3"/>
    <mergeCell ref="L3:Q4"/>
    <mergeCell ref="T3:Y4"/>
    <mergeCell ref="B4:G4"/>
    <mergeCell ref="B5:G5"/>
    <mergeCell ref="L5:Q6"/>
    <mergeCell ref="T5:Y6"/>
    <mergeCell ref="B6:G6"/>
    <mergeCell ref="B7:G7"/>
    <mergeCell ref="L7:Q8"/>
    <mergeCell ref="T7:Y8"/>
    <mergeCell ref="B8:G8"/>
    <mergeCell ref="B9:G9"/>
    <mergeCell ref="L9:Q10"/>
    <mergeCell ref="T9:Y10"/>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8:H48"/>
    <mergeCell ref="A49:A60"/>
    <mergeCell ref="B49:G49"/>
    <mergeCell ref="J49:J60"/>
    <mergeCell ref="K49:P49"/>
    <mergeCell ref="S49:S60"/>
    <mergeCell ref="T49:Y49"/>
    <mergeCell ref="B50:G50"/>
    <mergeCell ref="K50:P50"/>
    <mergeCell ref="T50:Y50"/>
    <mergeCell ref="B51:G51"/>
    <mergeCell ref="K51:P51"/>
    <mergeCell ref="T51:Y51"/>
    <mergeCell ref="B52:G52"/>
    <mergeCell ref="K52:P52"/>
    <mergeCell ref="T52:Y52"/>
    <mergeCell ref="B53:G53"/>
    <mergeCell ref="K53:P53"/>
    <mergeCell ref="T53:Y53"/>
    <mergeCell ref="B54:G54"/>
    <mergeCell ref="K54:P54"/>
    <mergeCell ref="T54:Y54"/>
    <mergeCell ref="B55:G55"/>
    <mergeCell ref="K55:P55"/>
    <mergeCell ref="T55:Y55"/>
    <mergeCell ref="B56:G56"/>
    <mergeCell ref="K56:P56"/>
    <mergeCell ref="T56:Y56"/>
    <mergeCell ref="B57:G57"/>
    <mergeCell ref="K57:P57"/>
    <mergeCell ref="T57:Y57"/>
    <mergeCell ref="B58:G58"/>
    <mergeCell ref="K58:P58"/>
    <mergeCell ref="T58:Y58"/>
    <mergeCell ref="B59:G59"/>
    <mergeCell ref="K59:P59"/>
    <mergeCell ref="T59:Y59"/>
    <mergeCell ref="B60:G60"/>
    <mergeCell ref="K60:P60"/>
    <mergeCell ref="T60:Y60"/>
    <mergeCell ref="B61:G61"/>
    <mergeCell ref="K61:P61"/>
    <mergeCell ref="T61:Y61"/>
    <mergeCell ref="B63:H63"/>
    <mergeCell ref="A64:A67"/>
    <mergeCell ref="B64:G64"/>
    <mergeCell ref="J64:J67"/>
    <mergeCell ref="K64:P64"/>
    <mergeCell ref="S64:S67"/>
    <mergeCell ref="T64:Y64"/>
    <mergeCell ref="B65:G65"/>
    <mergeCell ref="K65:P65"/>
    <mergeCell ref="T65:Y65"/>
    <mergeCell ref="B66:G66"/>
    <mergeCell ref="K66:P66"/>
    <mergeCell ref="T66:Y66"/>
    <mergeCell ref="B67:G67"/>
    <mergeCell ref="K67:P67"/>
    <mergeCell ref="T67:Y67"/>
    <mergeCell ref="B68:G68"/>
    <mergeCell ref="K68:P68"/>
    <mergeCell ref="T68:Y68"/>
    <mergeCell ref="B71:H71"/>
    <mergeCell ref="A72:A75"/>
    <mergeCell ref="B72:G72"/>
    <mergeCell ref="J72:J75"/>
    <mergeCell ref="K72:P72"/>
    <mergeCell ref="S72:S75"/>
    <mergeCell ref="T72:Y72"/>
    <mergeCell ref="B73:G73"/>
    <mergeCell ref="K73:P73"/>
    <mergeCell ref="T73:Y73"/>
    <mergeCell ref="B74:G74"/>
    <mergeCell ref="K74:P74"/>
    <mergeCell ref="T74:Y74"/>
    <mergeCell ref="B75:G75"/>
    <mergeCell ref="K75:P75"/>
    <mergeCell ref="T75:Y75"/>
    <mergeCell ref="B76:G76"/>
    <mergeCell ref="K76:P76"/>
    <mergeCell ref="T76:Y76"/>
    <mergeCell ref="B79:H79"/>
    <mergeCell ref="A80:A83"/>
    <mergeCell ref="B80:G80"/>
    <mergeCell ref="B81:G81"/>
    <mergeCell ref="B82:G82"/>
    <mergeCell ref="B83:G83"/>
    <mergeCell ref="B84:G8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B1:AE110"/>
  <sheetViews>
    <sheetView windowProtection="false" showFormulas="false" showGridLines="true" showRowColHeaders="true" showZeros="true" rightToLeft="false" tabSelected="false" showOutlineSymbols="true" defaultGridColor="true" view="normal" topLeftCell="A84" colorId="64" zoomScale="65" zoomScaleNormal="65" zoomScalePageLayoutView="100" workbookViewId="0">
      <selection pane="topLeft" activeCell="A57" activeCellId="0" sqref="A57"/>
    </sheetView>
  </sheetViews>
  <sheetFormatPr defaultRowHeight="15.75"/>
  <cols>
    <col collapsed="false" hidden="false" max="1" min="1" style="672" width="1.5"/>
    <col collapsed="false" hidden="false" max="2" min="2" style="672" width="9.41237113402062"/>
    <col collapsed="false" hidden="false" max="6" min="3" style="672" width="7.3659793814433"/>
    <col collapsed="false" hidden="false" max="10" min="7" style="672" width="9.95360824742268"/>
    <col collapsed="false" hidden="false" max="11" min="11" style="672" width="9.27319587628866"/>
    <col collapsed="false" hidden="false" max="12" min="12" style="672" width="12.9587628865979"/>
    <col collapsed="false" hidden="false" max="13" min="13" style="672" width="10.5"/>
    <col collapsed="false" hidden="false" max="15" min="14" style="672" width="10.7731958762887"/>
    <col collapsed="false" hidden="false" max="17" min="16" style="672" width="11.0463917525773"/>
    <col collapsed="false" hidden="false" max="18" min="18" style="672" width="10.5"/>
    <col collapsed="false" hidden="false" max="19" min="19" style="672" width="13.3659793814433"/>
    <col collapsed="false" hidden="false" max="20" min="20" style="672" width="6.54639175257732"/>
    <col collapsed="false" hidden="false" max="21" min="21" style="672" width="9.27319587628866"/>
    <col collapsed="false" hidden="false" max="22" min="22" style="672" width="13.3659793814433"/>
    <col collapsed="false" hidden="false" max="23" min="23" style="672" width="10.3659793814433"/>
    <col collapsed="false" hidden="false" max="24" min="24" style="672" width="7.63917525773196"/>
    <col collapsed="false" hidden="false" max="25" min="25" style="672" width="9.13917525773196"/>
    <col collapsed="false" hidden="false" max="26" min="26" style="672" width="10.3659793814433"/>
    <col collapsed="false" hidden="false" max="27" min="27" style="672" width="9.95360824742268"/>
    <col collapsed="false" hidden="false" max="256" min="28" style="672" width="7.3659793814433"/>
    <col collapsed="false" hidden="false" max="257" min="257" style="672" width="1.5"/>
    <col collapsed="false" hidden="false" max="258" min="258" style="672" width="9.41237113402062"/>
    <col collapsed="false" hidden="false" max="262" min="259" style="672" width="7.3659793814433"/>
    <col collapsed="false" hidden="false" max="266" min="263" style="672" width="9.95360824742268"/>
    <col collapsed="false" hidden="false" max="267" min="267" style="672" width="9.27319587628866"/>
    <col collapsed="false" hidden="false" max="268" min="268" style="672" width="12.9587628865979"/>
    <col collapsed="false" hidden="false" max="269" min="269" style="672" width="10.5"/>
    <col collapsed="false" hidden="false" max="271" min="270" style="672" width="10.7731958762887"/>
    <col collapsed="false" hidden="false" max="273" min="272" style="672" width="11.0463917525773"/>
    <col collapsed="false" hidden="false" max="274" min="274" style="672" width="10.5"/>
    <col collapsed="false" hidden="false" max="275" min="275" style="672" width="13.3659793814433"/>
    <col collapsed="false" hidden="false" max="276" min="276" style="672" width="6.54639175257732"/>
    <col collapsed="false" hidden="false" max="277" min="277" style="672" width="9.27319587628866"/>
    <col collapsed="false" hidden="false" max="278" min="278" style="672" width="13.3659793814433"/>
    <col collapsed="false" hidden="false" max="279" min="279" style="672" width="10.3659793814433"/>
    <col collapsed="false" hidden="false" max="280" min="280" style="672" width="7.63917525773196"/>
    <col collapsed="false" hidden="false" max="281" min="281" style="672" width="9.13917525773196"/>
    <col collapsed="false" hidden="false" max="282" min="282" style="672" width="10.3659793814433"/>
    <col collapsed="false" hidden="false" max="283" min="283" style="672" width="9.95360824742268"/>
    <col collapsed="false" hidden="false" max="512" min="284" style="672" width="7.3659793814433"/>
    <col collapsed="false" hidden="false" max="513" min="513" style="672" width="1.5"/>
    <col collapsed="false" hidden="false" max="514" min="514" style="672" width="9.41237113402062"/>
    <col collapsed="false" hidden="false" max="518" min="515" style="672" width="7.3659793814433"/>
    <col collapsed="false" hidden="false" max="522" min="519" style="672" width="9.95360824742268"/>
    <col collapsed="false" hidden="false" max="523" min="523" style="672" width="9.27319587628866"/>
    <col collapsed="false" hidden="false" max="524" min="524" style="672" width="12.9587628865979"/>
    <col collapsed="false" hidden="false" max="525" min="525" style="672" width="10.5"/>
    <col collapsed="false" hidden="false" max="527" min="526" style="672" width="10.7731958762887"/>
    <col collapsed="false" hidden="false" max="529" min="528" style="672" width="11.0463917525773"/>
    <col collapsed="false" hidden="false" max="530" min="530" style="672" width="10.5"/>
    <col collapsed="false" hidden="false" max="531" min="531" style="672" width="13.3659793814433"/>
    <col collapsed="false" hidden="false" max="532" min="532" style="672" width="6.54639175257732"/>
    <col collapsed="false" hidden="false" max="533" min="533" style="672" width="9.27319587628866"/>
    <col collapsed="false" hidden="false" max="534" min="534" style="672" width="13.3659793814433"/>
    <col collapsed="false" hidden="false" max="535" min="535" style="672" width="10.3659793814433"/>
    <col collapsed="false" hidden="false" max="536" min="536" style="672" width="7.63917525773196"/>
    <col collapsed="false" hidden="false" max="537" min="537" style="672" width="9.13917525773196"/>
    <col collapsed="false" hidden="false" max="538" min="538" style="672" width="10.3659793814433"/>
    <col collapsed="false" hidden="false" max="539" min="539" style="672" width="9.95360824742268"/>
    <col collapsed="false" hidden="false" max="768" min="540" style="672" width="7.3659793814433"/>
    <col collapsed="false" hidden="false" max="769" min="769" style="672" width="1.5"/>
    <col collapsed="false" hidden="false" max="770" min="770" style="672" width="9.41237113402062"/>
    <col collapsed="false" hidden="false" max="774" min="771" style="672" width="7.3659793814433"/>
    <col collapsed="false" hidden="false" max="778" min="775" style="672" width="9.95360824742268"/>
    <col collapsed="false" hidden="false" max="779" min="779" style="672" width="9.27319587628866"/>
    <col collapsed="false" hidden="false" max="780" min="780" style="672" width="12.9587628865979"/>
    <col collapsed="false" hidden="false" max="781" min="781" style="672" width="10.5"/>
    <col collapsed="false" hidden="false" max="783" min="782" style="672" width="10.7731958762887"/>
    <col collapsed="false" hidden="false" max="785" min="784" style="672" width="11.0463917525773"/>
    <col collapsed="false" hidden="false" max="786" min="786" style="672" width="10.5"/>
    <col collapsed="false" hidden="false" max="787" min="787" style="672" width="13.3659793814433"/>
    <col collapsed="false" hidden="false" max="788" min="788" style="672" width="6.54639175257732"/>
    <col collapsed="false" hidden="false" max="789" min="789" style="672" width="9.27319587628866"/>
    <col collapsed="false" hidden="false" max="790" min="790" style="672" width="13.3659793814433"/>
    <col collapsed="false" hidden="false" max="791" min="791" style="672" width="10.3659793814433"/>
    <col collapsed="false" hidden="false" max="792" min="792" style="672" width="7.63917525773196"/>
    <col collapsed="false" hidden="false" max="793" min="793" style="672" width="9.13917525773196"/>
    <col collapsed="false" hidden="false" max="794" min="794" style="672" width="10.3659793814433"/>
    <col collapsed="false" hidden="false" max="795" min="795" style="672" width="9.95360824742268"/>
    <col collapsed="false" hidden="false" max="1025" min="796" style="672" width="7.3659793814433"/>
  </cols>
  <sheetData>
    <row r="1" customFormat="false" ht="18" hidden="false" customHeight="false" outlineLevel="0" collapsed="false">
      <c r="B1" s="0"/>
      <c r="C1" s="0"/>
      <c r="D1" s="673" t="s">
        <v>789</v>
      </c>
      <c r="E1" s="673"/>
      <c r="F1" s="673"/>
      <c r="G1" s="673"/>
      <c r="H1" s="673"/>
      <c r="I1" s="673"/>
      <c r="J1" s="673"/>
      <c r="K1" s="673"/>
      <c r="L1" s="673"/>
      <c r="M1" s="673"/>
      <c r="N1" s="673"/>
      <c r="O1" s="674"/>
      <c r="P1" s="0"/>
      <c r="Q1" s="0"/>
      <c r="R1" s="0"/>
      <c r="S1" s="0"/>
      <c r="T1" s="0"/>
      <c r="U1" s="0"/>
      <c r="V1" s="0"/>
      <c r="W1" s="0"/>
      <c r="X1" s="0"/>
      <c r="Y1" s="0"/>
      <c r="Z1" s="0"/>
      <c r="AA1" s="0"/>
      <c r="AB1" s="0"/>
      <c r="AC1" s="0"/>
      <c r="AD1" s="0"/>
      <c r="AE1" s="0"/>
    </row>
    <row r="2" customFormat="false" ht="15.75" hidden="false" customHeight="false" outlineLevel="0" collapsed="false">
      <c r="B2" s="675" t="s">
        <v>790</v>
      </c>
      <c r="C2" s="676"/>
      <c r="D2" s="676"/>
      <c r="E2" s="676"/>
      <c r="F2" s="676"/>
      <c r="G2" s="676"/>
      <c r="H2" s="676"/>
      <c r="I2" s="0"/>
      <c r="J2" s="0"/>
      <c r="K2" s="677"/>
      <c r="L2" s="678" t="s">
        <v>791</v>
      </c>
      <c r="M2" s="679"/>
      <c r="N2" s="680" t="s">
        <v>792</v>
      </c>
      <c r="O2" s="681"/>
      <c r="P2" s="0"/>
      <c r="Q2" s="0"/>
      <c r="R2" s="0"/>
      <c r="S2" s="0"/>
      <c r="T2" s="0"/>
      <c r="U2" s="0"/>
      <c r="V2" s="0"/>
      <c r="W2" s="0"/>
      <c r="X2" s="0"/>
      <c r="Y2" s="0"/>
      <c r="Z2" s="0"/>
      <c r="AA2" s="0"/>
      <c r="AB2" s="0"/>
      <c r="AC2" s="0"/>
      <c r="AD2" s="0"/>
      <c r="AE2" s="0"/>
    </row>
    <row r="3" customFormat="false" ht="15.75" hidden="false" customHeight="false" outlineLevel="0" collapsed="false">
      <c r="B3" s="682" t="s">
        <v>161</v>
      </c>
      <c r="C3" s="682"/>
      <c r="D3" s="682"/>
      <c r="E3" s="682"/>
      <c r="F3" s="682"/>
      <c r="G3" s="682"/>
      <c r="H3" s="683" t="n">
        <v>3</v>
      </c>
      <c r="I3" s="683"/>
      <c r="J3" s="683"/>
      <c r="K3" s="683"/>
      <c r="L3" s="683"/>
      <c r="M3" s="683"/>
      <c r="N3" s="683"/>
      <c r="O3" s="681"/>
      <c r="P3" s="681"/>
      <c r="Q3" s="681"/>
      <c r="R3" s="681"/>
      <c r="S3" s="681"/>
      <c r="T3" s="681"/>
      <c r="U3" s="681"/>
      <c r="V3" s="681"/>
      <c r="W3" s="681"/>
      <c r="X3" s="681"/>
      <c r="Y3" s="681"/>
      <c r="Z3" s="0"/>
      <c r="AA3" s="0"/>
      <c r="AB3" s="0"/>
      <c r="AC3" s="0"/>
      <c r="AD3" s="0"/>
      <c r="AE3" s="0"/>
    </row>
    <row r="4" customFormat="false" ht="15" hidden="false" customHeight="true" outlineLevel="0" collapsed="false">
      <c r="B4" s="684" t="s">
        <v>6</v>
      </c>
      <c r="C4" s="684"/>
      <c r="D4" s="684"/>
      <c r="E4" s="684"/>
      <c r="F4" s="684"/>
      <c r="G4" s="684"/>
      <c r="H4" s="685" t="s">
        <v>50</v>
      </c>
      <c r="I4" s="685"/>
      <c r="J4" s="685"/>
      <c r="K4" s="685"/>
      <c r="L4" s="685"/>
      <c r="M4" s="685"/>
      <c r="N4" s="685"/>
      <c r="O4" s="681"/>
      <c r="P4" s="681"/>
      <c r="Q4" s="681"/>
      <c r="R4" s="681"/>
      <c r="S4" s="681"/>
      <c r="T4" s="681"/>
      <c r="U4" s="681"/>
      <c r="V4" s="681"/>
      <c r="W4" s="681"/>
      <c r="X4" s="681"/>
      <c r="Y4" s="681"/>
      <c r="Z4" s="0"/>
      <c r="AA4" s="0"/>
      <c r="AB4" s="0"/>
      <c r="AC4" s="0"/>
      <c r="AD4" s="0"/>
      <c r="AE4" s="0"/>
    </row>
    <row r="5" customFormat="false" ht="15.75" hidden="false" customHeight="true" outlineLevel="0" collapsed="false">
      <c r="B5" s="686" t="s">
        <v>793</v>
      </c>
      <c r="C5" s="686"/>
      <c r="D5" s="686"/>
      <c r="E5" s="686"/>
      <c r="F5" s="686"/>
      <c r="G5" s="686"/>
      <c r="H5" s="687" t="n">
        <v>0.97</v>
      </c>
      <c r="I5" s="687"/>
      <c r="J5" s="687"/>
      <c r="K5" s="687"/>
      <c r="L5" s="687"/>
      <c r="M5" s="687"/>
      <c r="N5" s="687"/>
      <c r="O5" s="681"/>
      <c r="P5" s="681"/>
      <c r="Q5" s="681"/>
      <c r="R5" s="681"/>
      <c r="S5" s="681"/>
      <c r="T5" s="681"/>
      <c r="U5" s="688"/>
      <c r="V5" s="681"/>
      <c r="W5" s="681"/>
      <c r="X5" s="681"/>
      <c r="Y5" s="681"/>
      <c r="Z5" s="0"/>
      <c r="AA5" s="0"/>
      <c r="AB5" s="0"/>
      <c r="AC5" s="0"/>
      <c r="AD5" s="0"/>
      <c r="AE5" s="0"/>
    </row>
    <row r="6" customFormat="false" ht="15.75" hidden="false" customHeight="false" outlineLevel="0" collapsed="false">
      <c r="B6" s="689" t="s">
        <v>794</v>
      </c>
      <c r="C6" s="689"/>
      <c r="D6" s="689"/>
      <c r="E6" s="689"/>
      <c r="F6" s="689"/>
      <c r="G6" s="689"/>
      <c r="H6" s="689"/>
      <c r="I6" s="689"/>
      <c r="J6" s="689"/>
      <c r="K6" s="689"/>
      <c r="L6" s="689"/>
      <c r="M6" s="689"/>
      <c r="N6" s="689"/>
      <c r="O6" s="690"/>
      <c r="P6" s="681"/>
      <c r="Q6" s="681"/>
      <c r="R6" s="681"/>
      <c r="S6" s="681"/>
      <c r="T6" s="681"/>
      <c r="U6" s="688"/>
      <c r="V6" s="681"/>
      <c r="W6" s="681"/>
      <c r="X6" s="681"/>
      <c r="Y6" s="681"/>
      <c r="Z6" s="0"/>
      <c r="AA6" s="0"/>
      <c r="AB6" s="0"/>
      <c r="AC6" s="0"/>
      <c r="AD6" s="0"/>
      <c r="AE6" s="0"/>
    </row>
    <row r="7" customFormat="false" ht="18" hidden="false" customHeight="true" outlineLevel="0" collapsed="false">
      <c r="B7" s="691" t="s">
        <v>795</v>
      </c>
      <c r="C7" s="691"/>
      <c r="D7" s="691"/>
      <c r="E7" s="691"/>
      <c r="F7" s="691"/>
      <c r="G7" s="691"/>
      <c r="H7" s="692"/>
      <c r="I7" s="693" t="s">
        <v>796</v>
      </c>
      <c r="J7" s="694" t="s">
        <v>797</v>
      </c>
      <c r="K7" s="693"/>
      <c r="L7" s="695" t="n">
        <v>11</v>
      </c>
      <c r="M7" s="696"/>
      <c r="N7" s="0"/>
      <c r="O7" s="0"/>
      <c r="P7" s="0"/>
      <c r="Q7" s="0"/>
      <c r="R7" s="681"/>
      <c r="S7" s="681"/>
      <c r="T7" s="681"/>
      <c r="U7" s="688"/>
      <c r="V7" s="681"/>
      <c r="W7" s="681"/>
      <c r="X7" s="681"/>
      <c r="Y7" s="681"/>
      <c r="Z7" s="0"/>
      <c r="AA7" s="0"/>
      <c r="AB7" s="0"/>
      <c r="AC7" s="0"/>
      <c r="AD7" s="0"/>
      <c r="AE7" s="0"/>
    </row>
    <row r="8" customFormat="false" ht="16.5" hidden="false" customHeight="true" outlineLevel="0" collapsed="false">
      <c r="B8" s="697" t="s">
        <v>798</v>
      </c>
      <c r="C8" s="697"/>
      <c r="D8" s="697"/>
      <c r="E8" s="697"/>
      <c r="F8" s="697"/>
      <c r="G8" s="697"/>
      <c r="H8" s="698"/>
      <c r="I8" s="698" t="s">
        <v>799</v>
      </c>
      <c r="J8" s="699" t="s">
        <v>800</v>
      </c>
      <c r="K8" s="698"/>
      <c r="L8" s="700" t="n">
        <v>0.8</v>
      </c>
      <c r="M8" s="701"/>
      <c r="N8" s="0"/>
      <c r="O8" s="0"/>
      <c r="P8" s="0"/>
      <c r="Q8" s="0"/>
      <c r="R8" s="681"/>
      <c r="S8" s="681"/>
      <c r="T8" s="681"/>
      <c r="U8" s="681"/>
      <c r="V8" s="681"/>
      <c r="W8" s="681"/>
      <c r="X8" s="681"/>
      <c r="Y8" s="681"/>
      <c r="Z8" s="0"/>
      <c r="AA8" s="0"/>
      <c r="AB8" s="0"/>
      <c r="AC8" s="0"/>
      <c r="AD8" s="0"/>
      <c r="AE8" s="0"/>
    </row>
    <row r="9" customFormat="false" ht="15.75" hidden="false" customHeight="false" outlineLevel="0" collapsed="false">
      <c r="B9" s="697" t="s">
        <v>801</v>
      </c>
      <c r="C9" s="697"/>
      <c r="D9" s="697"/>
      <c r="E9" s="697"/>
      <c r="F9" s="697"/>
      <c r="G9" s="697"/>
      <c r="H9" s="698"/>
      <c r="I9" s="698" t="s">
        <v>802</v>
      </c>
      <c r="J9" s="699" t="s">
        <v>803</v>
      </c>
      <c r="K9" s="698"/>
      <c r="L9" s="700" t="n">
        <v>32</v>
      </c>
      <c r="M9" s="701"/>
      <c r="N9" s="0"/>
      <c r="O9" s="0"/>
      <c r="P9" s="0"/>
      <c r="Q9" s="0"/>
      <c r="R9" s="681"/>
      <c r="S9" s="681"/>
      <c r="T9" s="681"/>
      <c r="U9" s="688"/>
      <c r="V9" s="681"/>
      <c r="W9" s="681"/>
      <c r="X9" s="681"/>
      <c r="Y9" s="681"/>
      <c r="Z9" s="0"/>
      <c r="AA9" s="0"/>
      <c r="AB9" s="0"/>
      <c r="AC9" s="0"/>
      <c r="AD9" s="0"/>
      <c r="AE9" s="0"/>
    </row>
    <row r="10" customFormat="false" ht="16.5" hidden="false" customHeight="true" outlineLevel="0" collapsed="false">
      <c r="B10" s="697" t="s">
        <v>804</v>
      </c>
      <c r="C10" s="697"/>
      <c r="D10" s="697"/>
      <c r="E10" s="697"/>
      <c r="F10" s="697"/>
      <c r="G10" s="697"/>
      <c r="H10" s="698"/>
      <c r="I10" s="698" t="s">
        <v>799</v>
      </c>
      <c r="J10" s="699" t="s">
        <v>805</v>
      </c>
      <c r="K10" s="698"/>
      <c r="L10" s="700" t="n">
        <f aca="false">G76</f>
        <v>42</v>
      </c>
      <c r="M10" s="701"/>
      <c r="N10" s="0"/>
      <c r="O10" s="0"/>
      <c r="P10" s="0"/>
      <c r="Q10" s="0"/>
      <c r="R10" s="681"/>
      <c r="S10" s="681"/>
      <c r="T10" s="681"/>
      <c r="U10" s="0"/>
      <c r="V10" s="0"/>
      <c r="W10" s="681"/>
      <c r="X10" s="681"/>
      <c r="Y10" s="681"/>
      <c r="Z10" s="0"/>
      <c r="AA10" s="0"/>
      <c r="AB10" s="0"/>
      <c r="AC10" s="0"/>
      <c r="AD10" s="0"/>
      <c r="AE10" s="0"/>
    </row>
    <row r="11" customFormat="false" ht="18.75" hidden="false" customHeight="true" outlineLevel="0" collapsed="false">
      <c r="B11" s="684" t="s">
        <v>806</v>
      </c>
      <c r="C11" s="684"/>
      <c r="D11" s="684"/>
      <c r="E11" s="684"/>
      <c r="F11" s="684"/>
      <c r="G11" s="684"/>
      <c r="H11" s="702"/>
      <c r="I11" s="698"/>
      <c r="J11" s="699" t="s">
        <v>752</v>
      </c>
      <c r="K11" s="698"/>
      <c r="L11" s="700" t="n">
        <v>1.04</v>
      </c>
      <c r="M11" s="701"/>
      <c r="N11" s="0"/>
      <c r="O11" s="0"/>
      <c r="P11" s="0"/>
      <c r="Q11" s="0"/>
      <c r="R11" s="681"/>
      <c r="S11" s="681"/>
      <c r="T11" s="681"/>
      <c r="U11" s="0"/>
      <c r="V11" s="0"/>
      <c r="W11" s="681"/>
      <c r="X11" s="681"/>
      <c r="Y11" s="681"/>
      <c r="Z11" s="0"/>
      <c r="AA11" s="0"/>
      <c r="AB11" s="0"/>
      <c r="AC11" s="0"/>
      <c r="AD11" s="0"/>
      <c r="AE11" s="0"/>
    </row>
    <row r="12" customFormat="false" ht="28.5" hidden="false" customHeight="true" outlineLevel="0" collapsed="false">
      <c r="B12" s="684" t="s">
        <v>807</v>
      </c>
      <c r="C12" s="684"/>
      <c r="D12" s="684"/>
      <c r="E12" s="684"/>
      <c r="F12" s="684"/>
      <c r="G12" s="684"/>
      <c r="H12" s="702"/>
      <c r="I12" s="698" t="s">
        <v>808</v>
      </c>
      <c r="J12" s="699"/>
      <c r="K12" s="698"/>
      <c r="L12" s="700" t="n">
        <v>1500</v>
      </c>
      <c r="M12" s="703" t="n">
        <f aca="false">L12*L11^(L7-1)</f>
        <v>2220.36642737752</v>
      </c>
      <c r="N12" s="0"/>
      <c r="O12" s="0"/>
      <c r="P12" s="0"/>
      <c r="Q12" s="0"/>
      <c r="R12" s="704"/>
      <c r="S12" s="681"/>
      <c r="T12" s="681"/>
      <c r="U12" s="0"/>
      <c r="V12" s="0"/>
      <c r="W12" s="681"/>
      <c r="X12" s="681"/>
      <c r="Y12" s="681"/>
      <c r="Z12" s="0"/>
      <c r="AA12" s="0"/>
      <c r="AB12" s="0"/>
      <c r="AC12" s="0"/>
      <c r="AD12" s="0"/>
      <c r="AE12" s="0"/>
    </row>
    <row r="13" customFormat="false" ht="19.5" hidden="false" customHeight="true" outlineLevel="0" collapsed="false">
      <c r="B13" s="684" t="s">
        <v>809</v>
      </c>
      <c r="C13" s="684"/>
      <c r="D13" s="684"/>
      <c r="E13" s="684"/>
      <c r="F13" s="684"/>
      <c r="G13" s="684"/>
      <c r="H13" s="702"/>
      <c r="I13" s="698"/>
      <c r="J13" s="699" t="s">
        <v>810</v>
      </c>
      <c r="K13" s="698"/>
      <c r="L13" s="699" t="s">
        <v>811</v>
      </c>
      <c r="M13" s="705" t="n">
        <f aca="false">(L11^L7-1)/(L11-1)</f>
        <v>13.4863514078769</v>
      </c>
      <c r="N13" s="0"/>
      <c r="O13" s="0"/>
      <c r="P13" s="0"/>
      <c r="Q13" s="0"/>
      <c r="R13" s="0"/>
      <c r="S13" s="0"/>
      <c r="T13" s="0"/>
      <c r="U13" s="0"/>
      <c r="V13" s="0"/>
      <c r="W13" s="0"/>
      <c r="X13" s="0"/>
      <c r="Y13" s="0"/>
      <c r="Z13" s="0"/>
      <c r="AA13" s="0"/>
      <c r="AB13" s="0"/>
      <c r="AC13" s="0"/>
      <c r="AD13" s="0"/>
      <c r="AE13" s="0"/>
    </row>
    <row r="14" customFormat="false" ht="15" hidden="false" customHeight="true" outlineLevel="0" collapsed="false">
      <c r="B14" s="684" t="s">
        <v>812</v>
      </c>
      <c r="C14" s="684"/>
      <c r="D14" s="684"/>
      <c r="E14" s="684"/>
      <c r="F14" s="684"/>
      <c r="G14" s="684"/>
      <c r="H14" s="702"/>
      <c r="I14" s="702"/>
      <c r="J14" s="699" t="s">
        <v>813</v>
      </c>
      <c r="K14" s="698"/>
      <c r="L14" s="699" t="s">
        <v>811</v>
      </c>
      <c r="M14" s="705" t="n">
        <v>1.49</v>
      </c>
      <c r="N14" s="0"/>
      <c r="O14" s="0"/>
      <c r="P14" s="0"/>
      <c r="Q14" s="0"/>
      <c r="R14" s="0"/>
      <c r="S14" s="0"/>
      <c r="T14" s="0"/>
      <c r="U14" s="706"/>
      <c r="V14" s="706"/>
      <c r="W14" s="0"/>
      <c r="X14" s="0"/>
      <c r="Y14" s="0"/>
      <c r="Z14" s="0"/>
      <c r="AA14" s="0"/>
      <c r="AB14" s="0"/>
      <c r="AC14" s="0"/>
      <c r="AD14" s="0"/>
      <c r="AE14" s="0"/>
    </row>
    <row r="15" customFormat="false" ht="18" hidden="false" customHeight="true" outlineLevel="0" collapsed="false">
      <c r="B15" s="684" t="s">
        <v>814</v>
      </c>
      <c r="C15" s="684"/>
      <c r="D15" s="684"/>
      <c r="E15" s="684"/>
      <c r="F15" s="684"/>
      <c r="G15" s="684"/>
      <c r="H15" s="702"/>
      <c r="I15" s="702"/>
      <c r="J15" s="699" t="s">
        <v>815</v>
      </c>
      <c r="K15" s="698"/>
      <c r="L15" s="699" t="s">
        <v>811</v>
      </c>
      <c r="M15" s="707" t="n">
        <v>125</v>
      </c>
      <c r="N15" s="0"/>
      <c r="O15" s="0"/>
      <c r="P15" s="0"/>
      <c r="Q15" s="0"/>
      <c r="R15" s="0"/>
      <c r="S15" s="0"/>
      <c r="T15" s="0"/>
      <c r="U15" s="0"/>
      <c r="V15" s="0"/>
      <c r="W15" s="0"/>
      <c r="X15" s="0"/>
      <c r="Y15" s="0"/>
      <c r="Z15" s="0"/>
      <c r="AA15" s="0"/>
      <c r="AB15" s="0"/>
      <c r="AC15" s="0"/>
      <c r="AD15" s="0"/>
      <c r="AE15" s="0"/>
    </row>
    <row r="16" customFormat="false" ht="27" hidden="false" customHeight="true" outlineLevel="0" collapsed="false">
      <c r="B16" s="686" t="s">
        <v>816</v>
      </c>
      <c r="C16" s="686"/>
      <c r="D16" s="686"/>
      <c r="E16" s="686"/>
      <c r="F16" s="686"/>
      <c r="G16" s="686"/>
      <c r="H16" s="708"/>
      <c r="I16" s="708"/>
      <c r="J16" s="709"/>
      <c r="K16" s="710"/>
      <c r="L16" s="709"/>
      <c r="M16" s="711" t="n">
        <v>0.85</v>
      </c>
      <c r="N16" s="0"/>
      <c r="O16" s="0"/>
      <c r="P16" s="0"/>
      <c r="Q16" s="0"/>
      <c r="R16" s="0"/>
      <c r="S16" s="0"/>
      <c r="T16" s="0"/>
      <c r="U16" s="0"/>
      <c r="V16" s="0"/>
      <c r="W16" s="0"/>
      <c r="X16" s="0"/>
      <c r="Y16" s="0"/>
      <c r="Z16" s="0"/>
      <c r="AA16" s="0"/>
      <c r="AB16" s="0"/>
      <c r="AC16" s="0"/>
      <c r="AD16" s="0"/>
      <c r="AE16" s="0"/>
    </row>
    <row r="17" customFormat="false" ht="18" hidden="false" customHeight="true" outlineLevel="0" collapsed="false">
      <c r="B17" s="0"/>
      <c r="C17" s="706"/>
      <c r="D17" s="706"/>
      <c r="E17" s="706"/>
      <c r="F17" s="706"/>
      <c r="G17" s="706"/>
      <c r="H17" s="706" t="s">
        <v>817</v>
      </c>
      <c r="I17" s="706"/>
      <c r="J17" s="706"/>
      <c r="K17" s="706"/>
      <c r="L17" s="706"/>
      <c r="M17" s="706"/>
      <c r="N17" s="706"/>
      <c r="O17" s="706"/>
      <c r="P17" s="706"/>
      <c r="Q17" s="706"/>
      <c r="R17" s="706"/>
      <c r="S17" s="706"/>
      <c r="T17" s="706"/>
      <c r="U17" s="0"/>
      <c r="V17" s="0"/>
      <c r="W17" s="0"/>
      <c r="X17" s="0"/>
      <c r="Y17" s="0"/>
      <c r="Z17" s="0"/>
      <c r="AA17" s="0"/>
      <c r="AB17" s="0"/>
      <c r="AC17" s="0"/>
      <c r="AD17" s="0"/>
      <c r="AE17" s="0"/>
    </row>
    <row r="18" customFormat="false" ht="15.75" hidden="false" customHeight="false" outlineLevel="0" collapsed="false">
      <c r="B18" s="682" t="s">
        <v>818</v>
      </c>
      <c r="C18" s="682"/>
      <c r="D18" s="682"/>
      <c r="E18" s="682"/>
      <c r="F18" s="682"/>
      <c r="G18" s="682"/>
      <c r="H18" s="693"/>
      <c r="I18" s="693"/>
      <c r="J18" s="693"/>
      <c r="K18" s="693"/>
      <c r="L18" s="693"/>
      <c r="M18" s="693" t="n">
        <v>1.065</v>
      </c>
      <c r="N18" s="696"/>
      <c r="O18" s="681"/>
      <c r="P18" s="0"/>
      <c r="Q18" s="0"/>
      <c r="R18" s="0"/>
      <c r="S18" s="0"/>
      <c r="T18" s="0"/>
      <c r="U18" s="0"/>
      <c r="V18" s="0"/>
      <c r="W18" s="0"/>
      <c r="X18" s="0"/>
      <c r="Y18" s="0"/>
      <c r="Z18" s="0"/>
      <c r="AA18" s="0"/>
      <c r="AB18" s="0"/>
      <c r="AC18" s="0"/>
      <c r="AD18" s="0"/>
      <c r="AE18" s="0"/>
    </row>
    <row r="19" customFormat="false" ht="16.5" hidden="false" customHeight="true" outlineLevel="0" collapsed="false">
      <c r="B19" s="697" t="s">
        <v>819</v>
      </c>
      <c r="C19" s="697"/>
      <c r="D19" s="697"/>
      <c r="E19" s="697"/>
      <c r="F19" s="697"/>
      <c r="G19" s="697"/>
      <c r="H19" s="698"/>
      <c r="I19" s="698" t="s">
        <v>802</v>
      </c>
      <c r="J19" s="699" t="s">
        <v>820</v>
      </c>
      <c r="K19" s="698"/>
      <c r="L19" s="712" t="n">
        <f aca="false">M19</f>
        <v>101</v>
      </c>
      <c r="M19" s="713" t="n">
        <f aca="false">SUM(C66:C75)</f>
        <v>101</v>
      </c>
      <c r="N19" s="714" t="n">
        <f aca="false">M19</f>
        <v>101</v>
      </c>
      <c r="O19" s="681"/>
      <c r="P19" s="0"/>
      <c r="Q19" s="0"/>
      <c r="R19" s="0"/>
      <c r="S19" s="0"/>
      <c r="T19" s="0"/>
      <c r="U19" s="0"/>
      <c r="V19" s="0"/>
      <c r="W19" s="0"/>
      <c r="X19" s="0"/>
      <c r="Y19" s="0"/>
      <c r="Z19" s="0"/>
      <c r="AA19" s="0"/>
      <c r="AB19" s="0"/>
      <c r="AC19" s="0"/>
      <c r="AD19" s="0"/>
      <c r="AE19" s="0"/>
    </row>
    <row r="20" customFormat="false" ht="16.5" hidden="false" customHeight="true" outlineLevel="0" collapsed="false">
      <c r="B20" s="697" t="s">
        <v>821</v>
      </c>
      <c r="C20" s="697"/>
      <c r="D20" s="697"/>
      <c r="E20" s="697"/>
      <c r="F20" s="697"/>
      <c r="G20" s="697"/>
      <c r="H20" s="698"/>
      <c r="I20" s="698" t="s">
        <v>802</v>
      </c>
      <c r="J20" s="699" t="s">
        <v>822</v>
      </c>
      <c r="K20" s="698"/>
      <c r="L20" s="713" t="n">
        <f aca="false">SUM(C66:C72)</f>
        <v>17</v>
      </c>
      <c r="M20" s="0"/>
      <c r="N20" s="701"/>
      <c r="O20" s="681"/>
      <c r="P20" s="0"/>
      <c r="Q20" s="0"/>
      <c r="R20" s="0"/>
      <c r="S20" s="0"/>
      <c r="T20" s="0"/>
      <c r="U20" s="0"/>
      <c r="V20" s="0"/>
      <c r="W20" s="0"/>
      <c r="X20" s="0"/>
      <c r="Y20" s="0"/>
      <c r="Z20" s="0"/>
      <c r="AA20" s="0"/>
      <c r="AB20" s="0"/>
      <c r="AC20" s="0"/>
      <c r="AD20" s="0"/>
      <c r="AE20" s="0"/>
    </row>
    <row r="21" customFormat="false" ht="16.5" hidden="false" customHeight="true" outlineLevel="0" collapsed="false">
      <c r="B21" s="697" t="s">
        <v>823</v>
      </c>
      <c r="C21" s="697"/>
      <c r="D21" s="697"/>
      <c r="E21" s="697"/>
      <c r="F21" s="697"/>
      <c r="G21" s="697"/>
      <c r="H21" s="698"/>
      <c r="I21" s="698"/>
      <c r="J21" s="699"/>
      <c r="K21" s="698"/>
      <c r="L21" s="715" t="s">
        <v>824</v>
      </c>
      <c r="M21" s="713" t="s">
        <v>825</v>
      </c>
      <c r="N21" s="714" t="s">
        <v>826</v>
      </c>
      <c r="O21" s="681"/>
      <c r="P21" s="0"/>
      <c r="Q21" s="0"/>
      <c r="R21" s="0"/>
      <c r="S21" s="0"/>
      <c r="T21" s="0"/>
      <c r="U21" s="0"/>
      <c r="V21" s="0"/>
      <c r="W21" s="0"/>
      <c r="X21" s="0"/>
      <c r="Y21" s="0"/>
      <c r="Z21" s="0"/>
      <c r="AA21" s="0"/>
      <c r="AB21" s="0"/>
      <c r="AC21" s="0"/>
      <c r="AD21" s="0"/>
      <c r="AE21" s="0"/>
    </row>
    <row r="22" customFormat="false" ht="18.75" hidden="false" customHeight="true" outlineLevel="0" collapsed="false">
      <c r="B22" s="684" t="s">
        <v>827</v>
      </c>
      <c r="C22" s="684"/>
      <c r="D22" s="684"/>
      <c r="E22" s="684"/>
      <c r="F22" s="684"/>
      <c r="G22" s="684"/>
      <c r="H22" s="702"/>
      <c r="I22" s="698" t="s">
        <v>799</v>
      </c>
      <c r="J22" s="699" t="s">
        <v>828</v>
      </c>
      <c r="K22" s="698"/>
      <c r="L22" s="715" t="n">
        <f aca="false">L77/L20</f>
        <v>2611.76470588235</v>
      </c>
      <c r="M22" s="716" t="n">
        <f aca="false">SUM(M66:M75)/M19</f>
        <v>497.029702970297</v>
      </c>
      <c r="N22" s="703" t="n">
        <f aca="false">SUM(N66:N75)/M19</f>
        <v>278.811881188119</v>
      </c>
      <c r="O22" s="717"/>
      <c r="P22" s="0"/>
      <c r="Q22" s="0"/>
      <c r="R22" s="0"/>
      <c r="S22" s="0"/>
      <c r="T22" s="0"/>
      <c r="U22" s="0"/>
      <c r="V22" s="0"/>
      <c r="W22" s="0"/>
      <c r="X22" s="0"/>
      <c r="Y22" s="0"/>
      <c r="Z22" s="0"/>
      <c r="AA22" s="0"/>
      <c r="AB22" s="0"/>
      <c r="AC22" s="0"/>
      <c r="AD22" s="0"/>
      <c r="AE22" s="0"/>
    </row>
    <row r="23" customFormat="false" ht="18.75" hidden="false" customHeight="true" outlineLevel="0" collapsed="false">
      <c r="B23" s="684" t="s">
        <v>829</v>
      </c>
      <c r="C23" s="684"/>
      <c r="D23" s="684"/>
      <c r="E23" s="684"/>
      <c r="F23" s="684"/>
      <c r="G23" s="684"/>
      <c r="H23" s="702"/>
      <c r="I23" s="698"/>
      <c r="J23" s="702"/>
      <c r="K23" s="698"/>
      <c r="L23" s="718" t="n">
        <f aca="false">W73</f>
        <v>242.76786125676</v>
      </c>
      <c r="M23" s="716" t="n">
        <f aca="false">G76</f>
        <v>42</v>
      </c>
      <c r="N23" s="703" t="n">
        <f aca="false">H76</f>
        <v>42</v>
      </c>
      <c r="O23" s="717"/>
      <c r="P23" s="0"/>
      <c r="Q23" s="0"/>
      <c r="R23" s="0"/>
      <c r="S23" s="0"/>
      <c r="T23" s="0"/>
      <c r="U23" s="0"/>
      <c r="V23" s="0"/>
      <c r="W23" s="0"/>
      <c r="X23" s="0"/>
      <c r="Y23" s="0"/>
      <c r="Z23" s="0"/>
      <c r="AA23" s="0"/>
      <c r="AB23" s="0"/>
      <c r="AC23" s="0"/>
      <c r="AD23" s="0"/>
      <c r="AE23" s="0"/>
    </row>
    <row r="24" customFormat="false" ht="18.75" hidden="false" customHeight="true" outlineLevel="0" collapsed="false">
      <c r="B24" s="684" t="s">
        <v>830</v>
      </c>
      <c r="C24" s="684"/>
      <c r="D24" s="684"/>
      <c r="E24" s="684"/>
      <c r="F24" s="684"/>
      <c r="G24" s="684"/>
      <c r="H24" s="702"/>
      <c r="I24" s="698"/>
      <c r="J24" s="702"/>
      <c r="K24" s="698"/>
      <c r="L24" s="719" t="n">
        <f aca="false">L22/L23</f>
        <v>10.758280327395</v>
      </c>
      <c r="M24" s="719" t="n">
        <f aca="false">M22/M23</f>
        <v>11.8340405469118</v>
      </c>
      <c r="N24" s="720" t="n">
        <f aca="false">N22/N23</f>
        <v>6.63837812352664</v>
      </c>
      <c r="O24" s="721"/>
      <c r="P24" s="0"/>
      <c r="Q24" s="0"/>
      <c r="R24" s="0"/>
      <c r="S24" s="0"/>
      <c r="T24" s="0"/>
      <c r="U24" s="0"/>
      <c r="V24" s="0"/>
      <c r="W24" s="0"/>
      <c r="X24" s="0"/>
      <c r="Y24" s="0"/>
      <c r="Z24" s="0"/>
      <c r="AA24" s="0"/>
      <c r="AB24" s="0"/>
      <c r="AC24" s="0"/>
      <c r="AD24" s="0"/>
      <c r="AE24" s="0"/>
    </row>
    <row r="25" customFormat="false" ht="18.75" hidden="false" customHeight="true" outlineLevel="0" collapsed="false">
      <c r="B25" s="684" t="s">
        <v>831</v>
      </c>
      <c r="C25" s="684"/>
      <c r="D25" s="684"/>
      <c r="E25" s="684"/>
      <c r="F25" s="684"/>
      <c r="G25" s="684"/>
      <c r="H25" s="702"/>
      <c r="I25" s="702"/>
      <c r="J25" s="702"/>
      <c r="K25" s="698"/>
      <c r="L25" s="722" t="n">
        <f aca="false">L20/L9</f>
        <v>0.53125</v>
      </c>
      <c r="M25" s="723" t="n">
        <f aca="false">M19/L9</f>
        <v>3.15625</v>
      </c>
      <c r="N25" s="724" t="n">
        <f aca="false">M19/L9</f>
        <v>3.15625</v>
      </c>
      <c r="O25" s="725"/>
      <c r="P25" s="0"/>
      <c r="Q25" s="0"/>
      <c r="R25" s="0"/>
      <c r="S25" s="0"/>
      <c r="T25" s="0"/>
      <c r="U25" s="0"/>
      <c r="V25" s="0"/>
      <c r="W25" s="0"/>
      <c r="X25" s="0"/>
      <c r="Y25" s="0"/>
      <c r="Z25" s="0"/>
      <c r="AA25" s="0"/>
      <c r="AB25" s="0"/>
      <c r="AC25" s="0"/>
      <c r="AD25" s="0"/>
      <c r="AE25" s="0"/>
    </row>
    <row r="26" customFormat="false" ht="15" hidden="false" customHeight="true" outlineLevel="0" collapsed="false">
      <c r="B26" s="686" t="s">
        <v>832</v>
      </c>
      <c r="C26" s="686"/>
      <c r="D26" s="686"/>
      <c r="E26" s="686"/>
      <c r="F26" s="686"/>
      <c r="G26" s="686"/>
      <c r="H26" s="708"/>
      <c r="I26" s="710" t="s">
        <v>833</v>
      </c>
      <c r="J26" s="708"/>
      <c r="K26" s="710"/>
      <c r="L26" s="709"/>
      <c r="M26" s="726" t="n">
        <f aca="false">L12*(L11^L7-1)/(L11-1)*M15</f>
        <v>2528690.88897693</v>
      </c>
      <c r="N26" s="727" t="n">
        <f aca="false">0.7*L12*M13*M15*M14/(L11^(L7-1))</f>
        <v>1781749.55585012</v>
      </c>
      <c r="O26" s="728"/>
      <c r="P26" s="0"/>
      <c r="Q26" s="0"/>
      <c r="R26" s="0"/>
      <c r="S26" s="0"/>
      <c r="T26" s="0"/>
      <c r="U26" s="0"/>
      <c r="V26" s="0"/>
      <c r="W26" s="0"/>
      <c r="X26" s="0"/>
      <c r="Y26" s="0"/>
      <c r="Z26" s="0"/>
      <c r="AA26" s="0"/>
      <c r="AB26" s="0"/>
      <c r="AC26" s="0"/>
      <c r="AD26" s="0"/>
      <c r="AE26" s="0"/>
    </row>
    <row r="27" customFormat="false" ht="15" hidden="false" customHeight="true" outlineLevel="0" collapsed="false">
      <c r="B27" s="729" t="s">
        <v>834</v>
      </c>
      <c r="C27" s="729"/>
      <c r="D27" s="729"/>
      <c r="E27" s="729"/>
      <c r="F27" s="729"/>
      <c r="G27" s="729"/>
      <c r="H27" s="729"/>
      <c r="I27" s="729"/>
      <c r="J27" s="729"/>
      <c r="K27" s="729"/>
      <c r="L27" s="729"/>
      <c r="M27" s="729"/>
      <c r="N27" s="729"/>
      <c r="O27" s="730"/>
      <c r="P27" s="728"/>
      <c r="Q27" s="728"/>
      <c r="R27" s="728"/>
      <c r="S27" s="681"/>
      <c r="T27" s="0"/>
      <c r="U27" s="0"/>
      <c r="V27" s="0"/>
      <c r="W27" s="0"/>
      <c r="X27" s="0"/>
      <c r="Y27" s="0"/>
      <c r="Z27" s="0"/>
      <c r="AA27" s="0"/>
      <c r="AB27" s="0"/>
      <c r="AC27" s="0"/>
      <c r="AD27" s="0"/>
      <c r="AE27" s="0"/>
    </row>
    <row r="28" customFormat="false" ht="21" hidden="false" customHeight="true" outlineLevel="0" collapsed="false">
      <c r="B28" s="691" t="s">
        <v>835</v>
      </c>
      <c r="C28" s="691"/>
      <c r="D28" s="691"/>
      <c r="E28" s="691"/>
      <c r="F28" s="691"/>
      <c r="G28" s="691"/>
      <c r="H28" s="692"/>
      <c r="I28" s="692"/>
      <c r="J28" s="694" t="s">
        <v>836</v>
      </c>
      <c r="K28" s="693"/>
      <c r="L28" s="693"/>
      <c r="M28" s="731" t="n">
        <f aca="false">56+70*LOG10(L12)</f>
        <v>278.326388133898</v>
      </c>
      <c r="N28" s="732" t="n">
        <f aca="false">98.65*(LOG10(N26)-3.55)</f>
        <v>266.438522930989</v>
      </c>
      <c r="O28" s="717"/>
      <c r="P28" s="681"/>
      <c r="Q28" s="681"/>
      <c r="R28" s="681"/>
      <c r="S28" s="681"/>
      <c r="T28" s="0"/>
      <c r="U28" s="0"/>
      <c r="V28" s="0"/>
      <c r="W28" s="0"/>
      <c r="X28" s="0"/>
      <c r="Y28" s="0"/>
      <c r="Z28" s="0"/>
      <c r="AA28" s="0"/>
      <c r="AB28" s="0"/>
      <c r="AC28" s="0"/>
      <c r="AD28" s="0"/>
      <c r="AE28" s="0"/>
    </row>
    <row r="29" customFormat="false" ht="19.5" hidden="false" customHeight="true" outlineLevel="0" collapsed="false">
      <c r="B29" s="684" t="s">
        <v>837</v>
      </c>
      <c r="C29" s="684"/>
      <c r="D29" s="684"/>
      <c r="E29" s="684"/>
      <c r="F29" s="684"/>
      <c r="G29" s="684"/>
      <c r="H29" s="702"/>
      <c r="I29" s="702"/>
      <c r="J29" s="699" t="s">
        <v>838</v>
      </c>
      <c r="K29" s="698"/>
      <c r="L29" s="698"/>
      <c r="M29" s="733" t="n">
        <f aca="false">U71</f>
        <v>457.066341689785</v>
      </c>
      <c r="N29" s="734" t="n">
        <f aca="false">W71</f>
        <v>472.49585120243</v>
      </c>
      <c r="O29" s="717"/>
      <c r="P29" s="681"/>
      <c r="Q29" s="681"/>
      <c r="R29" s="681"/>
      <c r="S29" s="681"/>
      <c r="T29" s="0"/>
      <c r="U29" s="0"/>
      <c r="V29" s="0"/>
      <c r="W29" s="0"/>
      <c r="X29" s="0"/>
      <c r="Y29" s="0"/>
      <c r="Z29" s="0"/>
      <c r="AA29" s="0"/>
      <c r="AB29" s="0"/>
      <c r="AC29" s="0"/>
      <c r="AD29" s="0"/>
      <c r="AE29" s="0"/>
    </row>
    <row r="30" customFormat="false" ht="16.5" hidden="false" customHeight="true" outlineLevel="0" collapsed="false">
      <c r="B30" s="686" t="s">
        <v>839</v>
      </c>
      <c r="C30" s="686"/>
      <c r="D30" s="686"/>
      <c r="E30" s="686"/>
      <c r="F30" s="686"/>
      <c r="G30" s="686"/>
      <c r="H30" s="708"/>
      <c r="I30" s="708"/>
      <c r="J30" s="708"/>
      <c r="K30" s="710"/>
      <c r="L30" s="710"/>
      <c r="M30" s="735" t="n">
        <f aca="false">M29/M28</f>
        <v>1.64219549843725</v>
      </c>
      <c r="N30" s="736" t="n">
        <f aca="false">N29/N28</f>
        <v>1.77337663489755</v>
      </c>
      <c r="O30" s="725"/>
      <c r="P30" s="681"/>
      <c r="Q30" s="681"/>
      <c r="R30" s="681"/>
      <c r="S30" s="681"/>
      <c r="T30" s="0"/>
      <c r="U30" s="0"/>
      <c r="V30" s="0"/>
      <c r="W30" s="0"/>
      <c r="X30" s="0"/>
      <c r="Y30" s="0"/>
      <c r="Z30" s="0"/>
      <c r="AA30" s="0"/>
      <c r="AB30" s="0"/>
      <c r="AC30" s="0"/>
      <c r="AD30" s="0"/>
      <c r="AE30" s="0"/>
    </row>
    <row r="31" customFormat="false" ht="18.75" hidden="false" customHeight="true" outlineLevel="0" collapsed="false">
      <c r="B31" s="729" t="s">
        <v>840</v>
      </c>
      <c r="C31" s="729"/>
      <c r="D31" s="729"/>
      <c r="E31" s="729"/>
      <c r="F31" s="729"/>
      <c r="G31" s="729"/>
      <c r="H31" s="729"/>
      <c r="I31" s="729"/>
      <c r="J31" s="729"/>
      <c r="K31" s="729"/>
      <c r="L31" s="729"/>
      <c r="M31" s="725" t="s">
        <v>841</v>
      </c>
      <c r="N31" s="725" t="s">
        <v>842</v>
      </c>
      <c r="O31" s="725"/>
      <c r="P31" s="681"/>
      <c r="Q31" s="681"/>
      <c r="R31" s="681"/>
      <c r="S31" s="681"/>
      <c r="T31" s="0"/>
      <c r="U31" s="0"/>
      <c r="V31" s="0"/>
      <c r="W31" s="0"/>
      <c r="X31" s="0"/>
      <c r="Y31" s="0"/>
      <c r="Z31" s="0"/>
      <c r="AA31" s="0"/>
      <c r="AB31" s="0"/>
      <c r="AC31" s="0"/>
      <c r="AD31" s="0"/>
      <c r="AE31" s="0"/>
    </row>
    <row r="32" customFormat="false" ht="54" hidden="false" customHeight="true" outlineLevel="0" collapsed="false">
      <c r="B32" s="691" t="s">
        <v>843</v>
      </c>
      <c r="C32" s="691"/>
      <c r="D32" s="691"/>
      <c r="E32" s="691"/>
      <c r="F32" s="691"/>
      <c r="G32" s="691"/>
      <c r="H32" s="692"/>
      <c r="I32" s="692"/>
      <c r="J32" s="692"/>
      <c r="K32" s="692"/>
      <c r="L32" s="692"/>
      <c r="M32" s="737" t="n">
        <f aca="false">L8*EXP(-G79/33)/(4+57/25*(N25)^2*(N24)^(2/3))</f>
        <v>0.00510330086959387</v>
      </c>
      <c r="N32" s="738" t="n">
        <f aca="false">L8*EXP(-H79/33)/(4+57/25*(N25)^2*(N24)^(2/3))+R79</f>
        <v>0.00768275701287354</v>
      </c>
      <c r="O32" s="739"/>
      <c r="P32" s="0"/>
      <c r="Q32" s="0"/>
      <c r="R32" s="0"/>
      <c r="S32" s="0"/>
      <c r="T32" s="0"/>
      <c r="U32" s="0"/>
      <c r="V32" s="0"/>
      <c r="W32" s="0"/>
      <c r="X32" s="0"/>
      <c r="Y32" s="0"/>
      <c r="Z32" s="0"/>
      <c r="AA32" s="0"/>
      <c r="AB32" s="0"/>
      <c r="AC32" s="0"/>
      <c r="AD32" s="0"/>
      <c r="AE32" s="0"/>
    </row>
    <row r="33" customFormat="false" ht="18.75" hidden="false" customHeight="true" outlineLevel="0" collapsed="false">
      <c r="B33" s="684" t="s">
        <v>844</v>
      </c>
      <c r="C33" s="684"/>
      <c r="D33" s="684"/>
      <c r="E33" s="684"/>
      <c r="F33" s="684"/>
      <c r="G33" s="684"/>
      <c r="H33" s="702"/>
      <c r="I33" s="702"/>
      <c r="J33" s="702"/>
      <c r="K33" s="702"/>
      <c r="L33" s="702"/>
      <c r="M33" s="740" t="n">
        <f aca="false">0.00001*(5-0.3*G79)*M19</f>
        <v>-0.0011615</v>
      </c>
      <c r="N33" s="741" t="n">
        <f aca="false">0.00001*(5-0.3*G79)*M19</f>
        <v>-0.0011615</v>
      </c>
      <c r="O33" s="739"/>
      <c r="P33" s="0"/>
      <c r="Q33" s="0"/>
      <c r="R33" s="0"/>
      <c r="S33" s="0"/>
      <c r="T33" s="0"/>
      <c r="U33" s="0"/>
      <c r="V33" s="0"/>
      <c r="W33" s="0"/>
      <c r="X33" s="0"/>
      <c r="Y33" s="0"/>
      <c r="Z33" s="0"/>
      <c r="AA33" s="0"/>
      <c r="AB33" s="0"/>
      <c r="AC33" s="0"/>
      <c r="AD33" s="0"/>
      <c r="AE33" s="0"/>
    </row>
    <row r="34" customFormat="false" ht="27.75" hidden="false" customHeight="true" outlineLevel="0" collapsed="false">
      <c r="B34" s="684" t="s">
        <v>845</v>
      </c>
      <c r="C34" s="684"/>
      <c r="D34" s="684"/>
      <c r="E34" s="684"/>
      <c r="F34" s="684"/>
      <c r="G34" s="684"/>
      <c r="H34" s="702"/>
      <c r="I34" s="702"/>
      <c r="J34" s="702"/>
      <c r="K34" s="702"/>
      <c r="L34" s="702"/>
      <c r="M34" s="740" t="n">
        <f aca="false">M32+M33</f>
        <v>0.00394180086959387</v>
      </c>
      <c r="N34" s="741" t="n">
        <f aca="false">N32+N33</f>
        <v>0.00652125701287354</v>
      </c>
      <c r="O34" s="739"/>
      <c r="P34" s="0"/>
      <c r="Q34" s="0"/>
      <c r="R34" s="0"/>
      <c r="S34" s="0"/>
      <c r="T34" s="0"/>
      <c r="U34" s="0"/>
      <c r="V34" s="0"/>
      <c r="W34" s="0"/>
      <c r="X34" s="0"/>
      <c r="Y34" s="0"/>
      <c r="Z34" s="0"/>
      <c r="AA34" s="0"/>
      <c r="AB34" s="0"/>
      <c r="AC34" s="0"/>
      <c r="AD34" s="0"/>
      <c r="AE34" s="0"/>
    </row>
    <row r="35" customFormat="false" ht="14.25" hidden="false" customHeight="true" outlineLevel="0" collapsed="false">
      <c r="B35" s="684" t="s">
        <v>846</v>
      </c>
      <c r="C35" s="684"/>
      <c r="D35" s="684"/>
      <c r="E35" s="684"/>
      <c r="F35" s="684"/>
      <c r="G35" s="684"/>
      <c r="H35" s="702"/>
      <c r="I35" s="702"/>
      <c r="J35" s="702"/>
      <c r="K35" s="702"/>
      <c r="L35" s="702"/>
      <c r="M35" s="742" t="s">
        <v>847</v>
      </c>
      <c r="N35" s="743" t="n">
        <v>0.6</v>
      </c>
      <c r="O35" s="744"/>
      <c r="P35" s="0"/>
      <c r="Q35" s="0"/>
      <c r="R35" s="0"/>
      <c r="S35" s="0"/>
      <c r="T35" s="0"/>
      <c r="U35" s="0"/>
      <c r="V35" s="0"/>
      <c r="W35" s="0"/>
      <c r="X35" s="0"/>
      <c r="Y35" s="0"/>
      <c r="Z35" s="0"/>
      <c r="AA35" s="0"/>
      <c r="AB35" s="0"/>
      <c r="AC35" s="0"/>
      <c r="AD35" s="0"/>
      <c r="AE35" s="0"/>
    </row>
    <row r="36" customFormat="false" ht="16.5" hidden="false" customHeight="true" outlineLevel="0" collapsed="false">
      <c r="B36" s="684"/>
      <c r="C36" s="684"/>
      <c r="D36" s="684"/>
      <c r="E36" s="684"/>
      <c r="F36" s="684"/>
      <c r="G36" s="684"/>
      <c r="H36" s="702"/>
      <c r="I36" s="702"/>
      <c r="J36" s="702"/>
      <c r="K36" s="702"/>
      <c r="L36" s="702"/>
      <c r="M36" s="742" t="s">
        <v>848</v>
      </c>
      <c r="N36" s="745" t="n">
        <f aca="false">1.816-0.345*LOG10(L12)</f>
        <v>0.72024851562579</v>
      </c>
      <c r="O36" s="746"/>
      <c r="P36" s="0"/>
      <c r="Q36" s="0"/>
      <c r="R36" s="0"/>
      <c r="S36" s="0"/>
      <c r="T36" s="0"/>
      <c r="U36" s="681"/>
      <c r="V36" s="681"/>
      <c r="W36" s="0"/>
      <c r="X36" s="0"/>
      <c r="Y36" s="0"/>
      <c r="Z36" s="0"/>
      <c r="AA36" s="0"/>
      <c r="AB36" s="0"/>
      <c r="AC36" s="0"/>
      <c r="AD36" s="0"/>
      <c r="AE36" s="0"/>
    </row>
    <row r="37" customFormat="false" ht="15" hidden="false" customHeight="true" outlineLevel="0" collapsed="false">
      <c r="B37" s="684"/>
      <c r="C37" s="684"/>
      <c r="D37" s="684"/>
      <c r="E37" s="684"/>
      <c r="F37" s="684"/>
      <c r="G37" s="684"/>
      <c r="H37" s="702"/>
      <c r="I37" s="702"/>
      <c r="J37" s="702"/>
      <c r="K37" s="702"/>
      <c r="L37" s="702"/>
      <c r="M37" s="742" t="s">
        <v>849</v>
      </c>
      <c r="N37" s="743" t="n">
        <v>1.5</v>
      </c>
      <c r="O37" s="744"/>
      <c r="P37" s="0"/>
      <c r="Q37" s="0"/>
      <c r="R37" s="0"/>
      <c r="S37" s="0"/>
      <c r="T37" s="0"/>
      <c r="U37" s="0"/>
      <c r="V37" s="0"/>
      <c r="W37" s="0"/>
      <c r="X37" s="0"/>
      <c r="Y37" s="0"/>
      <c r="Z37" s="0"/>
      <c r="AA37" s="0"/>
      <c r="AB37" s="0"/>
      <c r="AC37" s="0"/>
      <c r="AD37" s="0"/>
      <c r="AE37" s="0"/>
    </row>
    <row r="38" customFormat="false" ht="30" hidden="false" customHeight="true" outlineLevel="0" collapsed="false">
      <c r="B38" s="684" t="s">
        <v>850</v>
      </c>
      <c r="C38" s="684"/>
      <c r="D38" s="684"/>
      <c r="E38" s="684"/>
      <c r="F38" s="684"/>
      <c r="G38" s="684"/>
      <c r="H38" s="698"/>
      <c r="I38" s="698"/>
      <c r="J38" s="698"/>
      <c r="K38" s="698"/>
      <c r="L38" s="698"/>
      <c r="M38" s="747" t="n">
        <f aca="false">G80*N35*N36*N37</f>
        <v>0.0207431572500227</v>
      </c>
      <c r="N38" s="748" t="n">
        <f aca="false">H80*1+0.1*2*M19*TAN(H79)/1000</f>
        <v>0.0246032492510312</v>
      </c>
      <c r="O38" s="749"/>
      <c r="P38" s="0"/>
      <c r="Q38" s="0"/>
      <c r="R38" s="0"/>
      <c r="S38" s="0"/>
      <c r="T38" s="0"/>
      <c r="U38" s="0"/>
      <c r="V38" s="0"/>
      <c r="W38" s="0"/>
      <c r="X38" s="0"/>
      <c r="Y38" s="0"/>
      <c r="Z38" s="0"/>
      <c r="AA38" s="0"/>
      <c r="AB38" s="0"/>
      <c r="AC38" s="0"/>
      <c r="AD38" s="0"/>
      <c r="AE38" s="0"/>
    </row>
    <row r="39" customFormat="false" ht="15.75" hidden="false" customHeight="false" outlineLevel="0" collapsed="false">
      <c r="B39" s="750" t="s">
        <v>851</v>
      </c>
      <c r="C39" s="750"/>
      <c r="D39" s="750"/>
      <c r="E39" s="750"/>
      <c r="F39" s="750"/>
      <c r="G39" s="750"/>
      <c r="H39" s="751"/>
      <c r="I39" s="751"/>
      <c r="J39" s="751"/>
      <c r="K39" s="751"/>
      <c r="L39" s="751"/>
      <c r="M39" s="752" t="n">
        <f aca="false">M38/M34</f>
        <v>5.2623554401316</v>
      </c>
      <c r="N39" s="736" t="n">
        <f aca="false">N38/N34</f>
        <v>3.77277711988076</v>
      </c>
      <c r="O39" s="725"/>
      <c r="P39" s="0"/>
      <c r="Q39" s="0"/>
      <c r="R39" s="0"/>
      <c r="S39" s="0"/>
      <c r="T39" s="681"/>
      <c r="U39" s="0"/>
      <c r="V39" s="0"/>
      <c r="W39" s="0"/>
      <c r="X39" s="0"/>
      <c r="Y39" s="0"/>
      <c r="Z39" s="0"/>
      <c r="AA39" s="0"/>
      <c r="AB39" s="0"/>
      <c r="AC39" s="0"/>
      <c r="AD39" s="0"/>
      <c r="AE39" s="0"/>
    </row>
    <row r="40" customFormat="false" ht="18.75" hidden="false" customHeight="true" outlineLevel="0" collapsed="false">
      <c r="B40" s="753" t="s">
        <v>852</v>
      </c>
      <c r="C40" s="753"/>
      <c r="D40" s="753"/>
      <c r="E40" s="753"/>
      <c r="F40" s="753"/>
      <c r="G40" s="753"/>
      <c r="H40" s="753"/>
      <c r="I40" s="753"/>
      <c r="J40" s="753"/>
      <c r="K40" s="753"/>
      <c r="L40" s="753"/>
      <c r="M40" s="753"/>
      <c r="N40" s="754"/>
      <c r="O40" s="704"/>
      <c r="P40" s="704"/>
      <c r="Q40" s="704"/>
      <c r="R40" s="755"/>
      <c r="S40" s="0"/>
      <c r="T40" s="0"/>
      <c r="U40" s="0"/>
      <c r="V40" s="0"/>
      <c r="W40" s="0"/>
      <c r="X40" s="0"/>
      <c r="Y40" s="0"/>
      <c r="Z40" s="0"/>
      <c r="AA40" s="0"/>
      <c r="AB40" s="0"/>
      <c r="AC40" s="0"/>
      <c r="AD40" s="0"/>
      <c r="AE40" s="0"/>
    </row>
    <row r="41" customFormat="false" ht="15.75" hidden="false" customHeight="false" outlineLevel="0" collapsed="false">
      <c r="B41" s="682"/>
      <c r="C41" s="693"/>
      <c r="D41" s="693"/>
      <c r="E41" s="693"/>
      <c r="F41" s="693"/>
      <c r="G41" s="693"/>
      <c r="H41" s="693"/>
      <c r="I41" s="693"/>
      <c r="J41" s="693"/>
      <c r="K41" s="693"/>
      <c r="L41" s="693"/>
      <c r="M41" s="693" t="s">
        <v>243</v>
      </c>
      <c r="N41" s="756"/>
      <c r="O41" s="681"/>
      <c r="P41" s="0"/>
      <c r="Q41" s="0"/>
      <c r="R41" s="0"/>
      <c r="S41" s="0"/>
      <c r="T41" s="0"/>
      <c r="U41" s="0"/>
      <c r="V41" s="0"/>
      <c r="W41" s="0"/>
      <c r="X41" s="0"/>
      <c r="Y41" s="0"/>
      <c r="Z41" s="0"/>
      <c r="AA41" s="0"/>
      <c r="AB41" s="0"/>
      <c r="AC41" s="0"/>
      <c r="AD41" s="0"/>
      <c r="AE41" s="0"/>
    </row>
    <row r="42" customFormat="false" ht="15.75" hidden="false" customHeight="false" outlineLevel="0" collapsed="false">
      <c r="B42" s="697" t="s">
        <v>853</v>
      </c>
      <c r="C42" s="697"/>
      <c r="D42" s="697"/>
      <c r="E42" s="697"/>
      <c r="F42" s="697"/>
      <c r="G42" s="697"/>
      <c r="H42" s="697"/>
      <c r="I42" s="697"/>
      <c r="J42" s="697"/>
      <c r="K42" s="698" t="s">
        <v>854</v>
      </c>
      <c r="L42" s="700" t="n">
        <f aca="false">[2]НапружЗгину!F5</f>
        <v>0.5</v>
      </c>
      <c r="M42" s="757" t="n">
        <f aca="false">L25</f>
        <v>0.53125</v>
      </c>
      <c r="N42" s="685" t="n">
        <f aca="false">[2]НапружЗгину!G5</f>
        <v>0.6</v>
      </c>
      <c r="O42" s="681"/>
      <c r="P42" s="0"/>
      <c r="Q42" s="0"/>
      <c r="R42" s="0"/>
      <c r="S42" s="0"/>
      <c r="T42" s="0"/>
      <c r="U42" s="0"/>
      <c r="V42" s="0"/>
      <c r="W42" s="0"/>
      <c r="X42" s="0"/>
      <c r="Y42" s="0"/>
      <c r="Z42" s="0"/>
      <c r="AA42" s="0"/>
      <c r="AB42" s="0"/>
      <c r="AC42" s="0"/>
      <c r="AD42" s="0"/>
      <c r="AE42" s="0"/>
    </row>
    <row r="43" customFormat="false" ht="15.75" hidden="false" customHeight="false" outlineLevel="0" collapsed="false">
      <c r="B43" s="697" t="s">
        <v>855</v>
      </c>
      <c r="C43" s="697"/>
      <c r="D43" s="697"/>
      <c r="E43" s="697"/>
      <c r="F43" s="697"/>
      <c r="G43" s="697"/>
      <c r="H43" s="697"/>
      <c r="I43" s="697"/>
      <c r="J43" s="697"/>
      <c r="K43" s="698" t="n">
        <f aca="false">[2]НапружЗгину!A8</f>
        <v>10</v>
      </c>
      <c r="L43" s="698" t="n">
        <f aca="false">[2]НапружЗгину!F8</f>
        <v>1.194</v>
      </c>
      <c r="M43" s="758" t="n">
        <f aca="false">L$43+($M$42-$L$42)*($N43-$L43)/(N$42-L$42)</f>
        <v>1.13025</v>
      </c>
      <c r="N43" s="759" t="n">
        <f aca="false">[2]НапружЗгину!G8</f>
        <v>0.99</v>
      </c>
      <c r="O43" s="681"/>
      <c r="P43" s="0"/>
      <c r="Q43" s="0"/>
      <c r="R43" s="0"/>
      <c r="S43" s="0"/>
      <c r="T43" s="0"/>
      <c r="U43" s="0"/>
      <c r="V43" s="0"/>
      <c r="W43" s="0"/>
      <c r="X43" s="0"/>
      <c r="Y43" s="0"/>
      <c r="Z43" s="0"/>
      <c r="AA43" s="0"/>
      <c r="AB43" s="0"/>
      <c r="AC43" s="0"/>
      <c r="AD43" s="0"/>
      <c r="AE43" s="0"/>
    </row>
    <row r="44" customFormat="false" ht="15.75" hidden="false" customHeight="false" outlineLevel="0" collapsed="false">
      <c r="B44" s="697"/>
      <c r="C44" s="698"/>
      <c r="D44" s="698"/>
      <c r="E44" s="698"/>
      <c r="F44" s="698"/>
      <c r="G44" s="698"/>
      <c r="H44" s="698"/>
      <c r="I44" s="698"/>
      <c r="J44" s="698"/>
      <c r="K44" s="733" t="n">
        <f aca="false">L24</f>
        <v>10.758280327395</v>
      </c>
      <c r="L44" s="758" t="n">
        <f aca="false">L$43+($K$44-$K$43)*($L45-$L43)/($K$45-$K$43)</f>
        <v>1.22842592686373</v>
      </c>
      <c r="M44" s="760" t="n">
        <f aca="false">L$44+($M$42-$L$42)*($N44-$L44)/(N$42-L$42)</f>
        <v>1.16467592686373</v>
      </c>
      <c r="N44" s="761" t="n">
        <f aca="false">N$43+($K$44-$K$43)*($L45-$L43)/($K$45-$K$43)</f>
        <v>1.02442592686373</v>
      </c>
      <c r="O44" s="762"/>
      <c r="P44" s="0"/>
      <c r="Q44" s="0"/>
      <c r="R44" s="0"/>
      <c r="S44" s="0"/>
      <c r="T44" s="0"/>
      <c r="U44" s="0"/>
      <c r="V44" s="0"/>
      <c r="W44" s="0"/>
      <c r="X44" s="0"/>
      <c r="Y44" s="0"/>
      <c r="Z44" s="0"/>
      <c r="AA44" s="0"/>
      <c r="AB44" s="0"/>
      <c r="AC44" s="0"/>
      <c r="AD44" s="0"/>
      <c r="AE44" s="0"/>
    </row>
    <row r="45" customFormat="false" ht="15.75" hidden="false" customHeight="false" outlineLevel="0" collapsed="false">
      <c r="B45" s="697"/>
      <c r="C45" s="698"/>
      <c r="D45" s="698"/>
      <c r="E45" s="698"/>
      <c r="F45" s="698"/>
      <c r="G45" s="698"/>
      <c r="H45" s="698"/>
      <c r="I45" s="698"/>
      <c r="J45" s="698"/>
      <c r="K45" s="698" t="n">
        <f aca="false">[2]НапружЗгину!A9</f>
        <v>20</v>
      </c>
      <c r="L45" s="700" t="n">
        <f aca="false">[2]НапружЗгину!F9</f>
        <v>1.648</v>
      </c>
      <c r="M45" s="758" t="n">
        <f aca="false">L45-(M42-L42)*(L45-N45)/(N42-L42)</f>
        <v>1.551125</v>
      </c>
      <c r="N45" s="685" t="n">
        <f aca="false">[2]НапружЗгину!G9</f>
        <v>1.338</v>
      </c>
      <c r="O45" s="681"/>
      <c r="P45" s="0"/>
      <c r="Q45" s="0"/>
      <c r="R45" s="0"/>
      <c r="S45" s="0"/>
      <c r="T45" s="0"/>
      <c r="U45" s="0"/>
      <c r="V45" s="0"/>
      <c r="W45" s="0"/>
      <c r="X45" s="0"/>
      <c r="Y45" s="0"/>
      <c r="Z45" s="0"/>
      <c r="AA45" s="0"/>
      <c r="AB45" s="0"/>
      <c r="AC45" s="0"/>
      <c r="AD45" s="0"/>
      <c r="AE45" s="0"/>
    </row>
    <row r="46" customFormat="false" ht="15.75" hidden="false" customHeight="false" outlineLevel="0" collapsed="false">
      <c r="B46" s="697" t="s">
        <v>856</v>
      </c>
      <c r="C46" s="697"/>
      <c r="D46" s="697"/>
      <c r="E46" s="697"/>
      <c r="F46" s="697"/>
      <c r="G46" s="697"/>
      <c r="H46" s="697"/>
      <c r="I46" s="697"/>
      <c r="J46" s="697"/>
      <c r="K46" s="697"/>
      <c r="L46" s="698"/>
      <c r="M46" s="698"/>
      <c r="N46" s="763" t="n">
        <f aca="false">M44*M16*L8</f>
        <v>0.791979630267338</v>
      </c>
      <c r="O46" s="762"/>
      <c r="P46" s="0"/>
      <c r="Q46" s="0"/>
      <c r="R46" s="0"/>
      <c r="S46" s="0"/>
      <c r="T46" s="0"/>
      <c r="U46" s="0"/>
      <c r="V46" s="0"/>
      <c r="W46" s="0"/>
      <c r="X46" s="0"/>
      <c r="Y46" s="0"/>
      <c r="Z46" s="0"/>
      <c r="AA46" s="0"/>
      <c r="AB46" s="0"/>
      <c r="AC46" s="0"/>
      <c r="AD46" s="0"/>
      <c r="AE46" s="0"/>
    </row>
    <row r="47" customFormat="false" ht="15.75" hidden="false" customHeight="false" outlineLevel="0" collapsed="false">
      <c r="B47" s="697"/>
      <c r="C47" s="698"/>
      <c r="D47" s="698"/>
      <c r="E47" s="698"/>
      <c r="F47" s="698"/>
      <c r="G47" s="698"/>
      <c r="H47" s="698"/>
      <c r="I47" s="698"/>
      <c r="J47" s="698"/>
      <c r="K47" s="698"/>
      <c r="L47" s="698"/>
      <c r="M47" s="698" t="s">
        <v>222</v>
      </c>
      <c r="N47" s="761" t="n">
        <f aca="false">0.083*(LN(L24))^2.2+1.87</f>
        <v>2.42694183687805</v>
      </c>
      <c r="O47" s="762"/>
      <c r="P47" s="0"/>
      <c r="Q47" s="0"/>
      <c r="R47" s="0"/>
      <c r="S47" s="0"/>
      <c r="T47" s="0"/>
      <c r="U47" s="0"/>
      <c r="V47" s="0"/>
      <c r="W47" s="0"/>
      <c r="X47" s="0"/>
      <c r="Y47" s="0"/>
      <c r="Z47" s="0"/>
      <c r="AA47" s="0"/>
      <c r="AB47" s="0"/>
      <c r="AC47" s="0"/>
      <c r="AD47" s="0"/>
      <c r="AE47" s="0"/>
    </row>
    <row r="48" customFormat="false" ht="15.75" hidden="false" customHeight="false" outlineLevel="0" collapsed="false">
      <c r="B48" s="697"/>
      <c r="C48" s="698"/>
      <c r="D48" s="698"/>
      <c r="E48" s="698"/>
      <c r="F48" s="698"/>
      <c r="G48" s="698"/>
      <c r="H48" s="698"/>
      <c r="I48" s="698"/>
      <c r="J48" s="698"/>
      <c r="K48" s="698"/>
      <c r="L48" s="698"/>
      <c r="M48" s="698" t="s">
        <v>224</v>
      </c>
      <c r="N48" s="764" t="n">
        <f aca="false">0.00004*L24^(1.4)+0.007</f>
        <v>0.00811301236812538</v>
      </c>
      <c r="O48" s="749"/>
      <c r="P48" s="0"/>
      <c r="Q48" s="0"/>
      <c r="R48" s="0"/>
      <c r="S48" s="0"/>
      <c r="T48" s="0"/>
      <c r="U48" s="0"/>
      <c r="V48" s="0"/>
      <c r="W48" s="0"/>
      <c r="X48" s="0"/>
      <c r="Y48" s="0"/>
      <c r="Z48" s="0"/>
      <c r="AA48" s="0"/>
      <c r="AB48" s="0"/>
      <c r="AC48" s="0"/>
      <c r="AD48" s="0"/>
      <c r="AE48" s="0"/>
    </row>
    <row r="49" customFormat="false" ht="15.75" hidden="false" customHeight="false" outlineLevel="0" collapsed="false">
      <c r="B49" s="697"/>
      <c r="C49" s="698"/>
      <c r="D49" s="698"/>
      <c r="E49" s="698"/>
      <c r="F49" s="698"/>
      <c r="G49" s="698"/>
      <c r="H49" s="698"/>
      <c r="I49" s="698"/>
      <c r="J49" s="698"/>
      <c r="K49" s="698"/>
      <c r="L49" s="698"/>
      <c r="M49" s="698" t="s">
        <v>226</v>
      </c>
      <c r="N49" s="765" t="n">
        <f aca="false">N47*L25^(0.9)+N48</f>
        <v>1.38161223223046</v>
      </c>
      <c r="O49" s="762"/>
      <c r="P49" s="0"/>
      <c r="Q49" s="0"/>
      <c r="R49" s="0"/>
      <c r="S49" s="0"/>
      <c r="T49" s="0"/>
      <c r="U49" s="0"/>
      <c r="V49" s="0"/>
      <c r="W49" s="0"/>
      <c r="X49" s="0"/>
      <c r="Y49" s="0"/>
      <c r="Z49" s="0"/>
      <c r="AA49" s="0"/>
      <c r="AB49" s="0"/>
      <c r="AC49" s="0"/>
      <c r="AD49" s="0"/>
      <c r="AE49" s="0"/>
    </row>
    <row r="50" customFormat="false" ht="30.75" hidden="false" customHeight="true" outlineLevel="0" collapsed="false">
      <c r="B50" s="684" t="s">
        <v>857</v>
      </c>
      <c r="C50" s="684"/>
      <c r="D50" s="684"/>
      <c r="E50" s="684"/>
      <c r="F50" s="684"/>
      <c r="G50" s="684"/>
      <c r="H50" s="698"/>
      <c r="I50" s="698"/>
      <c r="J50" s="698"/>
      <c r="K50" s="698"/>
      <c r="L50" s="698"/>
      <c r="M50" s="698"/>
      <c r="N50" s="766" t="n">
        <f aca="false">1.28*L24*L25*((1-0.637*ATAN(N49))*ATAN(1/N49)^2)</f>
        <v>1.14429300717799</v>
      </c>
      <c r="O50" s="681"/>
      <c r="P50" s="0"/>
      <c r="Q50" s="0"/>
      <c r="R50" s="0"/>
      <c r="S50" s="0"/>
      <c r="T50" s="0"/>
      <c r="U50" s="0"/>
      <c r="V50" s="0"/>
      <c r="W50" s="0"/>
      <c r="X50" s="0"/>
      <c r="Y50" s="0"/>
      <c r="Z50" s="0"/>
      <c r="AA50" s="0"/>
      <c r="AB50" s="0"/>
      <c r="AC50" s="0"/>
      <c r="AD50" s="0"/>
      <c r="AE50" s="0"/>
    </row>
    <row r="51" customFormat="false" ht="15.75" hidden="false" customHeight="false" outlineLevel="0" collapsed="false">
      <c r="B51" s="697" t="s">
        <v>858</v>
      </c>
      <c r="C51" s="697"/>
      <c r="D51" s="697"/>
      <c r="E51" s="697"/>
      <c r="F51" s="697"/>
      <c r="G51" s="697"/>
      <c r="H51" s="697"/>
      <c r="I51" s="697"/>
      <c r="J51" s="697"/>
      <c r="K51" s="698"/>
      <c r="L51" s="698"/>
      <c r="M51" s="698"/>
      <c r="N51" s="767" t="n">
        <f aca="false">N50*M16*L8</f>
        <v>0.778119244881036</v>
      </c>
      <c r="O51" s="762"/>
      <c r="P51" s="0"/>
      <c r="Q51" s="0"/>
      <c r="R51" s="0"/>
      <c r="S51" s="0"/>
      <c r="T51" s="0"/>
      <c r="U51" s="0"/>
      <c r="V51" s="0"/>
      <c r="W51" s="0"/>
      <c r="X51" s="0"/>
      <c r="Y51" s="0"/>
      <c r="Z51" s="0"/>
      <c r="AA51" s="0"/>
      <c r="AB51" s="0"/>
      <c r="AC51" s="0"/>
      <c r="AD51" s="0"/>
      <c r="AE51" s="0"/>
    </row>
    <row r="52" customFormat="false" ht="15.75" hidden="false" customHeight="false" outlineLevel="0" collapsed="false">
      <c r="B52" s="697" t="s">
        <v>859</v>
      </c>
      <c r="C52" s="697"/>
      <c r="D52" s="697"/>
      <c r="E52" s="697"/>
      <c r="F52" s="697"/>
      <c r="G52" s="697"/>
      <c r="H52" s="697"/>
      <c r="I52" s="697"/>
      <c r="J52" s="697"/>
      <c r="K52" s="697"/>
      <c r="L52" s="697"/>
      <c r="M52" s="697"/>
      <c r="N52" s="701"/>
      <c r="O52" s="681"/>
      <c r="P52" s="0"/>
      <c r="Q52" s="0"/>
      <c r="R52" s="0"/>
      <c r="S52" s="0"/>
      <c r="T52" s="0"/>
      <c r="U52" s="0"/>
      <c r="V52" s="0"/>
      <c r="W52" s="0"/>
      <c r="X52" s="0"/>
      <c r="Y52" s="0"/>
      <c r="Z52" s="0"/>
      <c r="AA52" s="0"/>
      <c r="AB52" s="0"/>
      <c r="AC52" s="0"/>
      <c r="AD52" s="0"/>
      <c r="AE52" s="0"/>
    </row>
    <row r="53" customFormat="false" ht="30.75" hidden="false" customHeight="true" outlineLevel="0" collapsed="false">
      <c r="B53" s="684" t="s">
        <v>860</v>
      </c>
      <c r="C53" s="684"/>
      <c r="D53" s="684"/>
      <c r="E53" s="684"/>
      <c r="F53" s="684"/>
      <c r="G53" s="684"/>
      <c r="H53" s="684"/>
      <c r="I53" s="684"/>
      <c r="J53" s="684"/>
      <c r="K53" s="684"/>
      <c r="L53" s="684"/>
      <c r="M53" s="684"/>
      <c r="N53" s="701" t="n">
        <v>8</v>
      </c>
      <c r="O53" s="681"/>
      <c r="P53" s="0"/>
      <c r="Q53" s="0"/>
      <c r="R53" s="0"/>
      <c r="S53" s="0"/>
      <c r="T53" s="0"/>
      <c r="U53" s="0"/>
      <c r="V53" s="0"/>
      <c r="W53" s="0"/>
      <c r="X53" s="0"/>
      <c r="Y53" s="0"/>
      <c r="Z53" s="0"/>
      <c r="AA53" s="0"/>
      <c r="AB53" s="0"/>
      <c r="AC53" s="0"/>
      <c r="AD53" s="0"/>
      <c r="AE53" s="0"/>
    </row>
    <row r="54" customFormat="false" ht="15.75" hidden="false" customHeight="false" outlineLevel="0" collapsed="false">
      <c r="B54" s="697" t="s">
        <v>861</v>
      </c>
      <c r="C54" s="697"/>
      <c r="D54" s="697"/>
      <c r="E54" s="697"/>
      <c r="F54" s="697"/>
      <c r="G54" s="697"/>
      <c r="H54" s="768" t="s">
        <v>862</v>
      </c>
      <c r="I54" s="698"/>
      <c r="J54" s="698"/>
      <c r="K54" s="698"/>
      <c r="L54" s="698"/>
      <c r="M54" s="698"/>
      <c r="N54" s="701" t="n">
        <v>4.3</v>
      </c>
      <c r="O54" s="681"/>
      <c r="P54" s="0"/>
      <c r="Q54" s="0"/>
      <c r="R54" s="0"/>
      <c r="S54" s="0"/>
      <c r="T54" s="0"/>
      <c r="U54" s="0"/>
      <c r="V54" s="0"/>
      <c r="W54" s="0"/>
      <c r="X54" s="0"/>
      <c r="Y54" s="0"/>
      <c r="Z54" s="0"/>
      <c r="AA54" s="0"/>
      <c r="AB54" s="0"/>
      <c r="AC54" s="0"/>
      <c r="AD54" s="0"/>
      <c r="AE54" s="0"/>
    </row>
    <row r="55" customFormat="false" ht="15.75" hidden="false" customHeight="false" outlineLevel="0" collapsed="false">
      <c r="B55" s="697" t="s">
        <v>863</v>
      </c>
      <c r="C55" s="697"/>
      <c r="D55" s="697"/>
      <c r="E55" s="697"/>
      <c r="F55" s="697"/>
      <c r="G55" s="697"/>
      <c r="H55" s="768"/>
      <c r="I55" s="698"/>
      <c r="J55" s="698"/>
      <c r="K55" s="698"/>
      <c r="L55" s="698"/>
      <c r="M55" s="698"/>
      <c r="N55" s="769" t="n">
        <f aca="false">(N53/N51)^N54</f>
        <v>22479.5943708661</v>
      </c>
      <c r="O55" s="717"/>
      <c r="P55" s="0"/>
      <c r="Q55" s="0"/>
      <c r="R55" s="0"/>
      <c r="S55" s="0"/>
      <c r="T55" s="0"/>
      <c r="U55" s="0"/>
      <c r="V55" s="0"/>
      <c r="W55" s="0"/>
      <c r="X55" s="0"/>
      <c r="Y55" s="0"/>
      <c r="Z55" s="0"/>
      <c r="AA55" s="0"/>
      <c r="AB55" s="0"/>
      <c r="AC55" s="0"/>
      <c r="AD55" s="0"/>
      <c r="AE55" s="0"/>
    </row>
    <row r="56" customFormat="false" ht="29.25" hidden="false" customHeight="true" outlineLevel="0" collapsed="false">
      <c r="B56" s="684" t="s">
        <v>864</v>
      </c>
      <c r="C56" s="684"/>
      <c r="D56" s="684"/>
      <c r="E56" s="684"/>
      <c r="F56" s="684"/>
      <c r="G56" s="684"/>
      <c r="H56" s="684"/>
      <c r="I56" s="684"/>
      <c r="J56" s="684"/>
      <c r="K56" s="684"/>
      <c r="L56" s="684"/>
      <c r="M56" s="684"/>
      <c r="N56" s="701" t="n">
        <v>8.2</v>
      </c>
      <c r="O56" s="681"/>
      <c r="P56" s="0"/>
      <c r="Q56" s="0"/>
      <c r="R56" s="0"/>
      <c r="S56" s="0"/>
      <c r="T56" s="0"/>
      <c r="U56" s="0"/>
      <c r="V56" s="0"/>
      <c r="W56" s="0"/>
      <c r="X56" s="0"/>
      <c r="Y56" s="0"/>
      <c r="Z56" s="0"/>
      <c r="AA56" s="0"/>
      <c r="AB56" s="0"/>
      <c r="AC56" s="0"/>
      <c r="AD56" s="0"/>
      <c r="AE56" s="0"/>
    </row>
    <row r="57" customFormat="false" ht="15.75" hidden="false" customHeight="false" outlineLevel="0" collapsed="false">
      <c r="B57" s="697" t="s">
        <v>865</v>
      </c>
      <c r="C57" s="697"/>
      <c r="D57" s="697"/>
      <c r="E57" s="697"/>
      <c r="F57" s="697"/>
      <c r="G57" s="697"/>
      <c r="H57" s="698"/>
      <c r="I57" s="698"/>
      <c r="J57" s="698"/>
      <c r="K57" s="698"/>
      <c r="L57" s="698"/>
      <c r="M57" s="698"/>
      <c r="N57" s="701" t="n">
        <v>0.11</v>
      </c>
      <c r="O57" s="681"/>
      <c r="P57" s="0"/>
      <c r="Q57" s="0"/>
      <c r="R57" s="0"/>
      <c r="S57" s="0"/>
      <c r="T57" s="0"/>
      <c r="U57" s="0"/>
      <c r="V57" s="0"/>
      <c r="W57" s="0"/>
      <c r="X57" s="0"/>
      <c r="Y57" s="0"/>
      <c r="Z57" s="0"/>
      <c r="AA57" s="0"/>
      <c r="AB57" s="0"/>
      <c r="AC57" s="0"/>
      <c r="AD57" s="0"/>
      <c r="AE57" s="0"/>
    </row>
    <row r="58" customFormat="false" ht="26.25" hidden="false" customHeight="true" outlineLevel="0" collapsed="false">
      <c r="B58" s="684" t="s">
        <v>235</v>
      </c>
      <c r="C58" s="684"/>
      <c r="D58" s="684"/>
      <c r="E58" s="684"/>
      <c r="F58" s="684"/>
      <c r="G58" s="684"/>
      <c r="H58" s="684"/>
      <c r="I58" s="684"/>
      <c r="J58" s="684"/>
      <c r="K58" s="684"/>
      <c r="L58" s="698"/>
      <c r="M58" s="698"/>
      <c r="N58" s="765" t="n">
        <f aca="false">N56*(1/N26)^(1/N54)</f>
        <v>0.288488551293956</v>
      </c>
      <c r="O58" s="717"/>
      <c r="P58" s="0"/>
      <c r="Q58" s="0"/>
      <c r="R58" s="0"/>
      <c r="S58" s="0"/>
      <c r="T58" s="0"/>
      <c r="U58" s="0"/>
      <c r="V58" s="0"/>
      <c r="W58" s="0"/>
      <c r="X58" s="0"/>
      <c r="Y58" s="0"/>
      <c r="Z58" s="0"/>
      <c r="AA58" s="0"/>
      <c r="AB58" s="0"/>
      <c r="AC58" s="0"/>
      <c r="AD58" s="0"/>
      <c r="AE58" s="0"/>
    </row>
    <row r="59" customFormat="false" ht="18" hidden="false" customHeight="true" outlineLevel="0" collapsed="false">
      <c r="B59" s="684" t="s">
        <v>866</v>
      </c>
      <c r="C59" s="684"/>
      <c r="D59" s="684"/>
      <c r="E59" s="684"/>
      <c r="F59" s="684"/>
      <c r="G59" s="684"/>
      <c r="H59" s="684"/>
      <c r="I59" s="684"/>
      <c r="J59" s="684"/>
      <c r="K59" s="684"/>
      <c r="L59" s="684"/>
      <c r="M59" s="684"/>
      <c r="N59" s="766" t="n">
        <v>0.75</v>
      </c>
      <c r="O59" s="725"/>
      <c r="P59" s="0"/>
      <c r="Q59" s="0"/>
      <c r="R59" s="0"/>
      <c r="S59" s="0"/>
      <c r="T59" s="0"/>
      <c r="U59" s="0"/>
      <c r="V59" s="0"/>
      <c r="W59" s="0"/>
      <c r="X59" s="0"/>
      <c r="Y59" s="0"/>
      <c r="Z59" s="0"/>
      <c r="AA59" s="0"/>
      <c r="AB59" s="0"/>
      <c r="AC59" s="0"/>
      <c r="AD59" s="0"/>
      <c r="AE59" s="0"/>
    </row>
    <row r="60" customFormat="false" ht="26.25" hidden="false" customHeight="true" outlineLevel="0" collapsed="false">
      <c r="B60" s="684" t="s">
        <v>867</v>
      </c>
      <c r="C60" s="684"/>
      <c r="D60" s="684"/>
      <c r="E60" s="684"/>
      <c r="F60" s="684"/>
      <c r="G60" s="684"/>
      <c r="H60" s="684"/>
      <c r="I60" s="684"/>
      <c r="J60" s="684"/>
      <c r="K60" s="684"/>
      <c r="L60" s="684"/>
      <c r="M60" s="684"/>
      <c r="N60" s="766" t="n">
        <v>0.8</v>
      </c>
      <c r="O60" s="725"/>
      <c r="P60" s="0"/>
      <c r="Q60" s="0"/>
      <c r="R60" s="0"/>
      <c r="S60" s="0"/>
      <c r="T60" s="0"/>
      <c r="U60" s="0"/>
      <c r="V60" s="0"/>
      <c r="W60" s="0"/>
      <c r="X60" s="0"/>
      <c r="Y60" s="0"/>
      <c r="Z60" s="0"/>
      <c r="AA60" s="0"/>
      <c r="AB60" s="0"/>
      <c r="AC60" s="0"/>
      <c r="AD60" s="0"/>
      <c r="AE60" s="0"/>
    </row>
    <row r="61" customFormat="false" ht="22.5" hidden="false" customHeight="true" outlineLevel="0" collapsed="false">
      <c r="B61" s="684" t="s">
        <v>868</v>
      </c>
      <c r="C61" s="684"/>
      <c r="D61" s="684"/>
      <c r="E61" s="684"/>
      <c r="F61" s="684"/>
      <c r="G61" s="684"/>
      <c r="H61" s="684"/>
      <c r="I61" s="684"/>
      <c r="J61" s="684"/>
      <c r="K61" s="698"/>
      <c r="L61" s="698"/>
      <c r="M61" s="698"/>
      <c r="N61" s="766" t="n">
        <f aca="false">N56*N59*N60*N58</f>
        <v>1.41936367236626</v>
      </c>
      <c r="O61" s="725"/>
      <c r="P61" s="0"/>
      <c r="Q61" s="0"/>
      <c r="R61" s="0"/>
      <c r="S61" s="0"/>
      <c r="T61" s="0"/>
      <c r="U61" s="0"/>
      <c r="V61" s="0"/>
      <c r="W61" s="0"/>
      <c r="X61" s="0"/>
      <c r="Y61" s="0"/>
      <c r="Z61" s="0"/>
      <c r="AA61" s="0"/>
      <c r="AB61" s="0"/>
      <c r="AC61" s="0"/>
      <c r="AD61" s="0"/>
      <c r="AE61" s="0"/>
    </row>
    <row r="62" customFormat="false" ht="22.5" hidden="false" customHeight="true" outlineLevel="0" collapsed="false">
      <c r="B62" s="770" t="s">
        <v>851</v>
      </c>
      <c r="C62" s="770"/>
      <c r="D62" s="770"/>
      <c r="E62" s="770"/>
      <c r="F62" s="770"/>
      <c r="G62" s="770"/>
      <c r="H62" s="708"/>
      <c r="I62" s="708"/>
      <c r="J62" s="708"/>
      <c r="K62" s="710"/>
      <c r="L62" s="710"/>
      <c r="M62" s="710"/>
      <c r="N62" s="771" t="n">
        <f aca="false">N61/N51</f>
        <v>1.82409531919913</v>
      </c>
      <c r="O62" s="725"/>
      <c r="P62" s="0"/>
      <c r="Q62" s="0"/>
      <c r="R62" s="0"/>
      <c r="S62" s="0"/>
      <c r="T62" s="0"/>
      <c r="U62" s="0"/>
      <c r="V62" s="0"/>
      <c r="W62" s="0"/>
      <c r="X62" s="0"/>
      <c r="Y62" s="0"/>
      <c r="Z62" s="0"/>
      <c r="AA62" s="0"/>
      <c r="AB62" s="0"/>
      <c r="AC62" s="0"/>
      <c r="AD62" s="0"/>
      <c r="AE62" s="0"/>
    </row>
    <row r="63" customFormat="false" ht="16.5" hidden="false" customHeight="true" outlineLevel="0" collapsed="false">
      <c r="B63" s="772"/>
      <c r="C63" s="772"/>
      <c r="D63" s="772"/>
      <c r="E63" s="772"/>
      <c r="F63" s="772"/>
      <c r="G63" s="772"/>
      <c r="H63" s="772"/>
      <c r="I63" s="772"/>
      <c r="J63" s="772"/>
      <c r="K63" s="0"/>
      <c r="L63" s="0"/>
      <c r="M63" s="0"/>
      <c r="N63" s="773"/>
      <c r="O63" s="773"/>
      <c r="P63" s="0"/>
      <c r="Q63" s="0"/>
      <c r="R63" s="0"/>
      <c r="S63" s="0"/>
      <c r="T63" s="0"/>
      <c r="U63" s="0"/>
      <c r="V63" s="681" t="n">
        <v>1.15</v>
      </c>
      <c r="W63" s="0"/>
      <c r="X63" s="0"/>
      <c r="Y63" s="0"/>
      <c r="Z63" s="0"/>
      <c r="AA63" s="0"/>
      <c r="AB63" s="0"/>
      <c r="AC63" s="0"/>
      <c r="AD63" s="0"/>
      <c r="AE63" s="0"/>
    </row>
    <row r="64" customFormat="false" ht="16.5" hidden="false" customHeight="true" outlineLevel="0" collapsed="false">
      <c r="B64" s="0"/>
      <c r="C64" s="0"/>
      <c r="D64" s="0"/>
      <c r="E64" s="0"/>
      <c r="F64" s="672" t="s">
        <v>824</v>
      </c>
      <c r="G64" s="672" t="s">
        <v>825</v>
      </c>
      <c r="H64" s="672" t="s">
        <v>826</v>
      </c>
      <c r="I64" s="0"/>
      <c r="J64" s="0"/>
      <c r="K64" s="0"/>
      <c r="L64" s="0"/>
      <c r="M64" s="0"/>
      <c r="N64" s="0"/>
      <c r="O64" s="0"/>
      <c r="P64" s="0"/>
      <c r="Q64" s="0"/>
      <c r="R64" s="0"/>
      <c r="S64" s="0"/>
      <c r="T64" s="0"/>
      <c r="U64" s="672" t="s">
        <v>869</v>
      </c>
      <c r="V64" s="774" t="s">
        <v>870</v>
      </c>
      <c r="W64" s="672" t="s">
        <v>871</v>
      </c>
      <c r="X64" s="774" t="s">
        <v>872</v>
      </c>
      <c r="Y64" s="775" t="s">
        <v>873</v>
      </c>
      <c r="Z64" s="774" t="s">
        <v>874</v>
      </c>
      <c r="AA64" s="0"/>
      <c r="AB64" s="0"/>
      <c r="AC64" s="0"/>
      <c r="AD64" s="0"/>
      <c r="AE64" s="0"/>
    </row>
    <row r="65" customFormat="false" ht="44.25" hidden="false" customHeight="true" outlineLevel="0" collapsed="false">
      <c r="B65" s="776" t="s">
        <v>875</v>
      </c>
      <c r="C65" s="777" t="s">
        <v>876</v>
      </c>
      <c r="D65" s="778" t="s">
        <v>877</v>
      </c>
      <c r="E65" s="778" t="s">
        <v>878</v>
      </c>
      <c r="F65" s="778" t="s">
        <v>879</v>
      </c>
      <c r="G65" s="778" t="s">
        <v>880</v>
      </c>
      <c r="H65" s="778" t="s">
        <v>881</v>
      </c>
      <c r="I65" s="778" t="s">
        <v>882</v>
      </c>
      <c r="J65" s="778" t="s">
        <v>883</v>
      </c>
      <c r="K65" s="778" t="s">
        <v>882</v>
      </c>
      <c r="L65" s="778" t="s">
        <v>884</v>
      </c>
      <c r="M65" s="778" t="s">
        <v>885</v>
      </c>
      <c r="N65" s="778" t="s">
        <v>886</v>
      </c>
      <c r="O65" s="779" t="s">
        <v>887</v>
      </c>
      <c r="P65" s="779" t="s">
        <v>888</v>
      </c>
      <c r="Q65" s="779" t="s">
        <v>889</v>
      </c>
      <c r="R65" s="780" t="s">
        <v>890</v>
      </c>
      <c r="S65" s="778" t="s">
        <v>243</v>
      </c>
      <c r="T65" s="777" t="s">
        <v>891</v>
      </c>
      <c r="U65" s="778" t="s">
        <v>892</v>
      </c>
      <c r="V65" s="778" t="s">
        <v>893</v>
      </c>
      <c r="W65" s="778" t="s">
        <v>894</v>
      </c>
      <c r="X65" s="778" t="s">
        <v>805</v>
      </c>
      <c r="Y65" s="778" t="s">
        <v>894</v>
      </c>
      <c r="Z65" s="778" t="s">
        <v>895</v>
      </c>
      <c r="AA65" s="781" t="s">
        <v>896</v>
      </c>
      <c r="AB65" s="782" t="s">
        <v>897</v>
      </c>
      <c r="AC65" s="783" t="s">
        <v>896</v>
      </c>
      <c r="AD65" s="691" t="s">
        <v>898</v>
      </c>
      <c r="AE65" s="696"/>
    </row>
    <row r="66" customFormat="false" ht="17.25" hidden="true" customHeight="true" outlineLevel="0" collapsed="false">
      <c r="B66" s="784" t="n">
        <v>10</v>
      </c>
      <c r="C66" s="694" t="n">
        <v>0</v>
      </c>
      <c r="D66" s="694"/>
      <c r="E66" s="694"/>
      <c r="F66" s="694" t="n">
        <v>0</v>
      </c>
      <c r="G66" s="694" t="n">
        <v>0</v>
      </c>
      <c r="H66" s="694" t="n">
        <v>0</v>
      </c>
      <c r="I66" s="694"/>
      <c r="J66" s="694"/>
      <c r="K66" s="693"/>
      <c r="L66" s="693" t="n">
        <f aca="false">C66*F66</f>
        <v>0</v>
      </c>
      <c r="M66" s="694" t="n">
        <f aca="false">C66*G66</f>
        <v>0</v>
      </c>
      <c r="N66" s="694" t="n">
        <f aca="false">C66*H66</f>
        <v>0</v>
      </c>
      <c r="O66" s="694"/>
      <c r="P66" s="694"/>
      <c r="Q66" s="694"/>
      <c r="R66" s="785"/>
      <c r="S66" s="694"/>
      <c r="T66" s="694"/>
      <c r="U66" s="694"/>
      <c r="V66" s="694"/>
      <c r="W66" s="694"/>
      <c r="X66" s="694"/>
      <c r="Y66" s="694"/>
      <c r="Z66" s="694"/>
      <c r="AA66" s="694"/>
      <c r="AB66" s="694"/>
      <c r="AC66" s="786"/>
      <c r="AD66" s="697"/>
      <c r="AE66" s="701"/>
    </row>
    <row r="67" customFormat="false" ht="18" hidden="true" customHeight="true" outlineLevel="0" collapsed="false">
      <c r="B67" s="787" t="n">
        <v>9</v>
      </c>
      <c r="C67" s="699" t="n">
        <v>0</v>
      </c>
      <c r="D67" s="699"/>
      <c r="E67" s="699"/>
      <c r="F67" s="699" t="n">
        <v>0</v>
      </c>
      <c r="G67" s="699" t="n">
        <v>0</v>
      </c>
      <c r="H67" s="699" t="n">
        <v>0</v>
      </c>
      <c r="I67" s="699"/>
      <c r="J67" s="699"/>
      <c r="K67" s="698"/>
      <c r="L67" s="698" t="n">
        <f aca="false">C67*F67</f>
        <v>0</v>
      </c>
      <c r="M67" s="699" t="n">
        <f aca="false">C67*G67</f>
        <v>0</v>
      </c>
      <c r="N67" s="699" t="n">
        <f aca="false">C67*H67</f>
        <v>0</v>
      </c>
      <c r="O67" s="699"/>
      <c r="P67" s="699"/>
      <c r="Q67" s="699"/>
      <c r="R67" s="757"/>
      <c r="S67" s="699"/>
      <c r="T67" s="699"/>
      <c r="U67" s="699"/>
      <c r="V67" s="699"/>
      <c r="W67" s="699"/>
      <c r="X67" s="699"/>
      <c r="Y67" s="699"/>
      <c r="Z67" s="699"/>
      <c r="AA67" s="699"/>
      <c r="AB67" s="699"/>
      <c r="AC67" s="788"/>
      <c r="AD67" s="697"/>
      <c r="AE67" s="701"/>
    </row>
    <row r="68" customFormat="false" ht="17.25" hidden="true" customHeight="true" outlineLevel="0" collapsed="false">
      <c r="B68" s="787" t="n">
        <v>8</v>
      </c>
      <c r="C68" s="699" t="n">
        <v>0</v>
      </c>
      <c r="D68" s="699"/>
      <c r="E68" s="699"/>
      <c r="F68" s="699" t="n">
        <v>0</v>
      </c>
      <c r="G68" s="699" t="n">
        <v>0</v>
      </c>
      <c r="H68" s="699" t="n">
        <v>0</v>
      </c>
      <c r="I68" s="699"/>
      <c r="J68" s="699"/>
      <c r="K68" s="698"/>
      <c r="L68" s="698" t="n">
        <f aca="false">C68*F68</f>
        <v>0</v>
      </c>
      <c r="M68" s="699" t="n">
        <f aca="false">C68*G68</f>
        <v>0</v>
      </c>
      <c r="N68" s="699" t="n">
        <f aca="false">C68*H68</f>
        <v>0</v>
      </c>
      <c r="O68" s="699"/>
      <c r="P68" s="699"/>
      <c r="Q68" s="699"/>
      <c r="R68" s="757"/>
      <c r="S68" s="699"/>
      <c r="T68" s="699"/>
      <c r="U68" s="699"/>
      <c r="V68" s="699"/>
      <c r="W68" s="699"/>
      <c r="X68" s="699"/>
      <c r="Y68" s="699"/>
      <c r="Z68" s="699"/>
      <c r="AA68" s="699"/>
      <c r="AB68" s="699"/>
      <c r="AC68" s="788"/>
      <c r="AD68" s="697"/>
      <c r="AE68" s="701"/>
    </row>
    <row r="69" customFormat="false" ht="17.25" hidden="false" customHeight="true" outlineLevel="0" collapsed="false">
      <c r="B69" s="787" t="n">
        <v>7</v>
      </c>
      <c r="C69" s="699" t="n">
        <v>0</v>
      </c>
      <c r="D69" s="698"/>
      <c r="E69" s="698"/>
      <c r="F69" s="698" t="n">
        <v>0</v>
      </c>
      <c r="G69" s="699" t="n">
        <v>0</v>
      </c>
      <c r="H69" s="699" t="n">
        <v>0</v>
      </c>
      <c r="I69" s="699"/>
      <c r="J69" s="757"/>
      <c r="K69" s="698"/>
      <c r="L69" s="698" t="n">
        <f aca="false">C69*F69</f>
        <v>0</v>
      </c>
      <c r="M69" s="699" t="n">
        <f aca="false">C69*G69</f>
        <v>0</v>
      </c>
      <c r="N69" s="699" t="n">
        <f aca="false">C69*H69</f>
        <v>0</v>
      </c>
      <c r="O69" s="699"/>
      <c r="P69" s="699"/>
      <c r="Q69" s="699"/>
      <c r="R69" s="758"/>
      <c r="S69" s="699"/>
      <c r="T69" s="699"/>
      <c r="U69" s="699"/>
      <c r="V69" s="699"/>
      <c r="W69" s="699"/>
      <c r="X69" s="699"/>
      <c r="Y69" s="699"/>
      <c r="Z69" s="699"/>
      <c r="AA69" s="699"/>
      <c r="AB69" s="699"/>
      <c r="AC69" s="788"/>
      <c r="AD69" s="697"/>
      <c r="AE69" s="701"/>
    </row>
    <row r="70" customFormat="false" ht="17.25" hidden="false" customHeight="true" outlineLevel="0" collapsed="false">
      <c r="B70" s="787" t="n">
        <v>6</v>
      </c>
      <c r="C70" s="699" t="n">
        <v>0</v>
      </c>
      <c r="D70" s="698" t="n">
        <f aca="false">$E$85/($G$85*2+C70)</f>
        <v>0.253571428571429</v>
      </c>
      <c r="E70" s="698" t="n">
        <f aca="false">((D70*C70)^2)</f>
        <v>0</v>
      </c>
      <c r="F70" s="700" t="n">
        <v>0</v>
      </c>
      <c r="G70" s="789" t="n">
        <v>0</v>
      </c>
      <c r="H70" s="789" t="n">
        <v>0</v>
      </c>
      <c r="I70" s="757" t="n">
        <v>0</v>
      </c>
      <c r="J70" s="757" t="e">
        <f aca="false">$K$85*G70^$M$85</f>
        <v>#NUM!</v>
      </c>
      <c r="K70" s="757" t="e">
        <f aca="false">$K$85*H70^$M$85</f>
        <v>#NUM!</v>
      </c>
      <c r="L70" s="700" t="n">
        <f aca="false">C70*F70</f>
        <v>0</v>
      </c>
      <c r="M70" s="699" t="n">
        <f aca="false">C70*G70</f>
        <v>0</v>
      </c>
      <c r="N70" s="699" t="n">
        <f aca="false">C70*H70</f>
        <v>0</v>
      </c>
      <c r="O70" s="789"/>
      <c r="P70" s="699"/>
      <c r="Q70" s="699"/>
      <c r="R70" s="758"/>
      <c r="S70" s="757" t="n">
        <f aca="false">C70/$L$9</f>
        <v>0</v>
      </c>
      <c r="T70" s="757" t="n">
        <f aca="false">SQRT(1+4*(S70)^2*(G70/U71)^(2/3))</f>
        <v>1</v>
      </c>
      <c r="U70" s="790" t="e">
        <f aca="false">G70*$M$18/(1+(G70/U71-1)/T70)</f>
        <v>#DIV/0!</v>
      </c>
      <c r="V70" s="790" t="n">
        <f aca="false">V63*G70*U71*T70/(G70+U71*T70)</f>
        <v>0</v>
      </c>
      <c r="W70" s="791" t="e">
        <f aca="false">((1.05-0.1*$C70/$L$9*(1-POWER($X71/$G70,1/3)))*$G70)/(0.71*POWER($X71/$G70,1/3)*ATAN(1.35*2*$C70/$L$9*POWER($G70/(6*$X71),1/3))+($G70/$X71)*2/PI()*ATAN($L$9/(2*$C70*POWER($G70/(6*$X71),1/3))))</f>
        <v>#DIV/0!</v>
      </c>
      <c r="X70" s="733" t="e">
        <f aca="false">Y70</f>
        <v>#DIV/0!</v>
      </c>
      <c r="Y70" s="792" t="e">
        <f aca="false">((1.05-0.1*$C70/$L$9*(1-POWER($X71/$G70,1/3)))*$G70)/(0.71*POWER($X71/$G70,1/3)*ATAN(1.35*2*$C70/$L$9*POWER($G70/(6*$X71),1/3))+($G70/$X71)*2/PI()*ATAN($L$9/(2*$C70*POWER($G70/(6*$X71),1/3))))-60/$C70+750/$G70</f>
        <v>#DIV/0!</v>
      </c>
      <c r="Z70" s="793" t="n">
        <f aca="false">Z71+0.28*G70*S70</f>
        <v>512.625</v>
      </c>
      <c r="AA70" s="698"/>
      <c r="AB70" s="698" t="n">
        <f aca="false">Z70*0.05</f>
        <v>25.63125</v>
      </c>
      <c r="AC70" s="794" t="e">
        <f aca="false">Z70-W70</f>
        <v>#DIV/0!</v>
      </c>
      <c r="AD70" s="697"/>
      <c r="AE70" s="701"/>
    </row>
    <row r="71" customFormat="false" ht="15.75" hidden="false" customHeight="false" outlineLevel="0" collapsed="false">
      <c r="B71" s="697" t="n">
        <v>5</v>
      </c>
      <c r="C71" s="698" t="n">
        <v>5</v>
      </c>
      <c r="D71" s="698" t="n">
        <f aca="false">$E$85/($G$85*2+C71)</f>
        <v>0.175308641975309</v>
      </c>
      <c r="E71" s="698" t="n">
        <f aca="false">((D71*C71)^2)</f>
        <v>0.768327998780674</v>
      </c>
      <c r="F71" s="700" t="n">
        <v>3600</v>
      </c>
      <c r="G71" s="700" t="n">
        <v>2400</v>
      </c>
      <c r="H71" s="700" t="n">
        <v>440</v>
      </c>
      <c r="I71" s="757" t="n">
        <f aca="false">$K$85*F71^$M$85</f>
        <v>0.0877789135292814</v>
      </c>
      <c r="J71" s="757" t="n">
        <f aca="false">$K$85*G71^$M$85</f>
        <v>0.0985317531065581</v>
      </c>
      <c r="K71" s="757" t="n">
        <f aca="false">$K$85*H71^$M$85</f>
        <v>0.159791031787753</v>
      </c>
      <c r="L71" s="700" t="n">
        <f aca="false">C71*F71</f>
        <v>18000</v>
      </c>
      <c r="M71" s="699" t="n">
        <f aca="false">C71*G71</f>
        <v>12000</v>
      </c>
      <c r="N71" s="699" t="n">
        <f aca="false">C71*H71</f>
        <v>2200</v>
      </c>
      <c r="O71" s="789" t="n">
        <f aca="false">L71^2*(D71+I71)^2</f>
        <v>22425680.0430874</v>
      </c>
      <c r="P71" s="699" t="n">
        <f aca="false">M71^2*(D71+J71)^2</f>
        <v>10798352.9249174</v>
      </c>
      <c r="Q71" s="699" t="n">
        <f aca="false">N71^2*(D71+K71)^2</f>
        <v>543492.270163573</v>
      </c>
      <c r="R71" s="757" t="n">
        <f aca="false">G72/G71</f>
        <v>0.583333333333333</v>
      </c>
      <c r="S71" s="757" t="n">
        <f aca="false">C71/$L$9</f>
        <v>0.15625</v>
      </c>
      <c r="T71" s="757" t="n">
        <f aca="false">SQRT(1+4*(S71)^2*(G71/U72)^(2/3))</f>
        <v>1.15464137925084</v>
      </c>
      <c r="U71" s="790" t="n">
        <f aca="false">G71*$M$18/(1+(G71/U72-1)/T71)</f>
        <v>457.066341689785</v>
      </c>
      <c r="V71" s="790" t="n">
        <f aca="false">V63*G71*U72*T71/(G71+U72*T71)</f>
        <v>427.359970438251</v>
      </c>
      <c r="W71" s="795" t="n">
        <f aca="false">((1.05-0.1*$C71/$L$9*(1-POWER($X72/$G71,1/3)))*$G71)/(0.71*POWER($X72/$G71,1/3)*ATAN(1.35*2*$C71/$L$9*POWER($G71/(6*$X72),1/3))+($G71/$X72)*2/PI()*ATAN($L$9/(2*$C71*POWER($G71/(6*$X72),1/3))))</f>
        <v>472.49585120243</v>
      </c>
      <c r="X71" s="790" t="n">
        <f aca="false">Y71</f>
        <v>460.80835120243</v>
      </c>
      <c r="Y71" s="792" t="n">
        <f aca="false">((1.05-0.1*$C71/$L$9*(1-POWER($X72/$G71,1/3)))*$G71)/(0.71*POWER($X72/$G71,1/3)*ATAN(1.35*2*$C71/$L$9*POWER($G71/(6*$X72),1/3))+($G71/$X72)*2/PI()*ATAN($L$9/(2*$C71*POWER($G71/(6*$X72),1/3))))-60/$C71+750/$G71</f>
        <v>460.80835120243</v>
      </c>
      <c r="Z71" s="793" t="n">
        <f aca="false">Z72+0.3*G71*S71</f>
        <v>512.625</v>
      </c>
      <c r="AA71" s="796" t="n">
        <f aca="false">(U71-V71)/U71*100</f>
        <v>6.49935655767369</v>
      </c>
      <c r="AB71" s="796" t="n">
        <f aca="false">(V71-W71)/V71*100</f>
        <v>-10.5615602504588</v>
      </c>
      <c r="AC71" s="797" t="n">
        <f aca="false">(W71-X71)/W71*100</f>
        <v>2.47356669275658</v>
      </c>
      <c r="AD71" s="697" t="n">
        <f aca="false">W71/U71</f>
        <v>1.03375770234054</v>
      </c>
      <c r="AE71" s="701" t="n">
        <f aca="false">Y71/Z71</f>
        <v>0.898918997712616</v>
      </c>
    </row>
    <row r="72" customFormat="false" ht="15.75" hidden="false" customHeight="false" outlineLevel="0" collapsed="false">
      <c r="B72" s="697" t="n">
        <v>4</v>
      </c>
      <c r="C72" s="698" t="n">
        <v>12</v>
      </c>
      <c r="D72" s="698" t="n">
        <f aca="false">$E$85/($G$85*2+C72)</f>
        <v>0.122413793103448</v>
      </c>
      <c r="E72" s="698" t="n">
        <f aca="false">((D72*C72)^2)</f>
        <v>2.15785969084423</v>
      </c>
      <c r="F72" s="700" t="n">
        <v>2200</v>
      </c>
      <c r="G72" s="700" t="n">
        <v>1400</v>
      </c>
      <c r="H72" s="700" t="n">
        <v>380</v>
      </c>
      <c r="I72" s="757" t="n">
        <f aca="false">$K$85*F72^$M$85</f>
        <v>0.101005715589504</v>
      </c>
      <c r="J72" s="757" t="n">
        <f aca="false">$K$85*G72^$M$85</f>
        <v>0.11489203548242</v>
      </c>
      <c r="K72" s="757" t="n">
        <f aca="false">$K$85*H72^$M$85</f>
        <v>0.1666088584726</v>
      </c>
      <c r="L72" s="700" t="n">
        <f aca="false">C72*F72</f>
        <v>26400</v>
      </c>
      <c r="M72" s="699" t="n">
        <f aca="false">C72*G72</f>
        <v>16800</v>
      </c>
      <c r="N72" s="699" t="n">
        <f aca="false">C72*H72</f>
        <v>4560</v>
      </c>
      <c r="O72" s="789" t="n">
        <f aca="false">L72^2*(D72+I72)^2</f>
        <v>34789648.3235517</v>
      </c>
      <c r="P72" s="699" t="n">
        <f aca="false">M72^2*(D72+J72)^2</f>
        <v>15894079.2447002</v>
      </c>
      <c r="Q72" s="699" t="n">
        <f aca="false">N72^2*(D72+K72)^2</f>
        <v>1736974.51878424</v>
      </c>
      <c r="R72" s="757" t="n">
        <f aca="false">G73/G72</f>
        <v>0.428571428571429</v>
      </c>
      <c r="S72" s="757" t="n">
        <f aca="false">C72/$L$9</f>
        <v>0.375</v>
      </c>
      <c r="T72" s="757" t="n">
        <f aca="false">SQRT(1+4*(S72)^2*(G72/U73)^(2/3))</f>
        <v>1.68498893275041</v>
      </c>
      <c r="U72" s="790" t="n">
        <f aca="false">G72*$M$18/(1+(G72/U73-1)/T72)</f>
        <v>380.81166292976</v>
      </c>
      <c r="V72" s="790" t="n">
        <f aca="false">V63*G72*U73*T72/(G72+U73*T72)</f>
        <v>357.079729098775</v>
      </c>
      <c r="W72" s="795" t="n">
        <f aca="false">((1.05-0.1*$C72/$L$9*(1-POWER($X73/$G72,1/3)))*$G72)/(0.71*POWER($X73/$G72,1/3)*ATAN(1.35*2*$C72/$L$9*POWER($G72/(6*$X73),1/3))+($G72/$X73)*2/PI()*ATAN($L$9/(2*$C72*POWER($G72/(6*$X73),1/3))))</f>
        <v>379.435462124306</v>
      </c>
      <c r="X72" s="790" t="n">
        <f aca="false">Y72</f>
        <v>374.97117641002</v>
      </c>
      <c r="Y72" s="792" t="n">
        <f aca="false">((1.05-0.1*$C72/$L$9*(1-POWER($X73/$G72,1/3)))*$G72)/(0.71*POWER($X73/$G72,1/3)*ATAN(1.35*2*$C72/$L$9*POWER($G72/(6*$X73),1/3))+($G72/$X73)*2/PI()*ATAN($L$9/(2*$C72*POWER($G72/(6*$X73),1/3))))-60/$C72+750/$G72</f>
        <v>374.97117641002</v>
      </c>
      <c r="Z72" s="793" t="n">
        <f aca="false">Z73+0.3*G72*S72</f>
        <v>400.125</v>
      </c>
      <c r="AA72" s="796" t="n">
        <f aca="false">(U72-V72)/U72*100</f>
        <v>6.23193461261256</v>
      </c>
      <c r="AB72" s="796" t="n">
        <f aca="false">(V72-W72)/V72*100</f>
        <v>-6.26071188133645</v>
      </c>
      <c r="AC72" s="797" t="n">
        <f aca="false">(W72-X72)/W72*100</f>
        <v>1.17655995812621</v>
      </c>
      <c r="AD72" s="697" t="n">
        <f aca="false">W72/U72</f>
        <v>0.996386137979949</v>
      </c>
      <c r="AE72" s="701" t="n">
        <f aca="false">Y72/Z72</f>
        <v>0.937135086310579</v>
      </c>
    </row>
    <row r="73" customFormat="false" ht="15.75" hidden="false" customHeight="false" outlineLevel="0" collapsed="false">
      <c r="B73" s="697" t="n">
        <v>3</v>
      </c>
      <c r="C73" s="698" t="n">
        <v>8</v>
      </c>
      <c r="D73" s="698" t="n">
        <f aca="false">$E$85/($G$85+C73)</f>
        <v>0.208823529411765</v>
      </c>
      <c r="E73" s="698" t="n">
        <f aca="false">((D73*C73)^2)</f>
        <v>2.79086505190311</v>
      </c>
      <c r="F73" s="698" t="n">
        <f aca="false">G73</f>
        <v>600</v>
      </c>
      <c r="G73" s="698" t="n">
        <v>600</v>
      </c>
      <c r="H73" s="698" t="n">
        <f aca="false">G73</f>
        <v>600</v>
      </c>
      <c r="I73" s="757" t="n">
        <f aca="false">$K$85*F73^$M$85</f>
        <v>0.146272709942088</v>
      </c>
      <c r="J73" s="757" t="n">
        <f aca="false">$K$85*G73^$M$85</f>
        <v>0.146272709942088</v>
      </c>
      <c r="K73" s="757" t="n">
        <f aca="false">$K$85*H73^$M$85</f>
        <v>0.146272709942088</v>
      </c>
      <c r="L73" s="713" t="n">
        <f aca="false">C73*F73</f>
        <v>4800</v>
      </c>
      <c r="M73" s="699" t="n">
        <f aca="false">C73*G73</f>
        <v>4800</v>
      </c>
      <c r="N73" s="699" t="n">
        <f aca="false">C73*H73</f>
        <v>4800</v>
      </c>
      <c r="O73" s="699" t="n">
        <f aca="false">L73^2*(D73+I73)^2</f>
        <v>2905190.53524284</v>
      </c>
      <c r="P73" s="699" t="n">
        <f aca="false">M73^2*(D73+J73)^2</f>
        <v>2905190.53524284</v>
      </c>
      <c r="Q73" s="699" t="n">
        <f aca="false">N73^2*(D73+K73)^2</f>
        <v>2905190.53524284</v>
      </c>
      <c r="R73" s="757" t="n">
        <f aca="false">G74/G73</f>
        <v>0.583333333333333</v>
      </c>
      <c r="S73" s="757" t="n">
        <f aca="false">C73/$L$9</f>
        <v>0.25</v>
      </c>
      <c r="T73" s="757" t="n">
        <f aca="false">SQRT(1+4*(S73)^2*(G73/U74)^(2/3))</f>
        <v>1.23764418997312</v>
      </c>
      <c r="U73" s="790" t="n">
        <f aca="false">G73*$M$18/(1+(G73/U74-1)/T73)</f>
        <v>236.79511776936</v>
      </c>
      <c r="V73" s="790" t="n">
        <f aca="false">V63*G73*U74*T73/(G73+U74*T73)</f>
        <v>196.776177069928</v>
      </c>
      <c r="W73" s="795" t="n">
        <f aca="false">((1.05-0.1*$C73/$L$9*(1-POWER($X74/$G73,1/3)))*$G73)/(0.71*POWER($X74/$G73,1/3)*ATAN(1.35*2*$C73/$L$9*POWER($G73/(6*$X74),1/3))+($G73/$X74)*2/PI()*ATAN($L$9/(2*$C73*POWER($G73/(6*$X74),1/3))))</f>
        <v>242.76786125676</v>
      </c>
      <c r="X73" s="790" t="n">
        <f aca="false">Y73</f>
        <v>236.51786125676</v>
      </c>
      <c r="Y73" s="792" t="n">
        <f aca="false">((1.05-0.1*$C73/$L$9*(1-POWER($X74/$G73,1/3)))*$G73)/(0.71*POWER($X74/$G73,1/3)*ATAN(1.35*2*$C73/$L$9*POWER($G73/(6*$X74),1/3))+($G73/$X74)*2/PI()*ATAN($L$9/(2*$C73*POWER($G73/(6*$X74),1/3))))-60/$C73+750/$G73</f>
        <v>236.51786125676</v>
      </c>
      <c r="Z73" s="793" t="n">
        <f aca="false">Z74+0.3*G73*S73</f>
        <v>242.625</v>
      </c>
      <c r="AA73" s="796" t="n">
        <f aca="false">(U73-V73)/U73*100</f>
        <v>16.9002389392213</v>
      </c>
      <c r="AB73" s="796" t="n">
        <f aca="false">(V73-W73)/V73*100</f>
        <v>-23.3725875111846</v>
      </c>
      <c r="AC73" s="797" t="n">
        <f aca="false">(W73-X73)/W73*100</f>
        <v>2.57447586663449</v>
      </c>
      <c r="AD73" s="697" t="n">
        <f aca="false">W73/U73</f>
        <v>1.02522325436294</v>
      </c>
      <c r="AE73" s="701" t="n">
        <f aca="false">Y73/Z73</f>
        <v>0.97482889750339</v>
      </c>
    </row>
    <row r="74" customFormat="false" ht="15.75" hidden="false" customHeight="false" outlineLevel="0" collapsed="false">
      <c r="B74" s="697" t="n">
        <v>2</v>
      </c>
      <c r="C74" s="698" t="n">
        <v>36</v>
      </c>
      <c r="D74" s="698" t="n">
        <f aca="false">$E$85/($G$85+C74)</f>
        <v>0.0682692307692308</v>
      </c>
      <c r="E74" s="698" t="n">
        <f aca="false">((D74*C74)^2)</f>
        <v>6.04025147928994</v>
      </c>
      <c r="F74" s="698" t="n">
        <f aca="false">G74</f>
        <v>350</v>
      </c>
      <c r="G74" s="698" t="n">
        <v>350</v>
      </c>
      <c r="H74" s="698" t="n">
        <f aca="false">G74</f>
        <v>350</v>
      </c>
      <c r="I74" s="757" t="n">
        <f aca="false">$K$85*F74^$M$85</f>
        <v>0.170559934751202</v>
      </c>
      <c r="J74" s="757" t="n">
        <f aca="false">$K$85*G74^$M$85</f>
        <v>0.170559934751202</v>
      </c>
      <c r="K74" s="757" t="n">
        <f aca="false">$K$85*H74^$M$85</f>
        <v>0.170559934751202</v>
      </c>
      <c r="L74" s="713" t="n">
        <f aca="false">C74*F74</f>
        <v>12600</v>
      </c>
      <c r="M74" s="699" t="n">
        <f aca="false">C74*G74</f>
        <v>12600</v>
      </c>
      <c r="N74" s="699" t="n">
        <f aca="false">C74*H74</f>
        <v>12600</v>
      </c>
      <c r="O74" s="699" t="n">
        <f aca="false">L74^2*(D74+I74)^2</f>
        <v>9055570.42933385</v>
      </c>
      <c r="P74" s="699" t="n">
        <f aca="false">M74^2*(D74+J74)^2</f>
        <v>9055570.42933385</v>
      </c>
      <c r="Q74" s="699" t="n">
        <f aca="false">N74^2*(D74+K74)^2</f>
        <v>9055570.42933385</v>
      </c>
      <c r="R74" s="757" t="n">
        <f aca="false">G75/G74</f>
        <v>0.285714285714286</v>
      </c>
      <c r="S74" s="757" t="n">
        <f aca="false">C74/$L$9</f>
        <v>1.125</v>
      </c>
      <c r="T74" s="757" t="n">
        <f aca="false">SQRT(1+4*(S74)^2*(G74/U75)^(2/3))</f>
        <v>3.87033322270491</v>
      </c>
      <c r="U74" s="790" t="n">
        <f aca="false">G74*$M$18/(1+(G74/U75-1)/T74)</f>
        <v>193.412223128767</v>
      </c>
      <c r="V74" s="790" t="n">
        <f aca="false">V63*G74*U75*T74/(G74+U75*T74)</f>
        <v>184.159406768162</v>
      </c>
      <c r="W74" s="795" t="n">
        <f aca="false">((1.05-0.1*$C74/$L$9*(1-POWER($X75/$G74,1/3)))*$G74)/(0.71*POWER($X75/$G74,1/3)*ATAN(1.35*2*$C74/$L$9*POWER($G74/(6*$X75),1/3))+($G74/$X75)*2/PI()*ATAN($L$9/(2*$C74*POWER($G74/(6*$X75),1/3))))</f>
        <v>194.270407802928</v>
      </c>
      <c r="X74" s="790" t="n">
        <f aca="false">Y74</f>
        <v>194.746598279118</v>
      </c>
      <c r="Y74" s="792" t="n">
        <f aca="false">((1.05-0.1*$C74/$L$9*(1-POWER($X75/$G74,1/3)))*$G74)/(0.71*POWER($X75/$G74,1/3)*ATAN(1.35*2*$C74/$L$9*POWER($G74/(6*$X75),1/3))+($G74/$X75)*2/PI()*ATAN($L$9/(2*$C74*POWER($G74/(6*$X75),1/3))))-60/$C74+750/$G74</f>
        <v>194.746598279118</v>
      </c>
      <c r="Z74" s="793" t="n">
        <f aca="false">Z75+0.3*G74*S74</f>
        <v>197.625</v>
      </c>
      <c r="AA74" s="796" t="n">
        <f aca="false">(U74-V74)/U74*100</f>
        <v>4.7839873876245</v>
      </c>
      <c r="AB74" s="796" t="n">
        <f aca="false">(V74-W74)/V74*100</f>
        <v>-5.49035273962104</v>
      </c>
      <c r="AC74" s="797" t="n">
        <f aca="false">(W74-X74)/W74*100</f>
        <v>-0.245117350385932</v>
      </c>
      <c r="AD74" s="697" t="n">
        <f aca="false">W74/U74</f>
        <v>1.00443707569397</v>
      </c>
      <c r="AE74" s="701" t="n">
        <f aca="false">Y74/Z74</f>
        <v>0.985435032405406</v>
      </c>
    </row>
    <row r="75" customFormat="false" ht="15.75" hidden="false" customHeight="false" outlineLevel="0" collapsed="false">
      <c r="B75" s="697" t="n">
        <v>1</v>
      </c>
      <c r="C75" s="698" t="n">
        <v>40</v>
      </c>
      <c r="D75" s="698" t="n">
        <f aca="false">$E$85/($G$85+C75)</f>
        <v>0.062280701754386</v>
      </c>
      <c r="E75" s="698" t="n">
        <f aca="false">((D75*C75)^2)</f>
        <v>6.20621729763004</v>
      </c>
      <c r="F75" s="698" t="n">
        <f aca="false">G75</f>
        <v>100</v>
      </c>
      <c r="G75" s="698" t="n">
        <v>100</v>
      </c>
      <c r="H75" s="698" t="n">
        <f aca="false">G75</f>
        <v>100</v>
      </c>
      <c r="I75" s="757" t="n">
        <f aca="false">$K$85*F75^$M$85</f>
        <v>0.243745391843621</v>
      </c>
      <c r="J75" s="757" t="n">
        <f aca="false">$K$85*G75^$M$85</f>
        <v>0.243745391843621</v>
      </c>
      <c r="K75" s="757" t="n">
        <f aca="false">$K$85*H75^$M$85</f>
        <v>0.243745391843621</v>
      </c>
      <c r="L75" s="713" t="n">
        <f aca="false">C75*F75</f>
        <v>4000</v>
      </c>
      <c r="M75" s="699" t="n">
        <f aca="false">C75*G75</f>
        <v>4000</v>
      </c>
      <c r="N75" s="699" t="n">
        <f aca="false">C75*H75</f>
        <v>4000</v>
      </c>
      <c r="O75" s="699" t="n">
        <f aca="false">L75^2*(D75+I75)^2</f>
        <v>1498431.5194057</v>
      </c>
      <c r="P75" s="699" t="n">
        <f aca="false">M75^2*(D75+J75)^2</f>
        <v>1498431.5194057</v>
      </c>
      <c r="Q75" s="699" t="n">
        <f aca="false">N75^2*(D75+K75)^2</f>
        <v>1498431.5194057</v>
      </c>
      <c r="R75" s="757" t="n">
        <f aca="false">G76/G75</f>
        <v>0.42</v>
      </c>
      <c r="S75" s="757" t="n">
        <f aca="false">C75/$L$9</f>
        <v>1.25</v>
      </c>
      <c r="T75" s="757" t="n">
        <f aca="false">SQRT(1+4*(S75)^2*(G75/U76)^(2/3))</f>
        <v>3.4848465300674</v>
      </c>
      <c r="U75" s="790" t="n">
        <f aca="false">G75*$M$18/(1+(G75/U76-1)/T75)</f>
        <v>76.2744540493957</v>
      </c>
      <c r="V75" s="790" t="n">
        <f aca="false">V63*G75*U76*T75/(G75+U76*T75)</f>
        <v>68.3210176545378</v>
      </c>
      <c r="W75" s="795" t="n">
        <f aca="false">((1.05-0.1*$C75/$L$9*(1-POWER($X76/$G75,1/3)))*$G75)/(0.71*POWER($X76/$G75,1/3)*ATAN(1.35*2*$C75/$L$9*POWER($G75/(6*$X76),1/3))+($G75/$X76)*2/PI()*ATAN($L$9/(2*$C75*POWER($G75/(6*$X76),1/3))))</f>
        <v>73.4401591798366</v>
      </c>
      <c r="X75" s="790" t="n">
        <f aca="false">Y75</f>
        <v>79.4401591798366</v>
      </c>
      <c r="Y75" s="792" t="n">
        <f aca="false">((1.05-0.1*$C75/$L$9*(1-POWER($X76/$G75,1/3)))*$G75)/(0.71*POWER($X76/$G75,1/3)*ATAN(1.35*2*$C75/$L$9*POWER($G75/(6*$X76),1/3))+($G75/$X76)*2/PI()*ATAN($L$9/(2*$C75*POWER($G75/(6*$X76),1/3))))-60/$C75+750/$G75</f>
        <v>79.4401591798366</v>
      </c>
      <c r="Z75" s="793" t="n">
        <f aca="false">$G$76+0.3*G75*S75</f>
        <v>79.5</v>
      </c>
      <c r="AA75" s="796" t="n">
        <f aca="false">(U75-V75)/U75*100</f>
        <v>10.42739209868</v>
      </c>
      <c r="AB75" s="796" t="n">
        <f aca="false">(V75-W75)/V75*100</f>
        <v>-7.49277704144209</v>
      </c>
      <c r="AC75" s="797" t="n">
        <f aca="false">(W75-X75)/W75*100</f>
        <v>-8.1699169323796</v>
      </c>
      <c r="AD75" s="697" t="n">
        <f aca="false">W75/U75</f>
        <v>0.962840837015711</v>
      </c>
      <c r="AE75" s="701" t="n">
        <f aca="false">Y75/Z75</f>
        <v>0.999247285280963</v>
      </c>
    </row>
    <row r="76" customFormat="false" ht="15.75" hidden="false" customHeight="false" outlineLevel="0" collapsed="false">
      <c r="B76" s="750" t="n">
        <v>0</v>
      </c>
      <c r="C76" s="751" t="s">
        <v>899</v>
      </c>
      <c r="D76" s="751"/>
      <c r="E76" s="751"/>
      <c r="F76" s="751" t="n">
        <f aca="false">G76</f>
        <v>42</v>
      </c>
      <c r="G76" s="798" t="n">
        <v>42</v>
      </c>
      <c r="H76" s="751" t="n">
        <f aca="false">G76</f>
        <v>42</v>
      </c>
      <c r="I76" s="799" t="n">
        <f aca="false">$K$85*F76^$M$85</f>
        <v>0.31211192774158</v>
      </c>
      <c r="J76" s="799" t="n">
        <f aca="false">$K$85*G76^$M$85</f>
        <v>0.31211192774158</v>
      </c>
      <c r="K76" s="799" t="n">
        <f aca="false">$K$85*H76^$M$85</f>
        <v>0.31211192774158</v>
      </c>
      <c r="L76" s="698"/>
      <c r="M76" s="710"/>
      <c r="N76" s="710"/>
      <c r="O76" s="710"/>
      <c r="P76" s="710"/>
      <c r="Q76" s="710"/>
      <c r="R76" s="710"/>
      <c r="S76" s="710"/>
      <c r="T76" s="710"/>
      <c r="U76" s="710" t="n">
        <f aca="false">G76</f>
        <v>42</v>
      </c>
      <c r="V76" s="710" t="n">
        <f aca="false">G76</f>
        <v>42</v>
      </c>
      <c r="W76" s="800" t="n">
        <f aca="false">G76</f>
        <v>42</v>
      </c>
      <c r="X76" s="710" t="n">
        <f aca="false">Y76</f>
        <v>42</v>
      </c>
      <c r="Y76" s="801" t="n">
        <f aca="false">G76</f>
        <v>42</v>
      </c>
      <c r="Z76" s="802"/>
      <c r="AA76" s="802"/>
      <c r="AB76" s="710"/>
      <c r="AC76" s="803"/>
      <c r="AD76" s="770"/>
      <c r="AE76" s="804"/>
    </row>
    <row r="77" customFormat="false" ht="15.75" hidden="false" customHeight="false" outlineLevel="0" collapsed="false">
      <c r="B77" s="0"/>
      <c r="C77" s="0"/>
      <c r="D77" s="0"/>
      <c r="E77" s="0"/>
      <c r="F77" s="0"/>
      <c r="G77" s="805"/>
      <c r="H77" s="806"/>
      <c r="I77" s="725"/>
      <c r="J77" s="672" t="s">
        <v>900</v>
      </c>
      <c r="K77" s="807" t="n">
        <f aca="false">SUM(L66:L76)</f>
        <v>65800</v>
      </c>
      <c r="L77" s="808" t="n">
        <f aca="false">SUM(L69:L72)</f>
        <v>44400</v>
      </c>
      <c r="M77" s="807" t="n">
        <f aca="false">SUM(M69:M75)</f>
        <v>50200</v>
      </c>
      <c r="N77" s="807" t="n">
        <f aca="false">SUM(N69:N75)</f>
        <v>28160</v>
      </c>
      <c r="O77" s="672" t="n">
        <f aca="false">SUM(O69:O72)</f>
        <v>57215328.366639</v>
      </c>
      <c r="P77" s="672" t="n">
        <f aca="false">SUM(P69:P75)</f>
        <v>40151624.6536</v>
      </c>
      <c r="Q77" s="672" t="n">
        <f aca="false">SUM(Q69:Q75)</f>
        <v>15739659.2729302</v>
      </c>
      <c r="R77" s="681"/>
      <c r="S77" s="681"/>
      <c r="T77" s="681"/>
      <c r="U77" s="681"/>
      <c r="V77" s="0"/>
      <c r="W77" s="809"/>
      <c r="X77" s="681"/>
      <c r="Y77" s="809"/>
      <c r="Z77" s="810"/>
      <c r="AA77" s="810"/>
      <c r="AB77" s="681"/>
      <c r="AC77" s="810"/>
    </row>
    <row r="78" customFormat="false" ht="15.75" hidden="false" customHeight="false" outlineLevel="0" collapsed="false">
      <c r="B78" s="811" t="s">
        <v>901</v>
      </c>
      <c r="C78" s="811"/>
      <c r="D78" s="811"/>
      <c r="E78" s="811"/>
      <c r="F78" s="811"/>
      <c r="G78" s="805"/>
      <c r="H78" s="806"/>
      <c r="I78" s="725"/>
      <c r="J78" s="0"/>
      <c r="K78" s="807"/>
      <c r="L78" s="812" t="n">
        <f aca="false">SUM(L73:L75)</f>
        <v>21400</v>
      </c>
      <c r="M78" s="807"/>
      <c r="N78" s="807"/>
      <c r="O78" s="0"/>
      <c r="P78" s="0"/>
      <c r="Q78" s="0"/>
      <c r="R78" s="681"/>
      <c r="S78" s="681"/>
      <c r="T78" s="681"/>
      <c r="U78" s="681"/>
      <c r="V78" s="0"/>
      <c r="W78" s="809"/>
      <c r="X78" s="681"/>
      <c r="Y78" s="809"/>
      <c r="Z78" s="810"/>
      <c r="AA78" s="810"/>
      <c r="AB78" s="681"/>
      <c r="AC78" s="810"/>
    </row>
    <row r="79" customFormat="false" ht="15.75" hidden="false" customHeight="false" outlineLevel="0" collapsed="false">
      <c r="B79" s="682"/>
      <c r="C79" s="693" t="s">
        <v>902</v>
      </c>
      <c r="D79" s="693"/>
      <c r="E79" s="693"/>
      <c r="F79" s="693" t="s">
        <v>903</v>
      </c>
      <c r="G79" s="695" t="n">
        <v>20.5</v>
      </c>
      <c r="H79" s="693" t="n">
        <v>7</v>
      </c>
      <c r="I79" s="813" t="s">
        <v>904</v>
      </c>
      <c r="J79" s="693"/>
      <c r="K79" s="693"/>
      <c r="L79" s="693"/>
      <c r="M79" s="693"/>
      <c r="N79" s="814" t="n">
        <v>0.2</v>
      </c>
      <c r="O79" s="725"/>
      <c r="P79" s="0"/>
      <c r="Q79" s="0"/>
      <c r="R79" s="681"/>
      <c r="S79" s="681"/>
      <c r="T79" s="681"/>
      <c r="U79" s="681"/>
      <c r="V79" s="681"/>
      <c r="W79" s="809"/>
      <c r="X79" s="681"/>
      <c r="Y79" s="809"/>
      <c r="Z79" s="810"/>
      <c r="AA79" s="810"/>
      <c r="AB79" s="681"/>
      <c r="AC79" s="810"/>
    </row>
    <row r="80" customFormat="false" ht="15.75" hidden="false" customHeight="false" outlineLevel="0" collapsed="false">
      <c r="B80" s="770"/>
      <c r="C80" s="710" t="s">
        <v>905</v>
      </c>
      <c r="D80" s="710"/>
      <c r="E80" s="710"/>
      <c r="F80" s="710" t="s">
        <v>906</v>
      </c>
      <c r="G80" s="815" t="n">
        <v>0.032</v>
      </c>
      <c r="H80" s="710" t="n">
        <v>0.007</v>
      </c>
      <c r="I80" s="816" t="s">
        <v>907</v>
      </c>
      <c r="J80" s="816"/>
      <c r="K80" s="816"/>
      <c r="L80" s="710"/>
      <c r="M80" s="710"/>
      <c r="N80" s="804" t="n">
        <f aca="false">2*N79- 0.02</f>
        <v>0.38</v>
      </c>
      <c r="O80" s="681"/>
      <c r="P80" s="0"/>
      <c r="Q80" s="0"/>
      <c r="R80" s="681"/>
      <c r="S80" s="681"/>
      <c r="T80" s="681"/>
      <c r="U80" s="681"/>
      <c r="V80" s="681"/>
      <c r="W80" s="809"/>
      <c r="X80" s="681"/>
      <c r="Y80" s="809"/>
      <c r="Z80" s="810"/>
      <c r="AA80" s="810"/>
      <c r="AB80" s="681"/>
      <c r="AC80" s="810"/>
    </row>
    <row r="81" customFormat="false" ht="18.75" hidden="false" customHeight="false" outlineLevel="0" collapsed="false">
      <c r="B81" s="817" t="s">
        <v>908</v>
      </c>
      <c r="C81" s="678"/>
      <c r="D81" s="818"/>
      <c r="E81" s="818" t="n">
        <f aca="false">SUM(E69:E76)</f>
        <v>17.963521518448</v>
      </c>
      <c r="F81" s="0"/>
      <c r="G81" s="681"/>
      <c r="H81" s="681"/>
      <c r="I81" s="725"/>
      <c r="J81" s="0"/>
      <c r="K81" s="0"/>
      <c r="L81" s="0"/>
      <c r="M81" s="0"/>
      <c r="N81" s="0"/>
      <c r="O81" s="0"/>
      <c r="P81" s="0"/>
      <c r="Q81" s="0"/>
      <c r="R81" s="681"/>
      <c r="S81" s="681"/>
      <c r="T81" s="681"/>
      <c r="U81" s="681"/>
      <c r="V81" s="0"/>
      <c r="W81" s="809"/>
      <c r="X81" s="681"/>
      <c r="Y81" s="809"/>
      <c r="Z81" s="810"/>
      <c r="AA81" s="810"/>
      <c r="AB81" s="681"/>
      <c r="AC81" s="810"/>
    </row>
    <row r="82" customFormat="false" ht="18.75" hidden="false" customHeight="false" outlineLevel="0" collapsed="false">
      <c r="B82" s="819"/>
      <c r="C82" s="820" t="s">
        <v>909</v>
      </c>
      <c r="D82" s="820"/>
      <c r="E82" s="821" t="n">
        <f aca="false">SUM(E70:E72)</f>
        <v>2.92618768962491</v>
      </c>
      <c r="F82" s="822"/>
      <c r="G82" s="681"/>
      <c r="H82" s="681"/>
      <c r="I82" s="725"/>
      <c r="J82" s="0"/>
      <c r="K82" s="0"/>
      <c r="L82" s="0"/>
      <c r="M82" s="0"/>
      <c r="N82" s="0"/>
      <c r="O82" s="0"/>
      <c r="P82" s="0"/>
      <c r="Q82" s="0"/>
      <c r="R82" s="681"/>
      <c r="S82" s="681"/>
      <c r="T82" s="681"/>
      <c r="U82" s="681"/>
      <c r="V82" s="0"/>
      <c r="W82" s="809"/>
      <c r="X82" s="681"/>
      <c r="Y82" s="809"/>
      <c r="Z82" s="810"/>
      <c r="AA82" s="810"/>
      <c r="AB82" s="681"/>
      <c r="AC82" s="810"/>
    </row>
    <row r="83" customFormat="false" ht="18.75" hidden="false" customHeight="true" outlineLevel="0" collapsed="false">
      <c r="B83" s="819"/>
      <c r="C83" s="820" t="s">
        <v>910</v>
      </c>
      <c r="D83" s="820"/>
      <c r="E83" s="823" t="n">
        <f aca="false">SUM(E73:E75)</f>
        <v>15.0373338288231</v>
      </c>
      <c r="F83" s="681"/>
      <c r="G83" s="681"/>
      <c r="H83" s="681"/>
      <c r="I83" s="725"/>
      <c r="J83" s="0"/>
      <c r="K83" s="0"/>
      <c r="L83" s="0"/>
      <c r="M83" s="0"/>
      <c r="N83" s="0"/>
      <c r="O83" s="0"/>
      <c r="P83" s="0"/>
      <c r="Q83" s="0"/>
      <c r="R83" s="681"/>
      <c r="S83" s="681"/>
      <c r="T83" s="681"/>
      <c r="U83" s="681"/>
      <c r="V83" s="681"/>
      <c r="W83" s="809"/>
      <c r="X83" s="681"/>
      <c r="Y83" s="809"/>
      <c r="Z83" s="810"/>
      <c r="AA83" s="810"/>
      <c r="AB83" s="681"/>
      <c r="AC83" s="810"/>
    </row>
    <row r="84" customFormat="false" ht="15.75" hidden="false" customHeight="false" outlineLevel="0" collapsed="false">
      <c r="B84" s="690"/>
      <c r="C84" s="0"/>
      <c r="D84" s="681"/>
      <c r="E84" s="681"/>
      <c r="F84" s="681"/>
      <c r="G84" s="690" t="s">
        <v>911</v>
      </c>
      <c r="H84" s="681"/>
      <c r="I84" s="725"/>
      <c r="J84" s="725"/>
      <c r="K84" s="725"/>
      <c r="L84" s="725"/>
      <c r="M84" s="681"/>
      <c r="N84" s="681"/>
      <c r="O84" s="681"/>
      <c r="P84" s="681"/>
      <c r="Q84" s="681"/>
      <c r="R84" s="681"/>
      <c r="S84" s="681"/>
      <c r="T84" s="681"/>
      <c r="W84" s="809"/>
      <c r="X84" s="681"/>
      <c r="Y84" s="809"/>
      <c r="Z84" s="810"/>
      <c r="AA84" s="810"/>
      <c r="AB84" s="681"/>
      <c r="AC84" s="810"/>
    </row>
    <row r="85" customFormat="false" ht="15.75" hidden="false" customHeight="false" outlineLevel="0" collapsed="false">
      <c r="B85" s="681"/>
      <c r="C85" s="0"/>
      <c r="D85" s="698" t="s">
        <v>912</v>
      </c>
      <c r="E85" s="698" t="n">
        <v>2.84</v>
      </c>
      <c r="F85" s="698" t="s">
        <v>913</v>
      </c>
      <c r="G85" s="698" t="n">
        <v>5.6</v>
      </c>
      <c r="H85" s="698"/>
      <c r="I85" s="698"/>
      <c r="J85" s="698" t="s">
        <v>914</v>
      </c>
      <c r="K85" s="758" t="n">
        <v>0.9056</v>
      </c>
      <c r="L85" s="698" t="s">
        <v>915</v>
      </c>
      <c r="M85" s="698" t="n">
        <v>-0.285</v>
      </c>
      <c r="N85" s="0"/>
      <c r="O85" s="0"/>
      <c r="T85" s="681"/>
    </row>
    <row r="86" customFormat="false" ht="15.75" hidden="false" customHeight="false" outlineLevel="0" collapsed="false">
      <c r="B86" s="681"/>
      <c r="C86" s="0"/>
      <c r="D86" s="0"/>
      <c r="E86" s="681"/>
      <c r="F86" s="681"/>
      <c r="G86" s="0"/>
      <c r="H86" s="681"/>
      <c r="I86" s="681"/>
      <c r="J86" s="681"/>
      <c r="K86" s="681"/>
      <c r="L86" s="681"/>
      <c r="M86" s="0"/>
      <c r="N86" s="0"/>
      <c r="O86" s="0"/>
      <c r="T86" s="681"/>
    </row>
    <row r="87" customFormat="false" ht="18.75" hidden="false" customHeight="false" outlineLevel="0" collapsed="false">
      <c r="B87" s="681"/>
      <c r="C87" s="681"/>
      <c r="D87" s="681"/>
      <c r="E87" s="681"/>
      <c r="F87" s="820"/>
      <c r="G87" s="820"/>
      <c r="H87" s="681"/>
      <c r="I87" s="681"/>
      <c r="J87" s="681"/>
      <c r="K87" s="681"/>
      <c r="L87" s="824" t="s">
        <v>824</v>
      </c>
      <c r="M87" s="825" t="s">
        <v>825</v>
      </c>
      <c r="N87" s="826" t="s">
        <v>826</v>
      </c>
      <c r="O87" s="681"/>
    </row>
    <row r="88" customFormat="false" ht="18.75" hidden="false" customHeight="false" outlineLevel="0" collapsed="false">
      <c r="B88" s="827" t="s">
        <v>916</v>
      </c>
      <c r="C88" s="827"/>
      <c r="D88" s="827"/>
      <c r="E88" s="827"/>
      <c r="F88" s="827"/>
      <c r="G88" s="827"/>
      <c r="H88" s="693"/>
      <c r="I88" s="693"/>
      <c r="J88" s="693"/>
      <c r="K88" s="693"/>
      <c r="L88" s="828" t="n">
        <f aca="false">(SQRT(E82))/L20</f>
        <v>0.100624136861477</v>
      </c>
      <c r="M88" s="828" t="n">
        <f aca="false">SQRT(E81)/M19</f>
        <v>0.0419637571935245</v>
      </c>
      <c r="N88" s="828" t="n">
        <f aca="false">M88</f>
        <v>0.0419637571935245</v>
      </c>
      <c r="O88" s="762"/>
    </row>
    <row r="89" customFormat="false" ht="18.75" hidden="false" customHeight="false" outlineLevel="0" collapsed="false">
      <c r="B89" s="829" t="s">
        <v>917</v>
      </c>
      <c r="C89" s="829"/>
      <c r="D89" s="829"/>
      <c r="E89" s="829"/>
      <c r="F89" s="829"/>
      <c r="G89" s="829"/>
      <c r="H89" s="698"/>
      <c r="I89" s="698"/>
      <c r="J89" s="698"/>
      <c r="K89" s="698"/>
      <c r="L89" s="698" t="n">
        <v>0.05</v>
      </c>
      <c r="M89" s="698" t="n">
        <v>0.05</v>
      </c>
      <c r="N89" s="698" t="n">
        <v>0.05</v>
      </c>
      <c r="O89" s="681"/>
    </row>
    <row r="90" customFormat="false" ht="33" hidden="false" customHeight="true" outlineLevel="0" collapsed="false">
      <c r="B90" s="830" t="s">
        <v>918</v>
      </c>
      <c r="C90" s="830"/>
      <c r="D90" s="830"/>
      <c r="E90" s="830"/>
      <c r="F90" s="830"/>
      <c r="G90" s="830"/>
      <c r="H90" s="698"/>
      <c r="I90" s="698"/>
      <c r="J90" s="698"/>
      <c r="K90" s="698"/>
      <c r="L90" s="831" t="n">
        <f aca="false">SQRT(O77)/(L22*L20)</f>
        <v>0.170362195094358</v>
      </c>
      <c r="M90" s="831" t="n">
        <f aca="false">SQRT(P77)/(M22*M19)</f>
        <v>0.12622571640785</v>
      </c>
      <c r="N90" s="831" t="n">
        <f aca="false">SQRT(Q77)/(N22*N19)</f>
        <v>0.140885083222052</v>
      </c>
      <c r="O90" s="762"/>
    </row>
    <row r="91" customFormat="false" ht="37.5" hidden="false" customHeight="true" outlineLevel="0" collapsed="false">
      <c r="B91" s="830" t="s">
        <v>919</v>
      </c>
      <c r="C91" s="830"/>
      <c r="D91" s="830"/>
      <c r="E91" s="830"/>
      <c r="F91" s="830"/>
      <c r="G91" s="830"/>
      <c r="H91" s="698" t="s">
        <v>920</v>
      </c>
      <c r="I91" s="698"/>
      <c r="J91" s="698"/>
      <c r="K91" s="698"/>
      <c r="L91" s="757" t="n">
        <f aca="false">0.0565 + 0.065*LN(F76)</f>
        <v>0.299448525188419</v>
      </c>
      <c r="M91" s="757" t="n">
        <f aca="false">0.0565 + 0.065*LN(G76)</f>
        <v>0.299448525188419</v>
      </c>
      <c r="N91" s="757" t="n">
        <f aca="false">0.0565 + 0.065*LN(H76)</f>
        <v>0.299448525188419</v>
      </c>
      <c r="O91" s="725"/>
    </row>
    <row r="92" customFormat="false" ht="53.25" hidden="false" customHeight="true" outlineLevel="0" collapsed="false">
      <c r="B92" s="830" t="s">
        <v>921</v>
      </c>
      <c r="C92" s="830"/>
      <c r="D92" s="830"/>
      <c r="E92" s="830"/>
      <c r="F92" s="830"/>
      <c r="G92" s="830"/>
      <c r="H92" s="702" t="s">
        <v>922</v>
      </c>
      <c r="I92" s="702"/>
      <c r="J92" s="702"/>
      <c r="K92" s="702"/>
      <c r="L92" s="723" t="n">
        <f aca="false">(1/(1+2*L25))*J73</f>
        <v>0.0709201017901031</v>
      </c>
      <c r="M92" s="757" t="n">
        <f aca="false">(1/(1+2*$M$25))*M91</f>
        <v>0.0409502256667923</v>
      </c>
      <c r="N92" s="757" t="n">
        <f aca="false">(1/(1+2*N25))*N91</f>
        <v>0.0409502256667923</v>
      </c>
      <c r="O92" s="0"/>
    </row>
    <row r="93" customFormat="false" ht="21.75" hidden="false" customHeight="true" outlineLevel="0" collapsed="false">
      <c r="B93" s="813" t="s">
        <v>923</v>
      </c>
      <c r="C93" s="693"/>
      <c r="D93" s="693"/>
      <c r="E93" s="693"/>
      <c r="F93" s="693"/>
      <c r="G93" s="814"/>
      <c r="H93" s="702"/>
      <c r="I93" s="702"/>
      <c r="J93" s="702"/>
      <c r="K93" s="702"/>
      <c r="L93" s="723"/>
      <c r="M93" s="757"/>
      <c r="N93" s="757" t="n">
        <f aca="false">(1/(1+2*N25))*N79</f>
        <v>0.0273504273504274</v>
      </c>
      <c r="O93" s="0"/>
    </row>
    <row r="94" customFormat="false" ht="20.25" hidden="false" customHeight="true" outlineLevel="0" collapsed="false">
      <c r="B94" s="816" t="s">
        <v>924</v>
      </c>
      <c r="C94" s="816"/>
      <c r="D94" s="816"/>
      <c r="E94" s="710"/>
      <c r="F94" s="710"/>
      <c r="G94" s="804"/>
      <c r="H94" s="702"/>
      <c r="I94" s="702"/>
      <c r="J94" s="702"/>
      <c r="K94" s="702"/>
      <c r="L94" s="723"/>
      <c r="M94" s="757"/>
      <c r="N94" s="757" t="n">
        <f aca="false">(1/(1+2*N25))*N80</f>
        <v>0.051965811965812</v>
      </c>
      <c r="O94" s="0"/>
    </row>
    <row r="95" customFormat="false" ht="16.5" hidden="false" customHeight="true" outlineLevel="0" collapsed="false">
      <c r="B95" s="830" t="s">
        <v>925</v>
      </c>
      <c r="C95" s="830"/>
      <c r="D95" s="830"/>
      <c r="E95" s="830"/>
      <c r="F95" s="830"/>
      <c r="G95" s="830"/>
      <c r="H95" s="702" t="s">
        <v>926</v>
      </c>
      <c r="I95" s="702" t="s">
        <v>838</v>
      </c>
      <c r="J95" s="702" t="s">
        <v>927</v>
      </c>
      <c r="K95" s="702"/>
      <c r="L95" s="757" t="n">
        <f aca="false">N61</f>
        <v>1.41936367236626</v>
      </c>
      <c r="M95" s="757" t="n">
        <f aca="false">N29</f>
        <v>472.49585120243</v>
      </c>
      <c r="N95" s="747" t="n">
        <f aca="false">N38</f>
        <v>0.0246032492510312</v>
      </c>
      <c r="O95" s="749"/>
    </row>
    <row r="96" customFormat="false" ht="19.5" hidden="false" customHeight="true" outlineLevel="0" collapsed="false">
      <c r="B96" s="830" t="s">
        <v>928</v>
      </c>
      <c r="C96" s="830"/>
      <c r="D96" s="830"/>
      <c r="E96" s="830"/>
      <c r="F96" s="830"/>
      <c r="G96" s="830"/>
      <c r="H96" s="702" t="s">
        <v>929</v>
      </c>
      <c r="I96" s="702" t="s">
        <v>930</v>
      </c>
      <c r="J96" s="702" t="s">
        <v>931</v>
      </c>
      <c r="K96" s="702"/>
      <c r="L96" s="757" t="n">
        <f aca="false">N51</f>
        <v>0.778119244881036</v>
      </c>
      <c r="M96" s="757" t="n">
        <f aca="false">N28</f>
        <v>266.438522930989</v>
      </c>
      <c r="N96" s="747" t="n">
        <f aca="false">N34</f>
        <v>0.00652125701287354</v>
      </c>
      <c r="O96" s="749"/>
    </row>
    <row r="97" customFormat="false" ht="19.5" hidden="false" customHeight="true" outlineLevel="0" collapsed="false">
      <c r="B97" s="830" t="s">
        <v>932</v>
      </c>
      <c r="C97" s="830"/>
      <c r="D97" s="830"/>
      <c r="E97" s="830"/>
      <c r="F97" s="830"/>
      <c r="G97" s="830"/>
      <c r="H97" s="702"/>
      <c r="I97" s="0"/>
      <c r="J97" s="702"/>
      <c r="K97" s="702"/>
      <c r="L97" s="757" t="n">
        <f aca="false">L95/L96</f>
        <v>1.82409531919913</v>
      </c>
      <c r="M97" s="757" t="n">
        <f aca="false">M95/M96</f>
        <v>1.77337663489755</v>
      </c>
      <c r="N97" s="757" t="n">
        <f aca="false">N95/N96</f>
        <v>3.77277711988076</v>
      </c>
      <c r="O97" s="725"/>
    </row>
    <row r="98" customFormat="false" ht="52.5" hidden="false" customHeight="true" outlineLevel="0" collapsed="false">
      <c r="B98" s="832" t="s">
        <v>933</v>
      </c>
      <c r="C98" s="832"/>
      <c r="D98" s="832"/>
      <c r="E98" s="832"/>
      <c r="F98" s="832"/>
      <c r="G98" s="832"/>
      <c r="H98" s="702"/>
      <c r="I98" s="702"/>
      <c r="J98" s="0"/>
      <c r="K98" s="0"/>
      <c r="L98" s="833" t="s">
        <v>934</v>
      </c>
      <c r="M98" s="834" t="s">
        <v>935</v>
      </c>
      <c r="N98" s="833" t="s">
        <v>936</v>
      </c>
      <c r="O98" s="833"/>
    </row>
    <row r="99" customFormat="false" ht="19.5" hidden="false" customHeight="true" outlineLevel="0" collapsed="false">
      <c r="B99" s="832"/>
      <c r="C99" s="832"/>
      <c r="D99" s="832"/>
      <c r="E99" s="832"/>
      <c r="F99" s="832"/>
      <c r="G99" s="832"/>
      <c r="H99" s="698"/>
      <c r="I99" s="698"/>
      <c r="J99" s="698"/>
      <c r="K99" s="698"/>
      <c r="L99" s="757" t="n">
        <f aca="false">L90-0.05</f>
        <v>0.120362195094358</v>
      </c>
      <c r="M99" s="835" t="n">
        <f aca="false">SQRT((0.3*M25*M22/M29)^2*(M90^2+M88^2+M89^2)+(G76/N29)^2*M92^2)</f>
        <v>0.146365956119784</v>
      </c>
      <c r="N99" s="773" t="n">
        <f aca="false">N94</f>
        <v>0.051965811965812</v>
      </c>
      <c r="O99" s="0"/>
    </row>
    <row r="100" customFormat="false" ht="75.75" hidden="false" customHeight="true" outlineLevel="0" collapsed="false">
      <c r="B100" s="836"/>
      <c r="C100" s="837"/>
      <c r="D100" s="837"/>
      <c r="E100" s="837"/>
      <c r="F100" s="837"/>
      <c r="G100" s="837"/>
      <c r="H100" s="698"/>
      <c r="I100" s="698"/>
      <c r="J100" s="698"/>
      <c r="K100" s="698"/>
      <c r="L100" s="838" t="s">
        <v>937</v>
      </c>
      <c r="M100" s="839" t="s">
        <v>938</v>
      </c>
      <c r="N100" s="838" t="s">
        <v>939</v>
      </c>
      <c r="O100" s="840"/>
    </row>
    <row r="101" customFormat="false" ht="17.25" hidden="false" customHeight="true" outlineLevel="0" collapsed="false">
      <c r="B101" s="841" t="s">
        <v>940</v>
      </c>
      <c r="C101" s="841"/>
      <c r="D101" s="841"/>
      <c r="E101" s="841"/>
      <c r="F101" s="841"/>
      <c r="G101" s="841"/>
      <c r="H101" s="698"/>
      <c r="I101" s="698"/>
      <c r="J101" s="698"/>
      <c r="K101" s="759"/>
      <c r="L101" s="842" t="n">
        <f aca="false">3.1415926*L8*(1+L102)*M16</f>
        <v>2.67035371</v>
      </c>
      <c r="M101" s="843"/>
      <c r="N101" s="844"/>
      <c r="O101" s="840"/>
    </row>
    <row r="102" customFormat="false" ht="19.5" hidden="false" customHeight="true" outlineLevel="0" collapsed="false">
      <c r="B102" s="845" t="s">
        <v>941</v>
      </c>
      <c r="C102" s="845"/>
      <c r="D102" s="845"/>
      <c r="E102" s="845"/>
      <c r="F102" s="845"/>
      <c r="G102" s="845"/>
      <c r="H102" s="845"/>
      <c r="I102" s="845"/>
      <c r="J102" s="845"/>
      <c r="K102" s="759"/>
      <c r="L102" s="846" t="n">
        <v>0.25</v>
      </c>
      <c r="M102" s="847" t="n">
        <v>0.25</v>
      </c>
      <c r="N102" s="743" t="n">
        <v>0.25</v>
      </c>
      <c r="O102" s="840"/>
    </row>
    <row r="103" customFormat="false" ht="19.5" hidden="false" customHeight="true" outlineLevel="0" collapsed="false">
      <c r="B103" s="848"/>
      <c r="C103" s="849"/>
      <c r="D103" s="849"/>
      <c r="E103" s="849"/>
      <c r="F103" s="849"/>
      <c r="G103" s="849"/>
      <c r="H103" s="849"/>
      <c r="I103" s="849"/>
      <c r="J103" s="850"/>
      <c r="K103" s="759"/>
      <c r="L103" s="851"/>
      <c r="M103" s="852"/>
      <c r="N103" s="743"/>
      <c r="O103" s="840"/>
    </row>
    <row r="104" customFormat="false" ht="19.5" hidden="false" customHeight="true" outlineLevel="0" collapsed="false">
      <c r="B104" s="848"/>
      <c r="C104" s="849"/>
      <c r="D104" s="849"/>
      <c r="E104" s="849"/>
      <c r="F104" s="849"/>
      <c r="G104" s="849"/>
      <c r="H104" s="849"/>
      <c r="I104" s="849"/>
      <c r="J104" s="850"/>
      <c r="K104" s="759"/>
      <c r="L104" s="851"/>
      <c r="M104" s="847"/>
      <c r="N104" s="743"/>
      <c r="O104" s="840"/>
    </row>
    <row r="105" customFormat="false" ht="18.75" hidden="false" customHeight="true" outlineLevel="0" collapsed="false">
      <c r="B105" s="830" t="s">
        <v>942</v>
      </c>
      <c r="C105" s="830"/>
      <c r="D105" s="830"/>
      <c r="E105" s="830"/>
      <c r="F105" s="830"/>
      <c r="G105" s="830"/>
      <c r="H105" s="768"/>
      <c r="I105" s="698"/>
      <c r="J105" s="698"/>
      <c r="K105" s="759"/>
      <c r="L105" s="853" t="n">
        <f aca="false">1/L96*SQRT(1.58*10^(-3)*(L99^2+L92^2)*(L9/L20)^4*L101^2+(L88^2+L89^2)*(2*L96-0.119*(L9/L20)^2*L101)^2)</f>
        <v>0.091761739666187</v>
      </c>
      <c r="M105" s="698" t="n">
        <v>0.05</v>
      </c>
      <c r="N105" s="766" t="n">
        <f aca="false">SQRT((H79/33)^2*N93^2+N88^2/((50/57*(L9/N19)^2*(H76/N22)^(2/3)+(1/2))^2+(N90^2+N92^2)^2/(50/19*(L9/N19)^2*(H76/N22)^(2/3)+(3/2))^2)^2)</f>
        <v>0.152297793965694</v>
      </c>
      <c r="O105" s="681"/>
    </row>
    <row r="106" customFormat="false" ht="18.75" hidden="false" customHeight="true" outlineLevel="0" collapsed="false">
      <c r="B106" s="854" t="s">
        <v>943</v>
      </c>
      <c r="C106" s="854"/>
      <c r="D106" s="854"/>
      <c r="E106" s="854"/>
      <c r="F106" s="854"/>
      <c r="G106" s="854"/>
      <c r="H106" s="698"/>
      <c r="I106" s="698"/>
      <c r="J106" s="698"/>
      <c r="K106" s="759"/>
      <c r="L106" s="853" t="n">
        <f aca="false">N62</f>
        <v>1.82409531919913</v>
      </c>
      <c r="M106" s="757" t="n">
        <f aca="false">N30</f>
        <v>1.77337663489755</v>
      </c>
      <c r="N106" s="766" t="n">
        <f aca="false">N39</f>
        <v>3.77277711988076</v>
      </c>
      <c r="O106" s="725"/>
    </row>
    <row r="107" customFormat="false" ht="18" hidden="false" customHeight="true" outlineLevel="0" collapsed="false">
      <c r="B107" s="855" t="s">
        <v>944</v>
      </c>
      <c r="C107" s="855"/>
      <c r="D107" s="855"/>
      <c r="E107" s="855"/>
      <c r="F107" s="855"/>
      <c r="G107" s="855"/>
      <c r="H107" s="698"/>
      <c r="I107" s="698"/>
      <c r="J107" s="698"/>
      <c r="K107" s="759"/>
      <c r="L107" s="697"/>
      <c r="M107" s="757"/>
      <c r="N107" s="701"/>
      <c r="O107" s="681"/>
    </row>
    <row r="108" customFormat="false" ht="18.75" hidden="false" customHeight="false" outlineLevel="0" collapsed="false">
      <c r="B108" s="829" t="s">
        <v>945</v>
      </c>
      <c r="C108" s="829"/>
      <c r="D108" s="829"/>
      <c r="E108" s="829"/>
      <c r="F108" s="829"/>
      <c r="G108" s="829"/>
      <c r="H108" s="698"/>
      <c r="I108" s="698"/>
      <c r="J108" s="698"/>
      <c r="K108" s="759"/>
      <c r="L108" s="853" t="n">
        <f aca="false">(L106-1)/SQRT(L99^2*L106^2+L105^2)</f>
        <v>3.46321673982933</v>
      </c>
      <c r="M108" s="757" t="n">
        <f aca="false">(M106-1)/SQRT(M99^2*M106^2+M105^2)</f>
        <v>2.92575645202194</v>
      </c>
      <c r="N108" s="766" t="n">
        <f aca="false">(N106-1)/SQRT(N99^2*N106^2+N105^2)</f>
        <v>11.1689051843634</v>
      </c>
      <c r="O108" s="681"/>
    </row>
    <row r="109" customFormat="false" ht="27.75" hidden="false" customHeight="true" outlineLevel="0" collapsed="false">
      <c r="B109" s="856" t="s">
        <v>946</v>
      </c>
      <c r="C109" s="856"/>
      <c r="D109" s="856"/>
      <c r="E109" s="856"/>
      <c r="F109" s="856"/>
      <c r="G109" s="856"/>
      <c r="H109" s="710"/>
      <c r="I109" s="710"/>
      <c r="J109" s="710"/>
      <c r="K109" s="857"/>
      <c r="L109" s="858" t="n">
        <f aca="false">0.5+0.5*ERF(L108/SQRT(2))</f>
        <v>0.999733120870402</v>
      </c>
      <c r="M109" s="858" t="n">
        <f aca="false">0.5+0.5*ERF(M108/SQRT(2))</f>
        <v>0.99828190085182</v>
      </c>
      <c r="N109" s="858" t="n">
        <f aca="false">0.5+0.5*ERF(N108/SQRT(2))</f>
        <v>1</v>
      </c>
      <c r="O109" s="681"/>
    </row>
    <row r="110" customFormat="false" ht="15.75" hidden="false" customHeight="false" outlineLevel="0" collapsed="false">
      <c r="B110" s="859" t="s">
        <v>947</v>
      </c>
      <c r="C110" s="678"/>
      <c r="D110" s="678"/>
      <c r="E110" s="678"/>
      <c r="F110" s="678"/>
      <c r="G110" s="678"/>
      <c r="H110" s="678"/>
      <c r="I110" s="678"/>
      <c r="J110" s="678"/>
      <c r="K110" s="678"/>
      <c r="L110" s="860" t="n">
        <v>0.97</v>
      </c>
      <c r="M110" s="860" t="n">
        <v>0.97</v>
      </c>
      <c r="N110" s="860" t="n">
        <v>0.97</v>
      </c>
    </row>
  </sheetData>
  <mergeCells count="75">
    <mergeCell ref="D1:N1"/>
    <mergeCell ref="B3:G3"/>
    <mergeCell ref="H3:N3"/>
    <mergeCell ref="B4:G4"/>
    <mergeCell ref="H4:N4"/>
    <mergeCell ref="B5:G5"/>
    <mergeCell ref="H5:N5"/>
    <mergeCell ref="B6:N6"/>
    <mergeCell ref="B7:G7"/>
    <mergeCell ref="B8:G8"/>
    <mergeCell ref="B9:G9"/>
    <mergeCell ref="B10:G10"/>
    <mergeCell ref="B11:G11"/>
    <mergeCell ref="B12:G12"/>
    <mergeCell ref="B13:G13"/>
    <mergeCell ref="B14:G14"/>
    <mergeCell ref="B15:G15"/>
    <mergeCell ref="B16:G16"/>
    <mergeCell ref="H17:K17"/>
    <mergeCell ref="B18:G18"/>
    <mergeCell ref="B19:G19"/>
    <mergeCell ref="B20:G20"/>
    <mergeCell ref="B21:G21"/>
    <mergeCell ref="B22:G22"/>
    <mergeCell ref="B23:G23"/>
    <mergeCell ref="B24:G24"/>
    <mergeCell ref="B25:G25"/>
    <mergeCell ref="B26:G26"/>
    <mergeCell ref="B27:N27"/>
    <mergeCell ref="B28:G28"/>
    <mergeCell ref="B29:G29"/>
    <mergeCell ref="B30:G30"/>
    <mergeCell ref="B31:L31"/>
    <mergeCell ref="B32:G32"/>
    <mergeCell ref="B33:G33"/>
    <mergeCell ref="B34:G34"/>
    <mergeCell ref="B35:G37"/>
    <mergeCell ref="B38:G38"/>
    <mergeCell ref="B39:G39"/>
    <mergeCell ref="B40:M40"/>
    <mergeCell ref="B42:J42"/>
    <mergeCell ref="B43:J43"/>
    <mergeCell ref="B46:K46"/>
    <mergeCell ref="B50:G50"/>
    <mergeCell ref="B51:J51"/>
    <mergeCell ref="B52:M52"/>
    <mergeCell ref="B53:M53"/>
    <mergeCell ref="B54:G54"/>
    <mergeCell ref="B55:G55"/>
    <mergeCell ref="B56:M56"/>
    <mergeCell ref="B57:G57"/>
    <mergeCell ref="B58:K58"/>
    <mergeCell ref="B59:M59"/>
    <mergeCell ref="B60:M60"/>
    <mergeCell ref="B61:J61"/>
    <mergeCell ref="B62:G62"/>
    <mergeCell ref="B78:F78"/>
    <mergeCell ref="B88:G88"/>
    <mergeCell ref="B89:G89"/>
    <mergeCell ref="B90:G90"/>
    <mergeCell ref="B91:G91"/>
    <mergeCell ref="H91:K91"/>
    <mergeCell ref="B92:G92"/>
    <mergeCell ref="H92:K92"/>
    <mergeCell ref="B95:G95"/>
    <mergeCell ref="B96:G96"/>
    <mergeCell ref="B97:G97"/>
    <mergeCell ref="B98:G99"/>
    <mergeCell ref="B101:G101"/>
    <mergeCell ref="B102:J102"/>
    <mergeCell ref="B105:G105"/>
    <mergeCell ref="B106:G106"/>
    <mergeCell ref="B107:G107"/>
    <mergeCell ref="B108:G108"/>
    <mergeCell ref="B109:G10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B2:D9"/>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E6" activeCellId="0" sqref="E6"/>
    </sheetView>
  </sheetViews>
  <sheetFormatPr defaultRowHeight="15"/>
  <cols>
    <col collapsed="false" hidden="false" max="1" min="1" style="0" width="3.54639175257732"/>
    <col collapsed="false" hidden="false" max="2" min="2" style="0" width="18.4123711340206"/>
    <col collapsed="false" hidden="false" max="3" min="3" style="0" width="25.3659793814433"/>
    <col collapsed="false" hidden="false" max="4" min="4" style="0" width="33.9587628865979"/>
    <col collapsed="false" hidden="false" max="1025" min="5" style="0" width="7.63917525773196"/>
  </cols>
  <sheetData>
    <row r="2" customFormat="false" ht="34.5" hidden="false" customHeight="true" outlineLevel="0" collapsed="false">
      <c r="B2" s="201"/>
      <c r="C2" s="861" t="s">
        <v>948</v>
      </c>
      <c r="D2" s="861"/>
    </row>
    <row r="3" customFormat="false" ht="47.25" hidden="false" customHeight="true" outlineLevel="0" collapsed="false">
      <c r="B3" s="298" t="s">
        <v>6</v>
      </c>
      <c r="C3" s="861" t="s">
        <v>949</v>
      </c>
      <c r="D3" s="861" t="s">
        <v>950</v>
      </c>
    </row>
    <row r="4" customFormat="false" ht="18.75" hidden="false" customHeight="false" outlineLevel="0" collapsed="false">
      <c r="B4" s="862" t="s">
        <v>7</v>
      </c>
      <c r="C4" s="863" t="s">
        <v>951</v>
      </c>
      <c r="D4" s="864" t="s">
        <v>952</v>
      </c>
    </row>
    <row r="5" customFormat="false" ht="18.75" hidden="false" customHeight="false" outlineLevel="0" collapsed="false">
      <c r="B5" s="865" t="s">
        <v>953</v>
      </c>
      <c r="C5" s="213" t="s">
        <v>951</v>
      </c>
      <c r="D5" s="866" t="s">
        <v>952</v>
      </c>
    </row>
    <row r="6" customFormat="false" ht="18.75" hidden="false" customHeight="false" outlineLevel="0" collapsed="false">
      <c r="B6" s="867" t="s">
        <v>51</v>
      </c>
      <c r="C6" s="213" t="s">
        <v>954</v>
      </c>
      <c r="D6" s="866" t="s">
        <v>955</v>
      </c>
    </row>
    <row r="7" customFormat="false" ht="18.75" hidden="false" customHeight="false" outlineLevel="0" collapsed="false">
      <c r="B7" s="865" t="s">
        <v>52</v>
      </c>
      <c r="C7" s="213" t="s">
        <v>956</v>
      </c>
      <c r="D7" s="866" t="s">
        <v>957</v>
      </c>
    </row>
    <row r="8" customFormat="false" ht="18.75" hidden="false" customHeight="false" outlineLevel="0" collapsed="false">
      <c r="B8" s="867" t="s">
        <v>53</v>
      </c>
      <c r="C8" s="213" t="s">
        <v>958</v>
      </c>
      <c r="D8" s="866" t="s">
        <v>959</v>
      </c>
    </row>
    <row r="9" customFormat="false" ht="18.75" hidden="false" customHeight="false" outlineLevel="0" collapsed="false">
      <c r="B9" s="868" t="s">
        <v>54</v>
      </c>
      <c r="C9" s="301" t="s">
        <v>658</v>
      </c>
      <c r="D9" s="869" t="s">
        <v>960</v>
      </c>
    </row>
  </sheetData>
  <sheetProtection sheet="true" objects="true" scenarios="true"/>
  <mergeCells count="1">
    <mergeCell ref="C2:D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2.xml><?xml version="1.0" encoding="utf-8"?>
<worksheet xmlns="http://schemas.openxmlformats.org/spreadsheetml/2006/main" xmlns:r="http://schemas.openxmlformats.org/officeDocument/2006/relationships">
  <sheetPr filterMode="false">
    <tabColor rgb="FF00B050"/>
    <pageSetUpPr fitToPage="false"/>
  </sheetPr>
  <dimension ref="B3:AR2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O46" activeCellId="0" sqref="O46"/>
    </sheetView>
  </sheetViews>
  <sheetFormatPr defaultRowHeight="15"/>
  <cols>
    <col collapsed="false" hidden="false" max="1" min="1" style="0" width="1.3659793814433"/>
    <col collapsed="false" hidden="false" max="2" min="2" style="0" width="27.5515463917526"/>
    <col collapsed="false" hidden="false" max="3" min="3" style="0" width="7.63917525773196"/>
    <col collapsed="false" hidden="false" max="4" min="4" style="0" width="1.3659793814433"/>
    <col collapsed="false" hidden="false" max="5" min="5" style="0" width="6.27319587628866"/>
    <col collapsed="false" hidden="false" max="6" min="6" style="0" width="9.68556701030928"/>
    <col collapsed="false" hidden="false" max="7" min="7" style="0" width="22.5051546391753"/>
    <col collapsed="false" hidden="false" max="10" min="8" style="0" width="7.63917525773196"/>
    <col collapsed="false" hidden="false" max="11" min="11" style="0" width="7.3659793814433"/>
    <col collapsed="false" hidden="false" max="12" min="12" style="0" width="22.5051546391753"/>
    <col collapsed="false" hidden="false" max="15" min="13" style="0" width="7.63917525773196"/>
    <col collapsed="false" hidden="false" max="16" min="16" style="0" width="7.3659793814433"/>
    <col collapsed="false" hidden="false" max="17" min="17" style="0" width="22.5051546391753"/>
    <col collapsed="false" hidden="false" max="21" min="18" style="0" width="7.63917525773196"/>
    <col collapsed="false" hidden="false" max="22" min="22" style="0" width="22.5051546391753"/>
    <col collapsed="false" hidden="false" max="25" min="23" style="0" width="7.63917525773196"/>
    <col collapsed="false" hidden="false" max="26" min="26" style="0" width="7.3659793814433"/>
    <col collapsed="false" hidden="false" max="27" min="27" style="0" width="22.5051546391753"/>
    <col collapsed="false" hidden="false" max="1025" min="28" style="0" width="7.63917525773196"/>
  </cols>
  <sheetData>
    <row r="3" customFormat="false" ht="15" hidden="false" customHeight="false" outlineLevel="0" collapsed="false">
      <c r="E3" s="870"/>
    </row>
    <row r="4" customFormat="false" ht="60" hidden="false" customHeight="true" outlineLevel="0" collapsed="false">
      <c r="D4" s="219"/>
      <c r="E4" s="871"/>
      <c r="F4" s="872" t="s">
        <v>961</v>
      </c>
      <c r="G4" s="872"/>
      <c r="H4" s="872"/>
      <c r="I4" s="872"/>
      <c r="J4" s="872"/>
      <c r="K4" s="873" t="s">
        <v>962</v>
      </c>
      <c r="L4" s="873"/>
      <c r="M4" s="873"/>
      <c r="N4" s="873"/>
      <c r="O4" s="873"/>
      <c r="P4" s="874" t="s">
        <v>963</v>
      </c>
      <c r="Q4" s="874"/>
      <c r="R4" s="874"/>
      <c r="S4" s="874"/>
      <c r="T4" s="874"/>
      <c r="U4" s="874" t="s">
        <v>964</v>
      </c>
      <c r="V4" s="874"/>
      <c r="W4" s="874"/>
      <c r="X4" s="874"/>
      <c r="Y4" s="874"/>
      <c r="Z4" s="874" t="s">
        <v>965</v>
      </c>
      <c r="AA4" s="874"/>
      <c r="AB4" s="874"/>
      <c r="AC4" s="874"/>
      <c r="AD4" s="874"/>
      <c r="AE4" s="219"/>
      <c r="AF4" s="219"/>
      <c r="AG4" s="219"/>
      <c r="AH4" s="219"/>
      <c r="AI4" s="219"/>
      <c r="AJ4" s="219"/>
      <c r="AK4" s="219"/>
      <c r="AL4" s="219"/>
      <c r="AM4" s="219"/>
      <c r="AN4" s="219"/>
      <c r="AO4" s="219"/>
      <c r="AP4" s="219"/>
      <c r="AQ4" s="219"/>
      <c r="AR4" s="219"/>
    </row>
    <row r="5" customFormat="false" ht="61.5" hidden="false" customHeight="true" outlineLevel="0" collapsed="false">
      <c r="B5" s="870" t="s">
        <v>966</v>
      </c>
      <c r="C5" s="875" t="str">
        <f aca="false">F7</f>
        <v>I.P.1</v>
      </c>
      <c r="D5" s="219"/>
      <c r="E5" s="871"/>
      <c r="F5" s="876"/>
      <c r="G5" s="876"/>
      <c r="H5" s="877" t="s">
        <v>967</v>
      </c>
      <c r="I5" s="877"/>
      <c r="J5" s="877"/>
      <c r="K5" s="876"/>
      <c r="L5" s="876"/>
      <c r="M5" s="878" t="s">
        <v>967</v>
      </c>
      <c r="N5" s="878"/>
      <c r="O5" s="878"/>
      <c r="P5" s="879"/>
      <c r="Q5" s="879"/>
      <c r="R5" s="878" t="s">
        <v>967</v>
      </c>
      <c r="S5" s="878"/>
      <c r="T5" s="878"/>
      <c r="U5" s="879"/>
      <c r="V5" s="879"/>
      <c r="W5" s="878" t="s">
        <v>967</v>
      </c>
      <c r="X5" s="878"/>
      <c r="Y5" s="878"/>
      <c r="Z5" s="879"/>
      <c r="AA5" s="879"/>
      <c r="AB5" s="878" t="s">
        <v>967</v>
      </c>
      <c r="AC5" s="878"/>
      <c r="AD5" s="878"/>
      <c r="AE5" s="219"/>
      <c r="AF5" s="219"/>
      <c r="AG5" s="219"/>
      <c r="AH5" s="219"/>
      <c r="AI5" s="219"/>
      <c r="AJ5" s="219"/>
      <c r="AK5" s="219"/>
      <c r="AL5" s="219"/>
      <c r="AM5" s="219"/>
      <c r="AN5" s="219"/>
      <c r="AO5" s="219"/>
      <c r="AP5" s="219"/>
      <c r="AQ5" s="219"/>
      <c r="AR5" s="219"/>
    </row>
    <row r="6" customFormat="false" ht="15" hidden="false" customHeight="false" outlineLevel="0" collapsed="false">
      <c r="B6" s="880" t="s">
        <v>9</v>
      </c>
      <c r="C6" s="875" t="str">
        <f aca="false">F8</f>
        <v>I.P.2</v>
      </c>
      <c r="E6" s="880" t="s">
        <v>968</v>
      </c>
      <c r="F6" s="167" t="s">
        <v>10</v>
      </c>
      <c r="G6" s="167" t="s">
        <v>77</v>
      </c>
      <c r="H6" s="167" t="s">
        <v>969</v>
      </c>
      <c r="I6" s="167" t="s">
        <v>970</v>
      </c>
      <c r="J6" s="881" t="s">
        <v>54</v>
      </c>
      <c r="K6" s="167" t="s">
        <v>10</v>
      </c>
      <c r="L6" s="167" t="s">
        <v>971</v>
      </c>
      <c r="M6" s="167" t="s">
        <v>969</v>
      </c>
      <c r="N6" s="167" t="s">
        <v>970</v>
      </c>
      <c r="O6" s="881" t="s">
        <v>54</v>
      </c>
      <c r="P6" s="167" t="s">
        <v>10</v>
      </c>
      <c r="Q6" s="167" t="s">
        <v>971</v>
      </c>
      <c r="R6" s="167" t="s">
        <v>972</v>
      </c>
      <c r="S6" s="167" t="s">
        <v>970</v>
      </c>
      <c r="T6" s="881" t="s">
        <v>54</v>
      </c>
      <c r="U6" s="167" t="s">
        <v>10</v>
      </c>
      <c r="V6" s="167" t="s">
        <v>971</v>
      </c>
      <c r="W6" s="167" t="s">
        <v>969</v>
      </c>
      <c r="X6" s="167" t="s">
        <v>970</v>
      </c>
      <c r="Y6" s="881" t="s">
        <v>54</v>
      </c>
      <c r="Z6" s="167" t="s">
        <v>10</v>
      </c>
      <c r="AA6" s="167" t="s">
        <v>971</v>
      </c>
      <c r="AB6" s="167" t="s">
        <v>969</v>
      </c>
      <c r="AC6" s="167" t="s">
        <v>970</v>
      </c>
      <c r="AD6" s="881" t="s">
        <v>54</v>
      </c>
    </row>
    <row r="7" customFormat="false" ht="15" hidden="false" customHeight="false" outlineLevel="0" collapsed="false">
      <c r="B7" s="880" t="s">
        <v>973</v>
      </c>
      <c r="C7" s="875" t="str">
        <f aca="false">F9</f>
        <v>I.P.3</v>
      </c>
      <c r="E7" s="880" t="n">
        <v>1</v>
      </c>
      <c r="F7" s="167" t="s">
        <v>974</v>
      </c>
      <c r="G7" s="167" t="s">
        <v>975</v>
      </c>
      <c r="H7" s="167" t="n">
        <v>0.72</v>
      </c>
      <c r="I7" s="167" t="n">
        <v>0.69</v>
      </c>
      <c r="J7" s="881" t="s">
        <v>976</v>
      </c>
      <c r="K7" s="167" t="str">
        <f aca="false">Таблица4[[#This Row],[Шифр дорожнього району]]</f>
        <v>I.P.1</v>
      </c>
      <c r="L7" s="167" t="s">
        <v>975</v>
      </c>
      <c r="M7" s="167" t="n">
        <v>0.74</v>
      </c>
      <c r="N7" s="167" t="n">
        <v>0.7</v>
      </c>
      <c r="O7" s="881" t="s">
        <v>976</v>
      </c>
      <c r="P7" s="167" t="str">
        <f aca="false">Таблица4[[#This Row],[Шифр дорожнього району]]</f>
        <v>I.P.1</v>
      </c>
      <c r="Q7" s="167" t="s">
        <v>975</v>
      </c>
      <c r="R7" s="167" t="n">
        <v>0.75</v>
      </c>
      <c r="S7" s="167" t="n">
        <v>0.72</v>
      </c>
      <c r="T7" s="881" t="s">
        <v>976</v>
      </c>
      <c r="U7" s="167" t="str">
        <f aca="false">Таблица4[[#This Row],[Шифр дорожнього району]]</f>
        <v>I.P.1</v>
      </c>
      <c r="V7" s="167" t="s">
        <v>975</v>
      </c>
      <c r="W7" s="167" t="n">
        <v>0.65</v>
      </c>
      <c r="X7" s="167" t="n">
        <v>0.62</v>
      </c>
      <c r="Y7" s="881" t="s">
        <v>976</v>
      </c>
      <c r="Z7" s="167" t="str">
        <f aca="false">Таблица4[[#This Row],[Шифр дорожнього району]]</f>
        <v>I.P.1</v>
      </c>
      <c r="AA7" s="167" t="s">
        <v>975</v>
      </c>
      <c r="AB7" s="167" t="n">
        <v>0.66</v>
      </c>
      <c r="AC7" s="167" t="n">
        <v>0.63</v>
      </c>
      <c r="AD7" s="881" t="s">
        <v>976</v>
      </c>
    </row>
    <row r="8" customFormat="false" ht="15" hidden="false" customHeight="false" outlineLevel="0" collapsed="false">
      <c r="B8" s="880" t="s">
        <v>977</v>
      </c>
      <c r="C8" s="875" t="str">
        <f aca="false">F10</f>
        <v>II.P.4</v>
      </c>
      <c r="E8" s="880" t="n">
        <v>2</v>
      </c>
      <c r="F8" s="167" t="s">
        <v>978</v>
      </c>
      <c r="G8" s="167" t="s">
        <v>266</v>
      </c>
      <c r="H8" s="167" t="n">
        <v>0.74</v>
      </c>
      <c r="I8" s="167" t="n">
        <v>0.71</v>
      </c>
      <c r="J8" s="881" t="s">
        <v>976</v>
      </c>
      <c r="K8" s="167" t="str">
        <f aca="false">Таблица4[[#This Row],[Шифр дорожнього району]]</f>
        <v>I.P.2</v>
      </c>
      <c r="L8" s="167" t="s">
        <v>266</v>
      </c>
      <c r="M8" s="167" t="n">
        <v>0.76</v>
      </c>
      <c r="N8" s="167" t="n">
        <v>0.73</v>
      </c>
      <c r="O8" s="881" t="s">
        <v>976</v>
      </c>
      <c r="P8" s="167" t="str">
        <f aca="false">Таблица4[[#This Row],[Шифр дорожнього району]]</f>
        <v>I.P.2</v>
      </c>
      <c r="Q8" s="167" t="s">
        <v>266</v>
      </c>
      <c r="R8" s="167" t="n">
        <v>0.78</v>
      </c>
      <c r="S8" s="167" t="n">
        <v>0.74</v>
      </c>
      <c r="T8" s="881" t="s">
        <v>976</v>
      </c>
      <c r="U8" s="167" t="str">
        <f aca="false">Таблица4[[#This Row],[Шифр дорожнього району]]</f>
        <v>I.P.2</v>
      </c>
      <c r="V8" s="167" t="s">
        <v>266</v>
      </c>
      <c r="W8" s="167" t="n">
        <v>0.67</v>
      </c>
      <c r="X8" s="167" t="n">
        <v>0.65</v>
      </c>
      <c r="Y8" s="881" t="s">
        <v>976</v>
      </c>
      <c r="Z8" s="167" t="str">
        <f aca="false">Таблица4[[#This Row],[Шифр дорожнього району]]</f>
        <v>I.P.2</v>
      </c>
      <c r="AA8" s="167" t="s">
        <v>266</v>
      </c>
      <c r="AB8" s="167" t="n">
        <v>0.68</v>
      </c>
      <c r="AC8" s="167" t="n">
        <v>0.66</v>
      </c>
      <c r="AD8" s="881" t="s">
        <v>976</v>
      </c>
    </row>
    <row r="9" customFormat="false" ht="15" hidden="false" customHeight="false" outlineLevel="0" collapsed="false">
      <c r="B9" s="880" t="s">
        <v>979</v>
      </c>
      <c r="C9" s="875" t="str">
        <f aca="false">F11</f>
        <v>II.P.5</v>
      </c>
      <c r="E9" s="880" t="n">
        <v>3</v>
      </c>
      <c r="F9" s="167" t="s">
        <v>980</v>
      </c>
      <c r="G9" s="167" t="s">
        <v>266</v>
      </c>
      <c r="H9" s="167" t="n">
        <v>0.7</v>
      </c>
      <c r="I9" s="167" t="n">
        <v>0.67</v>
      </c>
      <c r="J9" s="881" t="s">
        <v>976</v>
      </c>
      <c r="K9" s="167" t="str">
        <f aca="false">Таблица4[[#This Row],[Шифр дорожнього району]]</f>
        <v>I.P.3</v>
      </c>
      <c r="L9" s="167" t="s">
        <v>266</v>
      </c>
      <c r="M9" s="167" t="n">
        <v>0.71</v>
      </c>
      <c r="N9" s="167" t="n">
        <v>0.69</v>
      </c>
      <c r="O9" s="881" t="s">
        <v>976</v>
      </c>
      <c r="P9" s="167" t="str">
        <f aca="false">Таблица4[[#This Row],[Шифр дорожнього району]]</f>
        <v>I.P.3</v>
      </c>
      <c r="Q9" s="167" t="s">
        <v>266</v>
      </c>
      <c r="R9" s="167" t="n">
        <v>0.74</v>
      </c>
      <c r="S9" s="167" t="n">
        <v>0.7</v>
      </c>
      <c r="T9" s="881" t="s">
        <v>976</v>
      </c>
      <c r="U9" s="167" t="str">
        <f aca="false">Таблица4[[#This Row],[Шифр дорожнього району]]</f>
        <v>I.P.3</v>
      </c>
      <c r="V9" s="167" t="s">
        <v>266</v>
      </c>
      <c r="W9" s="167" t="n">
        <v>0.63</v>
      </c>
      <c r="X9" s="167" t="n">
        <v>0.61</v>
      </c>
      <c r="Y9" s="881" t="s">
        <v>976</v>
      </c>
      <c r="Z9" s="167" t="str">
        <f aca="false">Таблица4[[#This Row],[Шифр дорожнього району]]</f>
        <v>I.P.3</v>
      </c>
      <c r="AA9" s="167" t="s">
        <v>266</v>
      </c>
      <c r="AB9" s="167" t="n">
        <v>0.64</v>
      </c>
      <c r="AC9" s="167" t="n">
        <v>0.62</v>
      </c>
      <c r="AD9" s="881" t="s">
        <v>976</v>
      </c>
    </row>
    <row r="10" customFormat="false" ht="15" hidden="false" customHeight="false" outlineLevel="0" collapsed="false">
      <c r="B10" s="882" t="s">
        <v>981</v>
      </c>
      <c r="C10" s="875" t="str">
        <f aca="false">F12</f>
        <v>II.P.6</v>
      </c>
      <c r="E10" s="880" t="n">
        <v>4</v>
      </c>
      <c r="F10" s="167" t="s">
        <v>982</v>
      </c>
      <c r="G10" s="167" t="s">
        <v>266</v>
      </c>
      <c r="H10" s="167" t="n">
        <v>0.69</v>
      </c>
      <c r="I10" s="167" t="n">
        <v>0.66</v>
      </c>
      <c r="J10" s="881" t="s">
        <v>976</v>
      </c>
      <c r="K10" s="167" t="str">
        <f aca="false">Таблица4[[#This Row],[Шифр дорожнього району]]</f>
        <v>II.P.4</v>
      </c>
      <c r="L10" s="167" t="s">
        <v>266</v>
      </c>
      <c r="M10" s="167" t="n">
        <v>0.7</v>
      </c>
      <c r="N10" s="167" t="n">
        <v>0.68</v>
      </c>
      <c r="O10" s="881" t="s">
        <v>976</v>
      </c>
      <c r="P10" s="167" t="str">
        <f aca="false">Таблица4[[#This Row],[Шифр дорожнього району]]</f>
        <v>II.P.4</v>
      </c>
      <c r="Q10" s="167" t="s">
        <v>266</v>
      </c>
      <c r="R10" s="167" t="n">
        <v>0.72</v>
      </c>
      <c r="S10" s="167" t="n">
        <v>0.69</v>
      </c>
      <c r="T10" s="881" t="s">
        <v>976</v>
      </c>
      <c r="U10" s="167" t="str">
        <f aca="false">Таблица4[[#This Row],[Шифр дорожнього району]]</f>
        <v>II.P.4</v>
      </c>
      <c r="V10" s="167" t="s">
        <v>266</v>
      </c>
      <c r="W10" s="167" t="n">
        <v>0.62</v>
      </c>
      <c r="X10" s="167" t="n">
        <v>0.6</v>
      </c>
      <c r="Y10" s="881" t="s">
        <v>976</v>
      </c>
      <c r="Z10" s="167" t="str">
        <f aca="false">Таблица4[[#This Row],[Шифр дорожнього району]]</f>
        <v>II.P.4</v>
      </c>
      <c r="AA10" s="167" t="s">
        <v>266</v>
      </c>
      <c r="AB10" s="167" t="n">
        <v>0.63</v>
      </c>
      <c r="AC10" s="167" t="n">
        <v>0.61</v>
      </c>
      <c r="AD10" s="881" t="s">
        <v>976</v>
      </c>
    </row>
    <row r="11" customFormat="false" ht="15" hidden="false" customHeight="false" outlineLevel="0" collapsed="false">
      <c r="C11" s="875" t="str">
        <f aca="false">F13</f>
        <v>IV.Г.7</v>
      </c>
      <c r="E11" s="880" t="n">
        <v>5</v>
      </c>
      <c r="F11" s="167" t="s">
        <v>11</v>
      </c>
      <c r="G11" s="167" t="s">
        <v>266</v>
      </c>
      <c r="H11" s="167" t="n">
        <v>0.71</v>
      </c>
      <c r="I11" s="167" t="n">
        <v>0.68</v>
      </c>
      <c r="J11" s="881" t="s">
        <v>976</v>
      </c>
      <c r="K11" s="167" t="str">
        <f aca="false">Таблица4[[#This Row],[Шифр дорожнього району]]</f>
        <v>II.P.5</v>
      </c>
      <c r="L11" s="167" t="s">
        <v>266</v>
      </c>
      <c r="M11" s="167" t="n">
        <v>0.72</v>
      </c>
      <c r="N11" s="167" t="n">
        <v>0.7</v>
      </c>
      <c r="O11" s="881" t="s">
        <v>976</v>
      </c>
      <c r="P11" s="167" t="str">
        <f aca="false">Таблица4[[#This Row],[Шифр дорожнього району]]</f>
        <v>II.P.5</v>
      </c>
      <c r="Q11" s="167" t="s">
        <v>266</v>
      </c>
      <c r="R11" s="167" t="n">
        <v>0.74</v>
      </c>
      <c r="S11" s="167" t="n">
        <v>0.71</v>
      </c>
      <c r="T11" s="881" t="s">
        <v>976</v>
      </c>
      <c r="U11" s="167" t="str">
        <f aca="false">Таблица4[[#This Row],[Шифр дорожнього району]]</f>
        <v>II.P.5</v>
      </c>
      <c r="V11" s="167" t="s">
        <v>266</v>
      </c>
      <c r="W11" s="167" t="n">
        <v>0.64</v>
      </c>
      <c r="X11" s="167" t="n">
        <v>0.62</v>
      </c>
      <c r="Y11" s="881" t="s">
        <v>976</v>
      </c>
      <c r="Z11" s="167" t="str">
        <f aca="false">Таблица4[[#This Row],[Шифр дорожнього району]]</f>
        <v>II.P.5</v>
      </c>
      <c r="AA11" s="167" t="s">
        <v>266</v>
      </c>
      <c r="AB11" s="167" t="n">
        <v>0.65</v>
      </c>
      <c r="AC11" s="167" t="n">
        <v>0.63</v>
      </c>
      <c r="AD11" s="881" t="s">
        <v>976</v>
      </c>
    </row>
    <row r="12" customFormat="false" ht="15" hidden="false" customHeight="false" outlineLevel="0" collapsed="false">
      <c r="B12" s="883" t="s">
        <v>7</v>
      </c>
      <c r="C12" s="875" t="str">
        <f aca="false">F14</f>
        <v>IV.Г.8</v>
      </c>
      <c r="E12" s="880" t="n">
        <v>6</v>
      </c>
      <c r="F12" s="167" t="s">
        <v>983</v>
      </c>
      <c r="G12" s="167" t="s">
        <v>984</v>
      </c>
      <c r="H12" s="167" t="n">
        <v>0.61</v>
      </c>
      <c r="I12" s="167" t="n">
        <v>0.59</v>
      </c>
      <c r="J12" s="881" t="s">
        <v>976</v>
      </c>
      <c r="K12" s="167" t="str">
        <f aca="false">Таблица4[[#This Row],[Шифр дорожнього району]]</f>
        <v>II.P.6</v>
      </c>
      <c r="L12" s="167" t="s">
        <v>984</v>
      </c>
      <c r="M12" s="167" t="n">
        <v>0.63</v>
      </c>
      <c r="N12" s="167" t="n">
        <v>0.6</v>
      </c>
      <c r="O12" s="881" t="s">
        <v>976</v>
      </c>
      <c r="P12" s="167" t="str">
        <f aca="false">Таблица4[[#This Row],[Шифр дорожнього району]]</f>
        <v>II.P.6</v>
      </c>
      <c r="Q12" s="167" t="s">
        <v>984</v>
      </c>
      <c r="R12" s="167" t="n">
        <v>0.64</v>
      </c>
      <c r="S12" s="167" t="n">
        <v>0.61</v>
      </c>
      <c r="T12" s="881" t="s">
        <v>976</v>
      </c>
      <c r="U12" s="167" t="str">
        <f aca="false">Таблица4[[#This Row],[Шифр дорожнього району]]</f>
        <v>II.P.6</v>
      </c>
      <c r="V12" s="167" t="s">
        <v>984</v>
      </c>
      <c r="W12" s="167" t="n">
        <v>0.55</v>
      </c>
      <c r="X12" s="167" t="n">
        <v>0.53</v>
      </c>
      <c r="Y12" s="881" t="s">
        <v>976</v>
      </c>
      <c r="Z12" s="167" t="str">
        <f aca="false">Таблица4[[#This Row],[Шифр дорожнього району]]</f>
        <v>II.P.6</v>
      </c>
      <c r="AA12" s="167" t="s">
        <v>984</v>
      </c>
      <c r="AB12" s="167" t="n">
        <v>0.56</v>
      </c>
      <c r="AC12" s="167" t="n">
        <v>0.54</v>
      </c>
      <c r="AD12" s="881" t="s">
        <v>976</v>
      </c>
    </row>
    <row r="13" customFormat="false" ht="15" hidden="false" customHeight="false" outlineLevel="0" collapsed="false">
      <c r="B13" s="884" t="s">
        <v>953</v>
      </c>
      <c r="C13" s="875" t="str">
        <f aca="false">F15</f>
        <v>III.P.9</v>
      </c>
      <c r="E13" s="880" t="n">
        <v>7</v>
      </c>
      <c r="F13" s="167" t="s">
        <v>985</v>
      </c>
      <c r="G13" s="167" t="s">
        <v>266</v>
      </c>
      <c r="H13" s="167" t="n">
        <v>0.83</v>
      </c>
      <c r="I13" s="167" t="n">
        <v>0.8</v>
      </c>
      <c r="J13" s="881" t="s">
        <v>976</v>
      </c>
      <c r="K13" s="167" t="str">
        <f aca="false">Таблица4[[#This Row],[Шифр дорожнього району]]</f>
        <v>IV.Г.7</v>
      </c>
      <c r="L13" s="167" t="s">
        <v>266</v>
      </c>
      <c r="M13" s="167" t="n">
        <v>0.85</v>
      </c>
      <c r="N13" s="167" t="n">
        <v>0.82</v>
      </c>
      <c r="O13" s="881" t="s">
        <v>976</v>
      </c>
      <c r="P13" s="167" t="str">
        <f aca="false">Таблица4[[#This Row],[Шифр дорожнього району]]</f>
        <v>IV.Г.7</v>
      </c>
      <c r="Q13" s="167" t="s">
        <v>266</v>
      </c>
      <c r="R13" s="167" t="n">
        <v>0.87</v>
      </c>
      <c r="S13" s="167" t="n">
        <v>0.83</v>
      </c>
      <c r="T13" s="881" t="s">
        <v>976</v>
      </c>
      <c r="U13" s="167" t="str">
        <f aca="false">Таблица4[[#This Row],[Шифр дорожнього району]]</f>
        <v>IV.Г.7</v>
      </c>
      <c r="V13" s="167" t="s">
        <v>266</v>
      </c>
      <c r="W13" s="167" t="n">
        <v>0.75</v>
      </c>
      <c r="X13" s="167" t="n">
        <v>0.72</v>
      </c>
      <c r="Y13" s="881" t="s">
        <v>976</v>
      </c>
      <c r="Z13" s="167" t="str">
        <f aca="false">Таблица4[[#This Row],[Шифр дорожнього району]]</f>
        <v>IV.Г.7</v>
      </c>
      <c r="AA13" s="167" t="s">
        <v>266</v>
      </c>
      <c r="AB13" s="167" t="n">
        <v>0.76</v>
      </c>
      <c r="AC13" s="167" t="n">
        <v>0.73</v>
      </c>
      <c r="AD13" s="881" t="s">
        <v>976</v>
      </c>
    </row>
    <row r="14" customFormat="false" ht="15" hidden="false" customHeight="false" outlineLevel="0" collapsed="false">
      <c r="B14" s="884" t="s">
        <v>51</v>
      </c>
      <c r="C14" s="875" t="str">
        <f aca="false">F16</f>
        <v>III.P.10</v>
      </c>
      <c r="E14" s="880" t="n">
        <v>8</v>
      </c>
      <c r="F14" s="167" t="s">
        <v>986</v>
      </c>
      <c r="G14" s="167" t="s">
        <v>987</v>
      </c>
      <c r="H14" s="167" t="n">
        <v>0.72</v>
      </c>
      <c r="I14" s="167" t="n">
        <v>0.69</v>
      </c>
      <c r="J14" s="881" t="s">
        <v>976</v>
      </c>
      <c r="K14" s="167" t="str">
        <f aca="false">Таблица4[[#This Row],[Шифр дорожнього району]]</f>
        <v>IV.Г.8</v>
      </c>
      <c r="L14" s="167" t="s">
        <v>987</v>
      </c>
      <c r="M14" s="167" t="n">
        <v>0.74</v>
      </c>
      <c r="N14" s="167" t="n">
        <v>0.7</v>
      </c>
      <c r="O14" s="881" t="s">
        <v>976</v>
      </c>
      <c r="P14" s="167" t="str">
        <f aca="false">Таблица4[[#This Row],[Шифр дорожнього району]]</f>
        <v>IV.Г.8</v>
      </c>
      <c r="Q14" s="167" t="s">
        <v>987</v>
      </c>
      <c r="R14" s="167" t="n">
        <v>0.75</v>
      </c>
      <c r="S14" s="167" t="n">
        <v>0.72</v>
      </c>
      <c r="T14" s="881" t="s">
        <v>976</v>
      </c>
      <c r="U14" s="167" t="str">
        <f aca="false">Таблица4[[#This Row],[Шифр дорожнього району]]</f>
        <v>IV.Г.8</v>
      </c>
      <c r="V14" s="167" t="s">
        <v>987</v>
      </c>
      <c r="W14" s="167" t="n">
        <v>0.65</v>
      </c>
      <c r="X14" s="167" t="n">
        <v>0.62</v>
      </c>
      <c r="Y14" s="881" t="s">
        <v>976</v>
      </c>
      <c r="Z14" s="167" t="str">
        <f aca="false">Таблица4[[#This Row],[Шифр дорожнього району]]</f>
        <v>IV.Г.8</v>
      </c>
      <c r="AA14" s="167" t="s">
        <v>987</v>
      </c>
      <c r="AB14" s="167" t="n">
        <v>0.66</v>
      </c>
      <c r="AC14" s="167" t="n">
        <v>0.63</v>
      </c>
      <c r="AD14" s="881" t="s">
        <v>976</v>
      </c>
    </row>
    <row r="15" customFormat="false" ht="15" hidden="false" customHeight="false" outlineLevel="0" collapsed="false">
      <c r="B15" s="884" t="s">
        <v>52</v>
      </c>
      <c r="C15" s="875" t="str">
        <f aca="false">F17</f>
        <v>III.P.11</v>
      </c>
      <c r="E15" s="880" t="n">
        <v>9</v>
      </c>
      <c r="F15" s="167" t="s">
        <v>988</v>
      </c>
      <c r="G15" s="167" t="s">
        <v>984</v>
      </c>
      <c r="H15" s="167" t="n">
        <v>0.61</v>
      </c>
      <c r="I15" s="167" t="n">
        <v>0.59</v>
      </c>
      <c r="J15" s="881" t="s">
        <v>976</v>
      </c>
      <c r="K15" s="167" t="str">
        <f aca="false">Таблица4[[#This Row],[Шифр дорожнього району]]</f>
        <v>III.P.9</v>
      </c>
      <c r="L15" s="167" t="s">
        <v>984</v>
      </c>
      <c r="M15" s="167" t="n">
        <v>0.63</v>
      </c>
      <c r="N15" s="167" t="n">
        <v>0.6</v>
      </c>
      <c r="O15" s="881" t="s">
        <v>976</v>
      </c>
      <c r="P15" s="167" t="str">
        <f aca="false">Таблица4[[#This Row],[Шифр дорожнього району]]</f>
        <v>III.P.9</v>
      </c>
      <c r="Q15" s="167" t="s">
        <v>984</v>
      </c>
      <c r="R15" s="167" t="n">
        <v>0.64</v>
      </c>
      <c r="S15" s="167" t="n">
        <v>0.61</v>
      </c>
      <c r="T15" s="881" t="s">
        <v>976</v>
      </c>
      <c r="U15" s="167" t="str">
        <f aca="false">Таблица4[[#This Row],[Шифр дорожнього району]]</f>
        <v>III.P.9</v>
      </c>
      <c r="V15" s="167" t="s">
        <v>984</v>
      </c>
      <c r="W15" s="167" t="n">
        <v>0.55</v>
      </c>
      <c r="X15" s="167" t="n">
        <v>0.53</v>
      </c>
      <c r="Y15" s="881" t="s">
        <v>976</v>
      </c>
      <c r="Z15" s="167" t="str">
        <f aca="false">Таблица4[[#This Row],[Шифр дорожнього району]]</f>
        <v>III.P.9</v>
      </c>
      <c r="AA15" s="167" t="s">
        <v>984</v>
      </c>
      <c r="AB15" s="167" t="n">
        <v>0.56</v>
      </c>
      <c r="AC15" s="167" t="n">
        <v>0.54</v>
      </c>
      <c r="AD15" s="881" t="s">
        <v>976</v>
      </c>
    </row>
    <row r="16" customFormat="false" ht="15" hidden="false" customHeight="false" outlineLevel="0" collapsed="false">
      <c r="B16" s="884" t="s">
        <v>53</v>
      </c>
      <c r="C16" s="875" t="str">
        <f aca="false">F18</f>
        <v>III.P.12</v>
      </c>
      <c r="E16" s="880" t="n">
        <v>10</v>
      </c>
      <c r="F16" s="167" t="s">
        <v>989</v>
      </c>
      <c r="G16" s="167" t="s">
        <v>984</v>
      </c>
      <c r="H16" s="167" t="n">
        <v>0.63</v>
      </c>
      <c r="I16" s="167" t="n">
        <v>0.6</v>
      </c>
      <c r="J16" s="881" t="s">
        <v>976</v>
      </c>
      <c r="K16" s="167" t="str">
        <f aca="false">Таблица4[[#This Row],[Шифр дорожнього району]]</f>
        <v>III.P.10</v>
      </c>
      <c r="L16" s="167" t="s">
        <v>984</v>
      </c>
      <c r="M16" s="167" t="n">
        <v>0.64</v>
      </c>
      <c r="N16" s="167" t="n">
        <v>0.62</v>
      </c>
      <c r="O16" s="881" t="s">
        <v>976</v>
      </c>
      <c r="P16" s="167" t="str">
        <f aca="false">Таблица4[[#This Row],[Шифр дорожнього району]]</f>
        <v>III.P.10</v>
      </c>
      <c r="Q16" s="167" t="s">
        <v>984</v>
      </c>
      <c r="R16" s="167" t="n">
        <v>0.66</v>
      </c>
      <c r="S16" s="167" t="n">
        <v>0.63</v>
      </c>
      <c r="T16" s="881" t="s">
        <v>976</v>
      </c>
      <c r="U16" s="167" t="str">
        <f aca="false">Таблица4[[#This Row],[Шифр дорожнього району]]</f>
        <v>III.P.10</v>
      </c>
      <c r="V16" s="167" t="s">
        <v>984</v>
      </c>
      <c r="W16" s="167" t="n">
        <v>0.57</v>
      </c>
      <c r="X16" s="167" t="n">
        <v>0.55</v>
      </c>
      <c r="Y16" s="881" t="s">
        <v>976</v>
      </c>
      <c r="Z16" s="167" t="str">
        <f aca="false">Таблица4[[#This Row],[Шифр дорожнього району]]</f>
        <v>III.P.10</v>
      </c>
      <c r="AA16" s="167" t="s">
        <v>984</v>
      </c>
      <c r="AB16" s="167" t="n">
        <v>0.58</v>
      </c>
      <c r="AC16" s="167" t="n">
        <v>0.55</v>
      </c>
      <c r="AD16" s="881" t="s">
        <v>976</v>
      </c>
    </row>
    <row r="17" customFormat="false" ht="15" hidden="false" customHeight="false" outlineLevel="0" collapsed="false">
      <c r="B17" s="885" t="s">
        <v>54</v>
      </c>
      <c r="C17" s="875" t="str">
        <f aca="false">F19</f>
        <v>III.P.13</v>
      </c>
      <c r="E17" s="880" t="n">
        <v>11</v>
      </c>
      <c r="F17" s="167" t="s">
        <v>990</v>
      </c>
      <c r="G17" s="167" t="s">
        <v>987</v>
      </c>
      <c r="H17" s="167" t="n">
        <v>0.72</v>
      </c>
      <c r="I17" s="167" t="n">
        <v>0.69</v>
      </c>
      <c r="J17" s="881" t="s">
        <v>976</v>
      </c>
      <c r="K17" s="167" t="str">
        <f aca="false">Таблица4[[#This Row],[Шифр дорожнього району]]</f>
        <v>III.P.11</v>
      </c>
      <c r="L17" s="167" t="s">
        <v>987</v>
      </c>
      <c r="M17" s="167" t="n">
        <v>0.74</v>
      </c>
      <c r="N17" s="167" t="n">
        <v>0.7</v>
      </c>
      <c r="O17" s="881" t="s">
        <v>976</v>
      </c>
      <c r="P17" s="167" t="str">
        <f aca="false">Таблица4[[#This Row],[Шифр дорожнього району]]</f>
        <v>III.P.11</v>
      </c>
      <c r="Q17" s="167" t="s">
        <v>987</v>
      </c>
      <c r="R17" s="167" t="n">
        <v>0.75</v>
      </c>
      <c r="S17" s="167" t="n">
        <v>0.72</v>
      </c>
      <c r="T17" s="881" t="s">
        <v>976</v>
      </c>
      <c r="U17" s="167" t="str">
        <f aca="false">Таблица4[[#This Row],[Шифр дорожнього району]]</f>
        <v>III.P.11</v>
      </c>
      <c r="V17" s="167" t="s">
        <v>987</v>
      </c>
      <c r="W17" s="167" t="n">
        <v>0.65</v>
      </c>
      <c r="X17" s="167" t="n">
        <v>0.62</v>
      </c>
      <c r="Y17" s="881" t="s">
        <v>976</v>
      </c>
      <c r="Z17" s="167" t="str">
        <f aca="false">Таблица4[[#This Row],[Шифр дорожнього району]]</f>
        <v>III.P.11</v>
      </c>
      <c r="AA17" s="167" t="s">
        <v>987</v>
      </c>
      <c r="AB17" s="167" t="n">
        <v>0.66</v>
      </c>
      <c r="AC17" s="167" t="n">
        <v>0.63</v>
      </c>
      <c r="AD17" s="881" t="s">
        <v>976</v>
      </c>
    </row>
    <row r="18" customFormat="false" ht="15" hidden="false" customHeight="false" outlineLevel="0" collapsed="false">
      <c r="C18" s="875" t="str">
        <f aca="false">F20</f>
        <v>III.P.14</v>
      </c>
      <c r="E18" s="880" t="n">
        <v>12</v>
      </c>
      <c r="F18" s="167" t="s">
        <v>991</v>
      </c>
      <c r="G18" s="167" t="s">
        <v>987</v>
      </c>
      <c r="H18" s="167" t="n">
        <v>0.69</v>
      </c>
      <c r="I18" s="167" t="n">
        <v>0.66</v>
      </c>
      <c r="J18" s="881" t="s">
        <v>976</v>
      </c>
      <c r="K18" s="167" t="str">
        <f aca="false">Таблица4[[#This Row],[Шифр дорожнього району]]</f>
        <v>III.P.12</v>
      </c>
      <c r="L18" s="167" t="s">
        <v>987</v>
      </c>
      <c r="M18" s="167" t="n">
        <v>0.7</v>
      </c>
      <c r="N18" s="167" t="n">
        <v>0.68</v>
      </c>
      <c r="O18" s="881" t="s">
        <v>976</v>
      </c>
      <c r="P18" s="167" t="str">
        <f aca="false">Таблица4[[#This Row],[Шифр дорожнього району]]</f>
        <v>III.P.12</v>
      </c>
      <c r="Q18" s="167" t="s">
        <v>987</v>
      </c>
      <c r="R18" s="167" t="n">
        <v>0.72</v>
      </c>
      <c r="S18" s="167" t="n">
        <v>0.69</v>
      </c>
      <c r="T18" s="881" t="s">
        <v>976</v>
      </c>
      <c r="U18" s="167" t="str">
        <f aca="false">Таблица4[[#This Row],[Шифр дорожнього району]]</f>
        <v>III.P.12</v>
      </c>
      <c r="V18" s="167" t="s">
        <v>987</v>
      </c>
      <c r="W18" s="167" t="n">
        <v>0.62</v>
      </c>
      <c r="X18" s="167" t="n">
        <v>0.6</v>
      </c>
      <c r="Y18" s="881" t="s">
        <v>976</v>
      </c>
      <c r="Z18" s="167" t="str">
        <f aca="false">Таблица4[[#This Row],[Шифр дорожнього району]]</f>
        <v>III.P.12</v>
      </c>
      <c r="AA18" s="167" t="s">
        <v>987</v>
      </c>
      <c r="AB18" s="167" t="n">
        <v>0.63</v>
      </c>
      <c r="AC18" s="167" t="n">
        <v>0.61</v>
      </c>
      <c r="AD18" s="881" t="s">
        <v>976</v>
      </c>
    </row>
    <row r="19" customFormat="false" ht="15" hidden="false" customHeight="false" outlineLevel="0" collapsed="false">
      <c r="C19" s="875" t="str">
        <f aca="false">F21</f>
        <v>III.P.15</v>
      </c>
      <c r="E19" s="880" t="n">
        <v>13</v>
      </c>
      <c r="F19" s="167" t="s">
        <v>992</v>
      </c>
      <c r="G19" s="167" t="s">
        <v>984</v>
      </c>
      <c r="H19" s="167" t="n">
        <v>0.58</v>
      </c>
      <c r="I19" s="167" t="n">
        <v>0.55</v>
      </c>
      <c r="J19" s="881" t="s">
        <v>976</v>
      </c>
      <c r="K19" s="167" t="str">
        <f aca="false">Таблица4[[#This Row],[Шифр дорожнього району]]</f>
        <v>III.P.13</v>
      </c>
      <c r="L19" s="167" t="s">
        <v>984</v>
      </c>
      <c r="M19" s="167" t="n">
        <v>0.59</v>
      </c>
      <c r="N19" s="167" t="n">
        <v>0.56</v>
      </c>
      <c r="O19" s="881" t="s">
        <v>976</v>
      </c>
      <c r="P19" s="167" t="str">
        <f aca="false">Таблица4[[#This Row],[Шифр дорожнього району]]</f>
        <v>III.P.13</v>
      </c>
      <c r="Q19" s="167" t="s">
        <v>984</v>
      </c>
      <c r="R19" s="167" t="n">
        <v>0.61</v>
      </c>
      <c r="S19" s="167" t="n">
        <v>0.58</v>
      </c>
      <c r="T19" s="881" t="s">
        <v>976</v>
      </c>
      <c r="U19" s="167" t="str">
        <f aca="false">Таблица4[[#This Row],[Шифр дорожнього району]]</f>
        <v>III.P.13</v>
      </c>
      <c r="V19" s="167" t="s">
        <v>984</v>
      </c>
      <c r="W19" s="167" t="n">
        <v>0.52</v>
      </c>
      <c r="X19" s="167" t="n">
        <v>0.5</v>
      </c>
      <c r="Y19" s="881" t="s">
        <v>976</v>
      </c>
      <c r="Z19" s="167" t="str">
        <f aca="false">Таблица4[[#This Row],[Шифр дорожнього району]]</f>
        <v>III.P.13</v>
      </c>
      <c r="AA19" s="167" t="s">
        <v>984</v>
      </c>
      <c r="AB19" s="167" t="n">
        <v>0.53</v>
      </c>
      <c r="AC19" s="167" t="n">
        <v>0.51</v>
      </c>
      <c r="AD19" s="881" t="s">
        <v>976</v>
      </c>
    </row>
    <row r="20" customFormat="false" ht="15" hidden="false" customHeight="false" outlineLevel="0" collapsed="false">
      <c r="C20" s="875" t="str">
        <f aca="false">F22</f>
        <v>III.Г.16</v>
      </c>
      <c r="E20" s="880" t="n">
        <v>14</v>
      </c>
      <c r="F20" s="167" t="s">
        <v>993</v>
      </c>
      <c r="G20" s="167" t="s">
        <v>987</v>
      </c>
      <c r="H20" s="167" t="n">
        <v>0.56</v>
      </c>
      <c r="I20" s="167" t="n">
        <v>0.54</v>
      </c>
      <c r="J20" s="881" t="s">
        <v>976</v>
      </c>
      <c r="K20" s="167" t="str">
        <f aca="false">Таблица4[[#This Row],[Шифр дорожнього району]]</f>
        <v>III.P.14</v>
      </c>
      <c r="L20" s="167" t="s">
        <v>987</v>
      </c>
      <c r="M20" s="167" t="n">
        <v>0.57</v>
      </c>
      <c r="N20" s="167" t="n">
        <v>0.55</v>
      </c>
      <c r="O20" s="881" t="s">
        <v>976</v>
      </c>
      <c r="P20" s="167" t="str">
        <f aca="false">Таблица4[[#This Row],[Шифр дорожнього району]]</f>
        <v>III.P.14</v>
      </c>
      <c r="Q20" s="167" t="s">
        <v>987</v>
      </c>
      <c r="R20" s="167" t="n">
        <v>0.59</v>
      </c>
      <c r="S20" s="167" t="n">
        <v>0.56</v>
      </c>
      <c r="T20" s="881" t="s">
        <v>976</v>
      </c>
      <c r="U20" s="167" t="str">
        <f aca="false">Таблица4[[#This Row],[Шифр дорожнього району]]</f>
        <v>III.P.14</v>
      </c>
      <c r="V20" s="167" t="s">
        <v>987</v>
      </c>
      <c r="W20" s="167" t="n">
        <v>0.51</v>
      </c>
      <c r="X20" s="167" t="n">
        <v>0.49</v>
      </c>
      <c r="Y20" s="881" t="s">
        <v>976</v>
      </c>
      <c r="Z20" s="167" t="str">
        <f aca="false">Таблица4[[#This Row],[Шифр дорожнього району]]</f>
        <v>III.P.14</v>
      </c>
      <c r="AA20" s="167" t="s">
        <v>987</v>
      </c>
      <c r="AB20" s="167" t="n">
        <v>0.52</v>
      </c>
      <c r="AC20" s="167" t="n">
        <v>0.5</v>
      </c>
      <c r="AD20" s="881" t="s">
        <v>976</v>
      </c>
    </row>
    <row r="21" customFormat="false" ht="15" hidden="false" customHeight="false" outlineLevel="0" collapsed="false">
      <c r="E21" s="880" t="n">
        <v>15</v>
      </c>
      <c r="F21" s="167" t="s">
        <v>994</v>
      </c>
      <c r="G21" s="167" t="s">
        <v>266</v>
      </c>
      <c r="H21" s="167" t="n">
        <v>0.58</v>
      </c>
      <c r="I21" s="167" t="n">
        <v>0.56</v>
      </c>
      <c r="J21" s="881" t="s">
        <v>976</v>
      </c>
      <c r="K21" s="167" t="str">
        <f aca="false">Таблица4[[#This Row],[Шифр дорожнього району]]</f>
        <v>III.P.15</v>
      </c>
      <c r="L21" s="167" t="s">
        <v>266</v>
      </c>
      <c r="M21" s="167" t="n">
        <v>0.6</v>
      </c>
      <c r="N21" s="167" t="n">
        <v>0.57</v>
      </c>
      <c r="O21" s="881" t="s">
        <v>976</v>
      </c>
      <c r="P21" s="167" t="str">
        <f aca="false">Таблица4[[#This Row],[Шифр дорожнього району]]</f>
        <v>III.P.15</v>
      </c>
      <c r="Q21" s="167" t="s">
        <v>266</v>
      </c>
      <c r="R21" s="167" t="n">
        <v>0.61</v>
      </c>
      <c r="S21" s="167" t="n">
        <v>0.58</v>
      </c>
      <c r="T21" s="881" t="s">
        <v>976</v>
      </c>
      <c r="U21" s="167" t="str">
        <f aca="false">Таблица4[[#This Row],[Шифр дорожнього району]]</f>
        <v>III.P.15</v>
      </c>
      <c r="V21" s="167" t="s">
        <v>266</v>
      </c>
      <c r="W21" s="167" t="n">
        <v>0.53</v>
      </c>
      <c r="X21" s="167" t="n">
        <v>0.51</v>
      </c>
      <c r="Y21" s="881" t="s">
        <v>976</v>
      </c>
      <c r="Z21" s="167" t="str">
        <f aca="false">Таблица4[[#This Row],[Шифр дорожнього району]]</f>
        <v>III.P.15</v>
      </c>
      <c r="AA21" s="167" t="s">
        <v>266</v>
      </c>
      <c r="AB21" s="167" t="n">
        <v>0.54</v>
      </c>
      <c r="AC21" s="167" t="n">
        <v>0.51</v>
      </c>
      <c r="AD21" s="881" t="s">
        <v>976</v>
      </c>
    </row>
    <row r="22" customFormat="false" ht="15" hidden="false" customHeight="false" outlineLevel="0" collapsed="false">
      <c r="E22" s="882" t="n">
        <v>16</v>
      </c>
      <c r="F22" s="886" t="s">
        <v>995</v>
      </c>
      <c r="G22" s="886" t="s">
        <v>266</v>
      </c>
      <c r="H22" s="886" t="n">
        <v>0.57</v>
      </c>
      <c r="I22" s="886" t="n">
        <v>0.56</v>
      </c>
      <c r="J22" s="887" t="s">
        <v>976</v>
      </c>
      <c r="K22" s="167" t="str">
        <f aca="false">Таблица4[[#This Row],[Шифр дорожнього району]]</f>
        <v>III.Г.16</v>
      </c>
      <c r="L22" s="886" t="s">
        <v>266</v>
      </c>
      <c r="M22" s="886" t="n">
        <v>0.58</v>
      </c>
      <c r="N22" s="886" t="n">
        <v>0.57</v>
      </c>
      <c r="O22" s="887" t="s">
        <v>976</v>
      </c>
      <c r="P22" s="167" t="str">
        <f aca="false">Таблица4[[#This Row],[Шифр дорожнього району]]</f>
        <v>III.Г.16</v>
      </c>
      <c r="Q22" s="886" t="s">
        <v>266</v>
      </c>
      <c r="R22" s="886" t="n">
        <v>0.6</v>
      </c>
      <c r="S22" s="886" t="n">
        <v>0.57</v>
      </c>
      <c r="T22" s="887" t="s">
        <v>976</v>
      </c>
      <c r="U22" s="167" t="str">
        <f aca="false">Таблица4[[#This Row],[Шифр дорожнього району]]</f>
        <v>III.Г.16</v>
      </c>
      <c r="V22" s="886" t="s">
        <v>266</v>
      </c>
      <c r="W22" s="886" t="n">
        <v>0.52</v>
      </c>
      <c r="X22" s="886" t="n">
        <v>0.51</v>
      </c>
      <c r="Y22" s="887" t="s">
        <v>976</v>
      </c>
      <c r="Z22" s="167" t="str">
        <f aca="false">Таблица4[[#This Row],[Шифр дорожнього району]]</f>
        <v>III.Г.16</v>
      </c>
      <c r="AA22" s="886" t="s">
        <v>266</v>
      </c>
      <c r="AB22" s="886" t="n">
        <v>0.52</v>
      </c>
      <c r="AC22" s="886" t="n">
        <v>0.51</v>
      </c>
      <c r="AD22" s="887" t="s">
        <v>976</v>
      </c>
    </row>
  </sheetData>
  <mergeCells count="10">
    <mergeCell ref="F4:J4"/>
    <mergeCell ref="K4:O4"/>
    <mergeCell ref="P4:T4"/>
    <mergeCell ref="U4:Y4"/>
    <mergeCell ref="Z4:AD4"/>
    <mergeCell ref="H5:J5"/>
    <mergeCell ref="M5:O5"/>
    <mergeCell ref="R5:T5"/>
    <mergeCell ref="W5:Y5"/>
    <mergeCell ref="AB5:A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s>
</worksheet>
</file>

<file path=xl/worksheets/sheet23.xml><?xml version="1.0" encoding="utf-8"?>
<worksheet xmlns="http://schemas.openxmlformats.org/spreadsheetml/2006/main" xmlns:r="http://schemas.openxmlformats.org/officeDocument/2006/relationships">
  <sheetPr filterMode="false">
    <tabColor rgb="FF00B050"/>
    <pageSetUpPr fitToPage="false"/>
  </sheetPr>
  <dimension ref="B1:AK56"/>
  <sheetViews>
    <sheetView windowProtection="false" showFormulas="false" showGridLines="true" showRowColHeaders="true" showZeros="true" rightToLeft="false" tabSelected="false" showOutlineSymbols="true" defaultGridColor="true" view="normal" topLeftCell="C2" colorId="64" zoomScale="65" zoomScaleNormal="65" zoomScalePageLayoutView="100" workbookViewId="0">
      <selection pane="topLeft" activeCell="B26" activeCellId="0" sqref="B26"/>
    </sheetView>
  </sheetViews>
  <sheetFormatPr defaultRowHeight="23.25"/>
  <cols>
    <col collapsed="false" hidden="false" max="2" min="1" style="888" width="9.13917525773196"/>
    <col collapsed="false" hidden="false" max="3" min="3" style="888" width="51.9639175257732"/>
    <col collapsed="false" hidden="false" max="4" min="4" style="888" width="30.5515463917526"/>
    <col collapsed="false" hidden="false" max="5" min="5" style="888" width="28.5051546391753"/>
    <col collapsed="false" hidden="false" max="6" min="6" style="888" width="46.0979381443299"/>
    <col collapsed="false" hidden="false" max="8" min="7" style="888" width="26.1855670103093"/>
    <col collapsed="false" hidden="false" max="9" min="9" style="888" width="9.13917525773196"/>
    <col collapsed="false" hidden="false" max="10" min="10" style="888" width="25.5051546391753"/>
    <col collapsed="false" hidden="false" max="11" min="11" style="888" width="9.13917525773196"/>
    <col collapsed="false" hidden="false" max="12" min="12" style="888" width="31.5051546391753"/>
    <col collapsed="false" hidden="false" max="13" min="13" style="888" width="19.5051546391753"/>
    <col collapsed="false" hidden="false" max="14" min="14" style="888" width="22.5051546391753"/>
    <col collapsed="false" hidden="false" max="15" min="15" style="888" width="16.9123711340206"/>
    <col collapsed="false" hidden="false" max="16" min="16" style="888" width="15.819587628866"/>
    <col collapsed="false" hidden="false" max="17" min="17" style="888" width="16.3659793814433"/>
    <col collapsed="false" hidden="false" max="18" min="18" style="888" width="15.819587628866"/>
    <col collapsed="false" hidden="false" max="19" min="19" style="888" width="16.3659793814433"/>
    <col collapsed="false" hidden="false" max="20" min="20" style="888" width="15.819587628866"/>
    <col collapsed="false" hidden="false" max="21" min="21" style="888" width="16.3659793814433"/>
    <col collapsed="false" hidden="false" max="22" min="22" style="888" width="15.819587628866"/>
    <col collapsed="false" hidden="false" max="23" min="23" style="888" width="16.3659793814433"/>
    <col collapsed="false" hidden="false" max="24" min="24" style="888" width="15.819587628866"/>
    <col collapsed="false" hidden="false" max="26" min="25" style="888" width="9.13917525773196"/>
    <col collapsed="false" hidden="false" max="27" min="27" style="888" width="25.5051546391753"/>
    <col collapsed="false" hidden="false" max="28" min="28" style="888" width="15.819587628866"/>
    <col collapsed="false" hidden="false" max="29" min="29" style="888" width="16.3659793814433"/>
    <col collapsed="false" hidden="false" max="30" min="30" style="888" width="15.819587628866"/>
    <col collapsed="false" hidden="false" max="31" min="31" style="888" width="16.3659793814433"/>
    <col collapsed="false" hidden="false" max="32" min="32" style="888" width="15.819587628866"/>
    <col collapsed="false" hidden="false" max="33" min="33" style="888" width="16.3659793814433"/>
    <col collapsed="false" hidden="false" max="34" min="34" style="888" width="15.819587628866"/>
    <col collapsed="false" hidden="false" max="35" min="35" style="888" width="16.3659793814433"/>
    <col collapsed="false" hidden="false" max="36" min="36" style="888" width="15.819587628866"/>
    <col collapsed="false" hidden="false" max="1025" min="37" style="888" width="9.13917525773196"/>
  </cols>
  <sheetData>
    <row r="1" customFormat="false" ht="23.25" hidden="false" customHeight="false" outlineLevel="0" collapsed="false">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row>
    <row r="2" customFormat="false" ht="23.25" hidden="false" customHeight="false" outlineLevel="0" collapsed="false">
      <c r="B2" s="0"/>
      <c r="C2" s="0"/>
      <c r="D2" s="0"/>
      <c r="E2" s="0"/>
      <c r="F2" s="0"/>
      <c r="G2" s="0"/>
      <c r="H2" s="0"/>
      <c r="I2" s="0"/>
      <c r="J2" s="0"/>
      <c r="K2" s="0"/>
      <c r="L2" s="889" t="s">
        <v>996</v>
      </c>
      <c r="M2" s="0"/>
      <c r="N2" s="0"/>
      <c r="O2" s="0"/>
      <c r="P2" s="0"/>
      <c r="Q2" s="0"/>
      <c r="R2" s="0"/>
      <c r="S2" s="0"/>
      <c r="T2" s="0"/>
      <c r="U2" s="0"/>
      <c r="V2" s="0"/>
      <c r="W2" s="0"/>
      <c r="X2" s="0"/>
      <c r="Y2" s="0"/>
      <c r="Z2" s="0"/>
      <c r="AA2" s="0"/>
      <c r="AB2" s="0"/>
      <c r="AC2" s="0"/>
      <c r="AD2" s="0"/>
      <c r="AE2" s="0"/>
      <c r="AF2" s="0"/>
      <c r="AG2" s="0"/>
      <c r="AH2" s="0"/>
      <c r="AI2" s="0"/>
      <c r="AJ2" s="0"/>
      <c r="AK2" s="0"/>
    </row>
    <row r="3" customFormat="false" ht="24" hidden="false" customHeight="true" outlineLevel="0" collapsed="false">
      <c r="B3" s="890"/>
      <c r="C3" s="890"/>
      <c r="D3" s="890"/>
      <c r="E3" s="890"/>
      <c r="F3" s="890"/>
      <c r="G3" s="890"/>
      <c r="H3" s="890"/>
      <c r="I3" s="890"/>
      <c r="J3" s="890"/>
      <c r="K3" s="890"/>
      <c r="L3" s="890"/>
      <c r="M3" s="890"/>
      <c r="N3" s="890"/>
      <c r="O3" s="890"/>
      <c r="P3" s="891" t="s">
        <v>997</v>
      </c>
      <c r="Q3" s="891"/>
      <c r="R3" s="891"/>
      <c r="S3" s="891"/>
      <c r="T3" s="891"/>
      <c r="U3" s="891"/>
      <c r="V3" s="891"/>
      <c r="W3" s="891"/>
      <c r="X3" s="891"/>
      <c r="Y3" s="892"/>
      <c r="Z3" s="892"/>
      <c r="AA3" s="892"/>
      <c r="AB3" s="892"/>
      <c r="AC3" s="892"/>
      <c r="AD3" s="892"/>
      <c r="AE3" s="892"/>
      <c r="AF3" s="890"/>
      <c r="AG3" s="890"/>
      <c r="AH3" s="890"/>
      <c r="AI3" s="890"/>
      <c r="AJ3" s="890"/>
      <c r="AK3" s="890"/>
    </row>
    <row r="4" customFormat="false" ht="23.25" hidden="false" customHeight="false" outlineLevel="0" collapsed="false">
      <c r="B4" s="890"/>
      <c r="C4" s="890"/>
      <c r="D4" s="890"/>
      <c r="E4" s="890"/>
      <c r="F4" s="890"/>
      <c r="G4" s="890"/>
      <c r="H4" s="890"/>
      <c r="I4" s="890"/>
      <c r="J4" s="890"/>
      <c r="K4" s="890"/>
      <c r="L4" s="893"/>
      <c r="M4" s="894"/>
      <c r="N4" s="895"/>
      <c r="O4" s="894"/>
      <c r="P4" s="891"/>
      <c r="Q4" s="891"/>
      <c r="R4" s="891"/>
      <c r="S4" s="891"/>
      <c r="T4" s="891"/>
      <c r="U4" s="891"/>
      <c r="V4" s="891"/>
      <c r="W4" s="891"/>
      <c r="X4" s="891"/>
      <c r="Y4" s="892"/>
      <c r="Z4" s="892"/>
      <c r="AA4" s="890"/>
      <c r="AB4" s="892"/>
      <c r="AC4" s="892"/>
      <c r="AD4" s="892"/>
      <c r="AE4" s="892"/>
      <c r="AF4" s="890"/>
      <c r="AG4" s="890"/>
      <c r="AH4" s="890"/>
      <c r="AI4" s="890"/>
      <c r="AJ4" s="890"/>
      <c r="AK4" s="890"/>
    </row>
    <row r="5" customFormat="false" ht="174.75" hidden="false" customHeight="true" outlineLevel="0" collapsed="false">
      <c r="B5" s="896"/>
      <c r="C5" s="897" t="s">
        <v>998</v>
      </c>
      <c r="D5" s="898" t="s">
        <v>999</v>
      </c>
      <c r="E5" s="899" t="s">
        <v>84</v>
      </c>
      <c r="F5" s="900" t="s">
        <v>1000</v>
      </c>
      <c r="G5" s="900" t="s">
        <v>1001</v>
      </c>
      <c r="H5" s="900" t="s">
        <v>1002</v>
      </c>
      <c r="I5" s="890"/>
      <c r="J5" s="901" t="s">
        <v>1003</v>
      </c>
      <c r="K5" s="890"/>
      <c r="L5" s="902" t="s">
        <v>998</v>
      </c>
      <c r="M5" s="903" t="s">
        <v>1004</v>
      </c>
      <c r="N5" s="904" t="s">
        <v>84</v>
      </c>
      <c r="O5" s="903" t="s">
        <v>1005</v>
      </c>
      <c r="P5" s="905" t="s">
        <v>1006</v>
      </c>
      <c r="Q5" s="905" t="s">
        <v>1007</v>
      </c>
      <c r="R5" s="905" t="s">
        <v>1008</v>
      </c>
      <c r="S5" s="905" t="s">
        <v>1009</v>
      </c>
      <c r="T5" s="905" t="s">
        <v>1010</v>
      </c>
      <c r="U5" s="905" t="s">
        <v>1011</v>
      </c>
      <c r="V5" s="905" t="s">
        <v>1012</v>
      </c>
      <c r="W5" s="905" t="s">
        <v>1013</v>
      </c>
      <c r="X5" s="905" t="s">
        <v>1014</v>
      </c>
      <c r="Y5" s="892"/>
      <c r="Z5" s="892"/>
      <c r="AA5" s="890"/>
      <c r="AB5" s="906" t="n">
        <v>0.5</v>
      </c>
      <c r="AC5" s="906" t="n">
        <v>0.55</v>
      </c>
      <c r="AD5" s="906" t="n">
        <v>0.6</v>
      </c>
      <c r="AE5" s="906" t="n">
        <v>0.65</v>
      </c>
      <c r="AF5" s="906" t="n">
        <v>0.7</v>
      </c>
      <c r="AG5" s="906" t="n">
        <v>0.75</v>
      </c>
      <c r="AH5" s="906" t="n">
        <v>0.8</v>
      </c>
      <c r="AI5" s="906" t="n">
        <v>0.85</v>
      </c>
      <c r="AJ5" s="907" t="n">
        <v>0.9</v>
      </c>
      <c r="AK5" s="890"/>
    </row>
    <row r="6" customFormat="false" ht="26.25" hidden="false" customHeight="false" outlineLevel="0" collapsed="false">
      <c r="B6" s="908" t="s">
        <v>579</v>
      </c>
      <c r="C6" s="909" t="s">
        <v>38</v>
      </c>
      <c r="D6" s="910" t="s">
        <v>811</v>
      </c>
      <c r="E6" s="910" t="s">
        <v>811</v>
      </c>
      <c r="F6" s="911" t="n">
        <v>7</v>
      </c>
      <c r="G6" s="330" t="n">
        <v>0.05</v>
      </c>
      <c r="H6" s="912" t="n">
        <f aca="false">'Табл Д.6'!D8</f>
        <v>0.37</v>
      </c>
      <c r="I6" s="890"/>
      <c r="J6" s="890" t="n">
        <v>0.5</v>
      </c>
      <c r="K6" s="890"/>
      <c r="L6" s="902" t="s">
        <v>1015</v>
      </c>
      <c r="M6" s="913" t="s">
        <v>811</v>
      </c>
      <c r="N6" s="913" t="s">
        <v>811</v>
      </c>
      <c r="O6" s="914" t="s">
        <v>1016</v>
      </c>
      <c r="P6" s="915" t="n">
        <v>130</v>
      </c>
      <c r="Q6" s="915" t="n">
        <v>130</v>
      </c>
      <c r="R6" s="915" t="n">
        <v>130</v>
      </c>
      <c r="S6" s="915" t="n">
        <v>130</v>
      </c>
      <c r="T6" s="915" t="n">
        <v>130</v>
      </c>
      <c r="U6" s="915" t="n">
        <v>130</v>
      </c>
      <c r="V6" s="915" t="n">
        <v>130</v>
      </c>
      <c r="W6" s="915" t="n">
        <v>130</v>
      </c>
      <c r="X6" s="915" t="n">
        <v>130</v>
      </c>
      <c r="Y6" s="892"/>
      <c r="Z6" s="892"/>
      <c r="AA6" s="892" t="s">
        <v>1017</v>
      </c>
      <c r="AB6" s="890"/>
      <c r="AC6" s="890"/>
      <c r="AD6" s="890"/>
      <c r="AE6" s="890"/>
      <c r="AF6" s="890"/>
      <c r="AG6" s="890"/>
      <c r="AH6" s="890"/>
      <c r="AI6" s="890"/>
      <c r="AJ6" s="890"/>
      <c r="AK6" s="890"/>
    </row>
    <row r="7" customFormat="false" ht="67.5" hidden="false" customHeight="false" outlineLevel="0" collapsed="false">
      <c r="B7" s="908" t="s">
        <v>580</v>
      </c>
      <c r="C7" s="916" t="s">
        <v>581</v>
      </c>
      <c r="D7" s="917" t="s">
        <v>811</v>
      </c>
      <c r="E7" s="917" t="s">
        <v>811</v>
      </c>
      <c r="F7" s="918" t="n">
        <v>6</v>
      </c>
      <c r="G7" s="330" t="n">
        <v>0.07</v>
      </c>
      <c r="H7" s="919" t="n">
        <f aca="false">'Табл Д.6'!D9</f>
        <v>0.37</v>
      </c>
      <c r="I7" s="890"/>
      <c r="J7" s="920" t="n">
        <v>0.55</v>
      </c>
      <c r="K7" s="890"/>
      <c r="L7" s="921"/>
      <c r="M7" s="922"/>
      <c r="N7" s="922"/>
      <c r="O7" s="923" t="s">
        <v>1018</v>
      </c>
      <c r="P7" s="915" t="n">
        <v>35</v>
      </c>
      <c r="Q7" s="915" t="n">
        <v>35</v>
      </c>
      <c r="R7" s="915" t="n">
        <v>35</v>
      </c>
      <c r="S7" s="915" t="n">
        <v>35</v>
      </c>
      <c r="T7" s="915" t="n">
        <v>35</v>
      </c>
      <c r="U7" s="915" t="n">
        <v>35</v>
      </c>
      <c r="V7" s="915" t="n">
        <v>35</v>
      </c>
      <c r="W7" s="915" t="n">
        <v>35</v>
      </c>
      <c r="X7" s="915" t="n">
        <v>35</v>
      </c>
      <c r="Y7" s="892"/>
      <c r="Z7" s="892"/>
      <c r="AA7" s="924" t="s">
        <v>998</v>
      </c>
      <c r="AB7" s="906" t="s">
        <v>1006</v>
      </c>
      <c r="AC7" s="906" t="s">
        <v>1007</v>
      </c>
      <c r="AD7" s="906" t="s">
        <v>1008</v>
      </c>
      <c r="AE7" s="906" t="s">
        <v>1009</v>
      </c>
      <c r="AF7" s="906" t="s">
        <v>1010</v>
      </c>
      <c r="AG7" s="906" t="s">
        <v>1011</v>
      </c>
      <c r="AH7" s="906" t="s">
        <v>1012</v>
      </c>
      <c r="AI7" s="906" t="s">
        <v>1013</v>
      </c>
      <c r="AJ7" s="907" t="s">
        <v>1014</v>
      </c>
      <c r="AK7" s="890"/>
    </row>
    <row r="8" customFormat="false" ht="26.25" hidden="false" customHeight="false" outlineLevel="0" collapsed="false">
      <c r="B8" s="908" t="s">
        <v>582</v>
      </c>
      <c r="C8" s="909" t="s">
        <v>583</v>
      </c>
      <c r="D8" s="910" t="s">
        <v>811</v>
      </c>
      <c r="E8" s="910" t="s">
        <v>811</v>
      </c>
      <c r="F8" s="911" t="n">
        <v>5</v>
      </c>
      <c r="G8" s="330" t="n">
        <v>0.1</v>
      </c>
      <c r="H8" s="919" t="n">
        <f aca="false">'Табл Д.6'!D10</f>
        <v>0.36</v>
      </c>
      <c r="I8" s="890"/>
      <c r="J8" s="890" t="n">
        <v>0.6</v>
      </c>
      <c r="K8" s="890"/>
      <c r="L8" s="925"/>
      <c r="M8" s="926"/>
      <c r="N8" s="926"/>
      <c r="O8" s="927" t="s">
        <v>1019</v>
      </c>
      <c r="P8" s="915" t="n">
        <v>0.004</v>
      </c>
      <c r="Q8" s="915" t="n">
        <v>0.004</v>
      </c>
      <c r="R8" s="915" t="n">
        <v>0.004</v>
      </c>
      <c r="S8" s="915" t="n">
        <v>0.004</v>
      </c>
      <c r="T8" s="915" t="n">
        <v>0.004</v>
      </c>
      <c r="U8" s="915" t="n">
        <v>0.004</v>
      </c>
      <c r="V8" s="915" t="n">
        <v>0.004</v>
      </c>
      <c r="W8" s="915" t="n">
        <v>0.004</v>
      </c>
      <c r="X8" s="915" t="n">
        <v>0.004</v>
      </c>
      <c r="Y8" s="892"/>
      <c r="Z8" s="892"/>
      <c r="AA8" s="909" t="s">
        <v>38</v>
      </c>
      <c r="AB8" s="928" t="n">
        <v>130</v>
      </c>
      <c r="AC8" s="928" t="n">
        <v>130</v>
      </c>
      <c r="AD8" s="928" t="n">
        <v>130</v>
      </c>
      <c r="AE8" s="928" t="n">
        <v>130</v>
      </c>
      <c r="AF8" s="928" t="n">
        <v>130</v>
      </c>
      <c r="AG8" s="928" t="n">
        <v>130</v>
      </c>
      <c r="AH8" s="928" t="n">
        <v>130</v>
      </c>
      <c r="AI8" s="928" t="n">
        <v>130</v>
      </c>
      <c r="AJ8" s="929" t="n">
        <v>130</v>
      </c>
      <c r="AK8" s="890"/>
    </row>
    <row r="9" customFormat="false" ht="49.5" hidden="false" customHeight="true" outlineLevel="0" collapsed="false">
      <c r="B9" s="908" t="s">
        <v>584</v>
      </c>
      <c r="C9" s="916" t="s">
        <v>585</v>
      </c>
      <c r="D9" s="917" t="s">
        <v>811</v>
      </c>
      <c r="E9" s="917" t="s">
        <v>811</v>
      </c>
      <c r="F9" s="918" t="n">
        <v>5</v>
      </c>
      <c r="G9" s="330" t="n">
        <v>0.12</v>
      </c>
      <c r="H9" s="919" t="n">
        <f aca="false">'Табл Д.6'!D11</f>
        <v>0.34</v>
      </c>
      <c r="I9" s="890"/>
      <c r="J9" s="890" t="n">
        <v>0.65</v>
      </c>
      <c r="K9" s="890"/>
      <c r="L9" s="902" t="s">
        <v>1020</v>
      </c>
      <c r="M9" s="913" t="s">
        <v>811</v>
      </c>
      <c r="N9" s="913" t="s">
        <v>811</v>
      </c>
      <c r="O9" s="927" t="s">
        <v>1016</v>
      </c>
      <c r="P9" s="915" t="n">
        <v>120</v>
      </c>
      <c r="Q9" s="915" t="n">
        <v>120</v>
      </c>
      <c r="R9" s="915" t="n">
        <v>120</v>
      </c>
      <c r="S9" s="915" t="n">
        <v>120</v>
      </c>
      <c r="T9" s="915" t="n">
        <v>120</v>
      </c>
      <c r="U9" s="915" t="n">
        <v>120</v>
      </c>
      <c r="V9" s="915" t="n">
        <v>120</v>
      </c>
      <c r="W9" s="915" t="n">
        <v>120</v>
      </c>
      <c r="X9" s="915" t="n">
        <v>120</v>
      </c>
      <c r="Y9" s="892"/>
      <c r="Z9" s="892"/>
      <c r="AA9" s="916" t="s">
        <v>581</v>
      </c>
      <c r="AB9" s="930" t="n">
        <v>120</v>
      </c>
      <c r="AC9" s="930" t="n">
        <v>120</v>
      </c>
      <c r="AD9" s="930" t="n">
        <v>120</v>
      </c>
      <c r="AE9" s="930" t="n">
        <v>120</v>
      </c>
      <c r="AF9" s="930" t="n">
        <v>120</v>
      </c>
      <c r="AG9" s="930" t="n">
        <v>120</v>
      </c>
      <c r="AH9" s="930" t="n">
        <v>120</v>
      </c>
      <c r="AI9" s="930" t="n">
        <v>120</v>
      </c>
      <c r="AJ9" s="931" t="n">
        <v>120</v>
      </c>
      <c r="AK9" s="890"/>
    </row>
    <row r="10" customFormat="false" ht="22.05" hidden="false" customHeight="false" outlineLevel="0" collapsed="false">
      <c r="B10" s="908" t="s">
        <v>586</v>
      </c>
      <c r="C10" s="909" t="s">
        <v>587</v>
      </c>
      <c r="D10" s="910" t="s">
        <v>811</v>
      </c>
      <c r="E10" s="910" t="s">
        <v>811</v>
      </c>
      <c r="F10" s="911" t="n">
        <v>3</v>
      </c>
      <c r="G10" s="330" t="n">
        <v>0.14</v>
      </c>
      <c r="H10" s="919" t="n">
        <f aca="false">IF('Розрахункові параметриПеревірка'!$H$16&lt;'Табл. 4.6'!$J$11,'Табл Д.6'!C12,'Табл Д.6'!D12)</f>
        <v>0.31</v>
      </c>
      <c r="I10" s="890"/>
      <c r="J10" s="890" t="n">
        <v>0.7</v>
      </c>
      <c r="K10" s="890"/>
      <c r="L10" s="921"/>
      <c r="M10" s="922"/>
      <c r="N10" s="922"/>
      <c r="O10" s="923" t="s">
        <v>1018</v>
      </c>
      <c r="P10" s="915" t="n">
        <v>32</v>
      </c>
      <c r="Q10" s="915" t="n">
        <v>32</v>
      </c>
      <c r="R10" s="915" t="n">
        <v>32</v>
      </c>
      <c r="S10" s="915" t="n">
        <v>32</v>
      </c>
      <c r="T10" s="915" t="n">
        <v>32</v>
      </c>
      <c r="U10" s="915" t="n">
        <v>32</v>
      </c>
      <c r="V10" s="915" t="n">
        <v>32</v>
      </c>
      <c r="W10" s="915" t="n">
        <v>32</v>
      </c>
      <c r="X10" s="915" t="n">
        <v>32</v>
      </c>
      <c r="Y10" s="892"/>
      <c r="Z10" s="892"/>
      <c r="AA10" s="909" t="s">
        <v>583</v>
      </c>
      <c r="AB10" s="928" t="n">
        <v>100</v>
      </c>
      <c r="AC10" s="928" t="n">
        <v>100</v>
      </c>
      <c r="AD10" s="928" t="n">
        <v>100</v>
      </c>
      <c r="AE10" s="928" t="n">
        <v>100</v>
      </c>
      <c r="AF10" s="928" t="n">
        <v>100</v>
      </c>
      <c r="AG10" s="928" t="n">
        <v>100</v>
      </c>
      <c r="AH10" s="928" t="n">
        <v>100</v>
      </c>
      <c r="AI10" s="928" t="n">
        <v>100</v>
      </c>
      <c r="AJ10" s="929" t="n">
        <v>100</v>
      </c>
      <c r="AK10" s="890"/>
    </row>
    <row r="11" customFormat="false" ht="22.45" hidden="false" customHeight="false" outlineLevel="0" collapsed="false">
      <c r="B11" s="908" t="s">
        <v>588</v>
      </c>
      <c r="C11" s="903" t="s">
        <v>589</v>
      </c>
      <c r="D11" s="913" t="s">
        <v>1021</v>
      </c>
      <c r="E11" s="913" t="s">
        <v>1022</v>
      </c>
      <c r="F11" s="918" t="n">
        <v>3</v>
      </c>
      <c r="G11" s="330" t="n">
        <v>0.18</v>
      </c>
      <c r="H11" s="919" t="n">
        <f aca="false">IF('Розрахункові параметриПеревірка'!$H$16&lt;'Табл. 4.6'!$J$11,'Табл Д.6'!C15,'Табл Д.6'!D15)</f>
        <v>0.27</v>
      </c>
      <c r="I11" s="890"/>
      <c r="J11" s="890" t="n">
        <v>0.75</v>
      </c>
      <c r="K11" s="890"/>
      <c r="L11" s="925"/>
      <c r="M11" s="926"/>
      <c r="N11" s="926"/>
      <c r="O11" s="927" t="s">
        <v>1019</v>
      </c>
      <c r="P11" s="915" t="n">
        <v>0.004</v>
      </c>
      <c r="Q11" s="915" t="n">
        <v>0.004</v>
      </c>
      <c r="R11" s="915" t="n">
        <v>0.004</v>
      </c>
      <c r="S11" s="915" t="n">
        <v>0.004</v>
      </c>
      <c r="T11" s="915" t="n">
        <v>0.004</v>
      </c>
      <c r="U11" s="915" t="n">
        <v>0.004</v>
      </c>
      <c r="V11" s="915" t="n">
        <v>0.004</v>
      </c>
      <c r="W11" s="915" t="n">
        <v>0.004</v>
      </c>
      <c r="X11" s="915" t="n">
        <v>0.004</v>
      </c>
      <c r="Y11" s="892"/>
      <c r="Z11" s="892"/>
      <c r="AA11" s="916" t="s">
        <v>585</v>
      </c>
      <c r="AB11" s="930" t="n">
        <v>75</v>
      </c>
      <c r="AC11" s="930" t="n">
        <v>75</v>
      </c>
      <c r="AD11" s="930" t="n">
        <v>75</v>
      </c>
      <c r="AE11" s="930" t="n">
        <v>75</v>
      </c>
      <c r="AF11" s="930" t="n">
        <v>75</v>
      </c>
      <c r="AG11" s="930" t="n">
        <v>75</v>
      </c>
      <c r="AH11" s="930" t="n">
        <v>75</v>
      </c>
      <c r="AI11" s="930" t="n">
        <v>75</v>
      </c>
      <c r="AJ11" s="931" t="n">
        <v>75</v>
      </c>
      <c r="AK11" s="890"/>
    </row>
    <row r="12" customFormat="false" ht="22.45" hidden="false" customHeight="false" outlineLevel="0" collapsed="false">
      <c r="B12" s="908" t="s">
        <v>590</v>
      </c>
      <c r="C12" s="903" t="s">
        <v>591</v>
      </c>
      <c r="D12" s="913" t="s">
        <v>1021</v>
      </c>
      <c r="E12" s="913" t="s">
        <v>1022</v>
      </c>
      <c r="F12" s="918" t="n">
        <v>1.5</v>
      </c>
      <c r="G12" s="932" t="n">
        <v>0.2</v>
      </c>
      <c r="H12" s="919" t="n">
        <f aca="false">IF('Розрахункові параметриПеревірка'!$H$16&lt;'Табл. 4.6'!$J$11,'Табл Д.6'!C16,'Табл Д.6'!D16)</f>
        <v>0.33</v>
      </c>
      <c r="I12" s="890"/>
      <c r="J12" s="890" t="n">
        <v>0.8</v>
      </c>
      <c r="K12" s="890"/>
      <c r="L12" s="902" t="s">
        <v>1023</v>
      </c>
      <c r="M12" s="913" t="s">
        <v>811</v>
      </c>
      <c r="N12" s="913" t="s">
        <v>811</v>
      </c>
      <c r="O12" s="927" t="s">
        <v>1016</v>
      </c>
      <c r="P12" s="933" t="n">
        <v>100</v>
      </c>
      <c r="Q12" s="933" t="n">
        <v>100</v>
      </c>
      <c r="R12" s="933" t="n">
        <v>100</v>
      </c>
      <c r="S12" s="933" t="n">
        <v>100</v>
      </c>
      <c r="T12" s="933" t="n">
        <v>100</v>
      </c>
      <c r="U12" s="933" t="n">
        <v>100</v>
      </c>
      <c r="V12" s="933" t="n">
        <v>100</v>
      </c>
      <c r="W12" s="933" t="n">
        <v>100</v>
      </c>
      <c r="X12" s="933" t="n">
        <v>100</v>
      </c>
      <c r="Y12" s="892"/>
      <c r="Z12" s="892"/>
      <c r="AA12" s="909" t="s">
        <v>587</v>
      </c>
      <c r="AB12" s="928" t="n">
        <v>96</v>
      </c>
      <c r="AC12" s="928" t="n">
        <v>90</v>
      </c>
      <c r="AD12" s="928" t="n">
        <v>84</v>
      </c>
      <c r="AE12" s="928" t="n">
        <v>78</v>
      </c>
      <c r="AF12" s="928" t="n">
        <v>72</v>
      </c>
      <c r="AG12" s="928" t="n">
        <v>60</v>
      </c>
      <c r="AH12" s="928" t="n">
        <v>60</v>
      </c>
      <c r="AI12" s="928" t="n">
        <v>54</v>
      </c>
      <c r="AJ12" s="934" t="n">
        <v>48</v>
      </c>
      <c r="AK12" s="890"/>
    </row>
    <row r="13" customFormat="false" ht="38.7" hidden="false" customHeight="false" outlineLevel="0" collapsed="false">
      <c r="B13" s="908" t="s">
        <v>592</v>
      </c>
      <c r="C13" s="916" t="s">
        <v>593</v>
      </c>
      <c r="D13" s="917" t="s">
        <v>1024</v>
      </c>
      <c r="E13" s="917" t="s">
        <v>1025</v>
      </c>
      <c r="F13" s="918" t="n">
        <v>1.5</v>
      </c>
      <c r="G13" s="330" t="n">
        <v>0.2</v>
      </c>
      <c r="H13" s="919" t="n">
        <f aca="false">IF('Розрахункові параметриПеревірка'!H16&lt;'Табл. 4.6'!J11,'Табл Д.6'!C18,'Табл Д.6'!D18)</f>
        <v>0.27</v>
      </c>
      <c r="I13" s="890"/>
      <c r="J13" s="890" t="n">
        <v>0.85</v>
      </c>
      <c r="K13" s="890"/>
      <c r="L13" s="921"/>
      <c r="M13" s="922"/>
      <c r="N13" s="922"/>
      <c r="O13" s="923" t="s">
        <v>1018</v>
      </c>
      <c r="P13" s="915" t="n">
        <v>31</v>
      </c>
      <c r="Q13" s="915" t="n">
        <v>31</v>
      </c>
      <c r="R13" s="915" t="n">
        <v>31</v>
      </c>
      <c r="S13" s="915" t="n">
        <v>31</v>
      </c>
      <c r="T13" s="915" t="n">
        <v>31</v>
      </c>
      <c r="U13" s="915" t="n">
        <v>31</v>
      </c>
      <c r="V13" s="915" t="n">
        <v>31</v>
      </c>
      <c r="W13" s="915" t="n">
        <v>31</v>
      </c>
      <c r="X13" s="915" t="n">
        <v>31</v>
      </c>
      <c r="Y13" s="892"/>
      <c r="Z13" s="892"/>
      <c r="AA13" s="903" t="s">
        <v>589</v>
      </c>
      <c r="AB13" s="935" t="n">
        <v>108</v>
      </c>
      <c r="AC13" s="936" t="n">
        <v>108</v>
      </c>
      <c r="AD13" s="936" t="n">
        <v>100</v>
      </c>
      <c r="AE13" s="936" t="n">
        <v>100</v>
      </c>
      <c r="AF13" s="936" t="n">
        <v>79</v>
      </c>
      <c r="AG13" s="936" t="n">
        <v>69</v>
      </c>
      <c r="AH13" s="936" t="n">
        <v>62</v>
      </c>
      <c r="AI13" s="936" t="n">
        <v>54</v>
      </c>
      <c r="AJ13" s="936" t="n">
        <v>50</v>
      </c>
      <c r="AK13" s="890"/>
    </row>
    <row r="14" customFormat="false" ht="38.7" hidden="false" customHeight="false" outlineLevel="0" collapsed="false">
      <c r="B14" s="908" t="s">
        <v>594</v>
      </c>
      <c r="C14" s="909" t="s">
        <v>13</v>
      </c>
      <c r="D14" s="910" t="s">
        <v>1024</v>
      </c>
      <c r="E14" s="910" t="s">
        <v>1026</v>
      </c>
      <c r="F14" s="911" t="n">
        <v>1.5</v>
      </c>
      <c r="G14" s="330" t="n">
        <v>0.2</v>
      </c>
      <c r="H14" s="912" t="n">
        <f aca="false">IF('Розрахункові параметриПеревірка'!H16&lt;'Табл. 4.6'!J11,'Табл Д.6'!C18,'Табл Д.6'!D18)</f>
        <v>0.27</v>
      </c>
      <c r="I14" s="890"/>
      <c r="J14" s="890" t="n">
        <v>0.9</v>
      </c>
      <c r="K14" s="890"/>
      <c r="L14" s="925"/>
      <c r="M14" s="926"/>
      <c r="N14" s="926"/>
      <c r="O14" s="927" t="s">
        <v>1019</v>
      </c>
      <c r="P14" s="915" t="n">
        <v>0.003</v>
      </c>
      <c r="Q14" s="915" t="n">
        <v>0.003</v>
      </c>
      <c r="R14" s="915" t="n">
        <v>0.003</v>
      </c>
      <c r="S14" s="915" t="n">
        <v>0.003</v>
      </c>
      <c r="T14" s="915" t="n">
        <v>0.003</v>
      </c>
      <c r="U14" s="915" t="n">
        <v>0.003</v>
      </c>
      <c r="V14" s="915" t="n">
        <v>0.003</v>
      </c>
      <c r="W14" s="915" t="n">
        <v>0.003</v>
      </c>
      <c r="X14" s="915" t="n">
        <v>0.003</v>
      </c>
      <c r="Y14" s="892"/>
      <c r="Z14" s="892"/>
      <c r="AA14" s="903" t="s">
        <v>591</v>
      </c>
      <c r="AB14" s="937" t="n">
        <v>108</v>
      </c>
      <c r="AC14" s="938" t="n">
        <v>108</v>
      </c>
      <c r="AD14" s="938" t="n">
        <v>100</v>
      </c>
      <c r="AE14" s="938" t="n">
        <v>100</v>
      </c>
      <c r="AF14" s="938" t="n">
        <v>79</v>
      </c>
      <c r="AG14" s="938" t="n">
        <v>69</v>
      </c>
      <c r="AH14" s="938" t="n">
        <v>62</v>
      </c>
      <c r="AI14" s="938" t="n">
        <v>54</v>
      </c>
      <c r="AJ14" s="938" t="n">
        <v>50</v>
      </c>
      <c r="AK14" s="890"/>
    </row>
    <row r="15" customFormat="false" ht="22.45" hidden="false" customHeight="false" outlineLevel="0" collapsed="false">
      <c r="B15" s="908" t="s">
        <v>595</v>
      </c>
      <c r="C15" s="916" t="s">
        <v>596</v>
      </c>
      <c r="D15" s="917" t="s">
        <v>1027</v>
      </c>
      <c r="E15" s="917" t="s">
        <v>1028</v>
      </c>
      <c r="F15" s="918" t="n">
        <v>1.5</v>
      </c>
      <c r="G15" s="330" t="n">
        <v>0.2</v>
      </c>
      <c r="H15" s="919" t="n">
        <f aca="false">IF('Розрахункові параметриПеревірка'!H16&lt;'Табл. 4.6'!J11,'Табл Д.6'!C18,'Табл Д.6'!D18)</f>
        <v>0.27</v>
      </c>
      <c r="I15" s="890"/>
      <c r="J15" s="890"/>
      <c r="K15" s="890"/>
      <c r="L15" s="902" t="s">
        <v>1029</v>
      </c>
      <c r="M15" s="913" t="s">
        <v>811</v>
      </c>
      <c r="N15" s="913" t="s">
        <v>811</v>
      </c>
      <c r="O15" s="927" t="s">
        <v>1016</v>
      </c>
      <c r="P15" s="915" t="n">
        <v>75</v>
      </c>
      <c r="Q15" s="915" t="n">
        <v>75</v>
      </c>
      <c r="R15" s="915" t="n">
        <v>75</v>
      </c>
      <c r="S15" s="915" t="n">
        <v>75</v>
      </c>
      <c r="T15" s="915" t="n">
        <v>75</v>
      </c>
      <c r="U15" s="915" t="n">
        <v>75</v>
      </c>
      <c r="V15" s="915" t="n">
        <v>75</v>
      </c>
      <c r="W15" s="915" t="n">
        <v>75</v>
      </c>
      <c r="X15" s="915" t="n">
        <v>75</v>
      </c>
      <c r="Y15" s="892"/>
      <c r="Z15" s="892"/>
      <c r="AA15" s="916" t="s">
        <v>593</v>
      </c>
      <c r="AB15" s="930" t="n">
        <v>108</v>
      </c>
      <c r="AC15" s="930" t="n">
        <v>100</v>
      </c>
      <c r="AD15" s="930" t="n">
        <v>77</v>
      </c>
      <c r="AE15" s="930" t="n">
        <v>64</v>
      </c>
      <c r="AF15" s="930" t="n">
        <v>52</v>
      </c>
      <c r="AG15" s="930" t="n">
        <v>42</v>
      </c>
      <c r="AH15" s="930" t="n">
        <v>34</v>
      </c>
      <c r="AI15" s="930" t="n">
        <v>27</v>
      </c>
      <c r="AJ15" s="913" t="n">
        <v>23</v>
      </c>
      <c r="AK15" s="890"/>
    </row>
    <row r="16" customFormat="false" ht="22.05" hidden="false" customHeight="false" outlineLevel="0" collapsed="false">
      <c r="B16" s="908" t="s">
        <v>597</v>
      </c>
      <c r="C16" s="909" t="s">
        <v>598</v>
      </c>
      <c r="D16" s="910" t="s">
        <v>1027</v>
      </c>
      <c r="E16" s="910" t="s">
        <v>1030</v>
      </c>
      <c r="F16" s="911" t="n">
        <v>1.5</v>
      </c>
      <c r="G16" s="330" t="n">
        <v>0.2</v>
      </c>
      <c r="H16" s="912" t="n">
        <f aca="false">IF('Розрахункові параметриПеревірка'!H16&lt;'Табл. 4.6'!J11,'Табл Д.6'!C18,'Табл Д.6'!D18)</f>
        <v>0.27</v>
      </c>
      <c r="I16" s="890"/>
      <c r="J16" s="890"/>
      <c r="K16" s="890"/>
      <c r="L16" s="921"/>
      <c r="M16" s="922"/>
      <c r="N16" s="922"/>
      <c r="O16" s="923" t="s">
        <v>1018</v>
      </c>
      <c r="P16" s="915" t="n">
        <v>31</v>
      </c>
      <c r="Q16" s="915" t="n">
        <v>31</v>
      </c>
      <c r="R16" s="915" t="n">
        <v>31</v>
      </c>
      <c r="S16" s="915" t="n">
        <v>31</v>
      </c>
      <c r="T16" s="915" t="n">
        <v>31</v>
      </c>
      <c r="U16" s="915" t="n">
        <v>31</v>
      </c>
      <c r="V16" s="915" t="n">
        <v>31</v>
      </c>
      <c r="W16" s="915" t="n">
        <v>31</v>
      </c>
      <c r="X16" s="915" t="n">
        <v>31</v>
      </c>
      <c r="Y16" s="892"/>
      <c r="Z16" s="892"/>
      <c r="AA16" s="909" t="s">
        <v>13</v>
      </c>
      <c r="AB16" s="928" t="n">
        <v>108</v>
      </c>
      <c r="AC16" s="928" t="n">
        <v>100</v>
      </c>
      <c r="AD16" s="928" t="n">
        <v>77</v>
      </c>
      <c r="AE16" s="928" t="n">
        <v>64</v>
      </c>
      <c r="AF16" s="928" t="n">
        <v>52</v>
      </c>
      <c r="AG16" s="928" t="n">
        <v>42</v>
      </c>
      <c r="AH16" s="928" t="n">
        <v>34</v>
      </c>
      <c r="AI16" s="928" t="n">
        <v>27</v>
      </c>
      <c r="AJ16" s="934" t="n">
        <v>23</v>
      </c>
      <c r="AK16" s="890"/>
    </row>
    <row r="17" customFormat="false" ht="22.45" hidden="false" customHeight="false" outlineLevel="0" collapsed="false">
      <c r="B17" s="908" t="s">
        <v>599</v>
      </c>
      <c r="C17" s="916" t="s">
        <v>600</v>
      </c>
      <c r="D17" s="917" t="s">
        <v>1031</v>
      </c>
      <c r="E17" s="917" t="s">
        <v>1032</v>
      </c>
      <c r="F17" s="918" t="n">
        <v>1.5</v>
      </c>
      <c r="G17" s="330" t="n">
        <v>0.22</v>
      </c>
      <c r="H17" s="919" t="n">
        <f aca="false">IF('Розрахункові параметриПеревірка'!H16&lt;'Табл. 4.6'!J11,'Табл Д.6'!C19,'Табл Д.6'!D19)</f>
        <v>0.27</v>
      </c>
      <c r="I17" s="890"/>
      <c r="J17" s="890"/>
      <c r="K17" s="890"/>
      <c r="L17" s="925"/>
      <c r="M17" s="926"/>
      <c r="N17" s="926"/>
      <c r="O17" s="927" t="s">
        <v>1019</v>
      </c>
      <c r="P17" s="915" t="n">
        <v>0.003</v>
      </c>
      <c r="Q17" s="915" t="n">
        <v>0.003</v>
      </c>
      <c r="R17" s="915" t="n">
        <v>0.003</v>
      </c>
      <c r="S17" s="915" t="n">
        <v>0.003</v>
      </c>
      <c r="T17" s="915" t="n">
        <v>0.003</v>
      </c>
      <c r="U17" s="915" t="n">
        <v>0.003</v>
      </c>
      <c r="V17" s="915" t="n">
        <v>0.003</v>
      </c>
      <c r="W17" s="915" t="n">
        <v>0.003</v>
      </c>
      <c r="X17" s="915" t="n">
        <v>0.003</v>
      </c>
      <c r="Y17" s="892"/>
      <c r="Z17" s="892"/>
      <c r="AA17" s="916" t="s">
        <v>596</v>
      </c>
      <c r="AB17" s="930" t="n">
        <v>100</v>
      </c>
      <c r="AC17" s="930" t="n">
        <v>80</v>
      </c>
      <c r="AD17" s="930" t="n">
        <v>62</v>
      </c>
      <c r="AE17" s="930" t="n">
        <v>49</v>
      </c>
      <c r="AF17" s="930" t="n">
        <v>38</v>
      </c>
      <c r="AG17" s="930" t="n">
        <v>29</v>
      </c>
      <c r="AH17" s="930" t="n">
        <v>21</v>
      </c>
      <c r="AI17" s="930" t="n">
        <v>13</v>
      </c>
      <c r="AJ17" s="913" t="n">
        <v>10</v>
      </c>
      <c r="AK17" s="890"/>
    </row>
    <row r="18" customFormat="false" ht="22.45" hidden="false" customHeight="false" outlineLevel="0" collapsed="false">
      <c r="B18" s="908" t="s">
        <v>601</v>
      </c>
      <c r="C18" s="909" t="s">
        <v>602</v>
      </c>
      <c r="D18" s="910" t="s">
        <v>1031</v>
      </c>
      <c r="E18" s="910" t="s">
        <v>1030</v>
      </c>
      <c r="F18" s="911" t="n">
        <v>1.5</v>
      </c>
      <c r="G18" s="330" t="n">
        <v>0.22</v>
      </c>
      <c r="H18" s="912" t="n">
        <f aca="false">IF('Розрахункові параметриПеревірка'!H16&lt;'Табл. 4.6'!J11,'Табл Д.6'!C19,'Табл Д.6'!D19)</f>
        <v>0.27</v>
      </c>
      <c r="I18" s="890"/>
      <c r="J18" s="890"/>
      <c r="K18" s="890"/>
      <c r="L18" s="902" t="s">
        <v>1033</v>
      </c>
      <c r="M18" s="913" t="s">
        <v>811</v>
      </c>
      <c r="N18" s="913" t="s">
        <v>811</v>
      </c>
      <c r="O18" s="939" t="s">
        <v>1016</v>
      </c>
      <c r="P18" s="935" t="n">
        <v>96</v>
      </c>
      <c r="Q18" s="936" t="n">
        <v>90</v>
      </c>
      <c r="R18" s="936" t="n">
        <v>84</v>
      </c>
      <c r="S18" s="936" t="n">
        <v>78</v>
      </c>
      <c r="T18" s="936" t="n">
        <v>72</v>
      </c>
      <c r="U18" s="936" t="n">
        <v>60</v>
      </c>
      <c r="V18" s="936" t="n">
        <v>60</v>
      </c>
      <c r="W18" s="936" t="n">
        <v>54</v>
      </c>
      <c r="X18" s="936" t="n">
        <v>48</v>
      </c>
      <c r="Y18" s="892"/>
      <c r="Z18" s="892"/>
      <c r="AA18" s="909" t="s">
        <v>598</v>
      </c>
      <c r="AB18" s="928" t="n">
        <v>100</v>
      </c>
      <c r="AC18" s="928" t="n">
        <v>80</v>
      </c>
      <c r="AD18" s="928" t="n">
        <v>62</v>
      </c>
      <c r="AE18" s="928" t="n">
        <v>49</v>
      </c>
      <c r="AF18" s="928" t="n">
        <v>38</v>
      </c>
      <c r="AG18" s="928" t="n">
        <v>29</v>
      </c>
      <c r="AH18" s="928" t="n">
        <v>21</v>
      </c>
      <c r="AI18" s="928" t="n">
        <v>13</v>
      </c>
      <c r="AJ18" s="934" t="n">
        <v>10</v>
      </c>
      <c r="AK18" s="890"/>
    </row>
    <row r="19" customFormat="false" ht="22.05" hidden="false" customHeight="false" outlineLevel="0" collapsed="false">
      <c r="B19" s="940" t="s">
        <v>603</v>
      </c>
      <c r="C19" s="941" t="s">
        <v>604</v>
      </c>
      <c r="D19" s="942" t="s">
        <v>1034</v>
      </c>
      <c r="E19" s="932" t="s">
        <v>1035</v>
      </c>
      <c r="F19" s="918" t="n">
        <v>1.5</v>
      </c>
      <c r="G19" s="330" t="n">
        <v>0.22</v>
      </c>
      <c r="H19" s="919" t="n">
        <f aca="false">IF('Розрахункові параметриПеревірка'!H16&lt;'Табл. 4.6'!J11,'Табл Д.6'!C19,'Табл Д.6'!D19)</f>
        <v>0.27</v>
      </c>
      <c r="I19" s="890"/>
      <c r="J19" s="890"/>
      <c r="K19" s="890"/>
      <c r="L19" s="921"/>
      <c r="M19" s="922"/>
      <c r="N19" s="922"/>
      <c r="O19" s="943" t="s">
        <v>1018</v>
      </c>
      <c r="P19" s="944" t="n">
        <v>38</v>
      </c>
      <c r="Q19" s="945" t="n">
        <v>38</v>
      </c>
      <c r="R19" s="945" t="n">
        <v>37</v>
      </c>
      <c r="S19" s="945" t="n">
        <v>37</v>
      </c>
      <c r="T19" s="945" t="n">
        <v>36</v>
      </c>
      <c r="U19" s="945" t="n">
        <v>35</v>
      </c>
      <c r="V19" s="945" t="n">
        <v>34</v>
      </c>
      <c r="W19" s="945" t="n">
        <v>33</v>
      </c>
      <c r="X19" s="945" t="n">
        <v>32</v>
      </c>
      <c r="Y19" s="892"/>
      <c r="Z19" s="892"/>
      <c r="AA19" s="916" t="s">
        <v>600</v>
      </c>
      <c r="AB19" s="930" t="n">
        <v>82</v>
      </c>
      <c r="AC19" s="930" t="n">
        <v>62</v>
      </c>
      <c r="AD19" s="930" t="n">
        <v>51</v>
      </c>
      <c r="AE19" s="930" t="n">
        <v>34</v>
      </c>
      <c r="AF19" s="930" t="n">
        <v>24</v>
      </c>
      <c r="AG19" s="930" t="n">
        <v>17</v>
      </c>
      <c r="AH19" s="930" t="n">
        <v>10</v>
      </c>
      <c r="AI19" s="930" t="n">
        <v>5</v>
      </c>
      <c r="AJ19" s="913" t="s">
        <v>811</v>
      </c>
      <c r="AK19" s="890"/>
    </row>
    <row r="20" customFormat="false" ht="22.45" hidden="false" customHeight="false" outlineLevel="0" collapsed="false">
      <c r="B20" s="890"/>
      <c r="C20" s="0"/>
      <c r="D20" s="0"/>
      <c r="E20" s="0"/>
      <c r="F20" s="0"/>
      <c r="G20" s="0"/>
      <c r="H20" s="0"/>
      <c r="I20" s="890"/>
      <c r="J20" s="890"/>
      <c r="K20" s="890"/>
      <c r="L20" s="925"/>
      <c r="M20" s="926"/>
      <c r="N20" s="926"/>
      <c r="O20" s="939" t="s">
        <v>1019</v>
      </c>
      <c r="P20" s="944" t="n">
        <v>0.026</v>
      </c>
      <c r="Q20" s="945" t="n">
        <v>0.024</v>
      </c>
      <c r="R20" s="945" t="n">
        <v>0.022</v>
      </c>
      <c r="S20" s="945" t="n">
        <v>0.018</v>
      </c>
      <c r="T20" s="945" t="n">
        <v>0.014</v>
      </c>
      <c r="U20" s="945" t="n">
        <v>0.012</v>
      </c>
      <c r="V20" s="945" t="n">
        <v>0.011</v>
      </c>
      <c r="W20" s="945" t="n">
        <v>0.01</v>
      </c>
      <c r="X20" s="945" t="n">
        <v>0.009</v>
      </c>
      <c r="Y20" s="892"/>
      <c r="Z20" s="892"/>
      <c r="AA20" s="909" t="s">
        <v>602</v>
      </c>
      <c r="AB20" s="928" t="n">
        <v>82</v>
      </c>
      <c r="AC20" s="928" t="n">
        <v>62</v>
      </c>
      <c r="AD20" s="928" t="n">
        <v>51</v>
      </c>
      <c r="AE20" s="928" t="n">
        <v>34</v>
      </c>
      <c r="AF20" s="928" t="n">
        <v>24</v>
      </c>
      <c r="AG20" s="928" t="n">
        <v>17</v>
      </c>
      <c r="AH20" s="928" t="n">
        <v>10</v>
      </c>
      <c r="AI20" s="928" t="n">
        <v>5</v>
      </c>
      <c r="AJ20" s="934" t="s">
        <v>811</v>
      </c>
      <c r="AK20" s="890"/>
    </row>
    <row r="21" customFormat="false" ht="22.45" hidden="false" customHeight="false" outlineLevel="0" collapsed="false">
      <c r="B21" s="890"/>
      <c r="C21" s="0"/>
      <c r="D21" s="0"/>
      <c r="E21" s="0"/>
      <c r="F21" s="0"/>
      <c r="G21" s="0"/>
      <c r="H21" s="0"/>
      <c r="I21" s="890"/>
      <c r="J21" s="890"/>
      <c r="K21" s="890"/>
      <c r="L21" s="903" t="s">
        <v>1036</v>
      </c>
      <c r="M21" s="913" t="s">
        <v>1021</v>
      </c>
      <c r="N21" s="913" t="s">
        <v>1022</v>
      </c>
      <c r="O21" s="939" t="s">
        <v>1016</v>
      </c>
      <c r="P21" s="935" t="n">
        <v>108</v>
      </c>
      <c r="Q21" s="936" t="n">
        <v>108</v>
      </c>
      <c r="R21" s="936" t="n">
        <v>100</v>
      </c>
      <c r="S21" s="936" t="n">
        <v>100</v>
      </c>
      <c r="T21" s="936" t="n">
        <v>79</v>
      </c>
      <c r="U21" s="936" t="n">
        <v>69</v>
      </c>
      <c r="V21" s="936" t="n">
        <v>62</v>
      </c>
      <c r="W21" s="936" t="n">
        <v>54</v>
      </c>
      <c r="X21" s="936" t="n">
        <v>50</v>
      </c>
      <c r="Y21" s="892"/>
      <c r="Z21" s="892"/>
      <c r="AA21" s="916" t="s">
        <v>604</v>
      </c>
      <c r="AB21" s="930" t="n">
        <v>70</v>
      </c>
      <c r="AC21" s="930" t="n">
        <v>48</v>
      </c>
      <c r="AD21" s="930" t="n">
        <v>34</v>
      </c>
      <c r="AE21" s="930" t="n">
        <v>24</v>
      </c>
      <c r="AF21" s="930" t="n">
        <v>16</v>
      </c>
      <c r="AG21" s="930" t="n">
        <v>10</v>
      </c>
      <c r="AH21" s="930" t="n">
        <v>5</v>
      </c>
      <c r="AI21" s="930" t="n">
        <v>4</v>
      </c>
      <c r="AJ21" s="913" t="s">
        <v>811</v>
      </c>
      <c r="AK21" s="890"/>
    </row>
    <row r="22" customFormat="false" ht="22.05" hidden="false" customHeight="false" outlineLevel="0" collapsed="false">
      <c r="B22" s="0"/>
      <c r="C22" s="0"/>
      <c r="D22" s="0"/>
      <c r="E22" s="0"/>
      <c r="F22" s="0"/>
      <c r="G22" s="0"/>
      <c r="H22" s="0"/>
      <c r="I22" s="890"/>
      <c r="J22" s="890"/>
      <c r="K22" s="890"/>
      <c r="L22" s="946"/>
      <c r="M22" s="922"/>
      <c r="N22" s="922"/>
      <c r="O22" s="943" t="s">
        <v>1018</v>
      </c>
      <c r="P22" s="944" t="n">
        <v>32</v>
      </c>
      <c r="Q22" s="945" t="n">
        <v>30</v>
      </c>
      <c r="R22" s="945" t="n">
        <v>29</v>
      </c>
      <c r="S22" s="945" t="n">
        <v>28</v>
      </c>
      <c r="T22" s="945" t="n">
        <v>27</v>
      </c>
      <c r="U22" s="945" t="n">
        <v>26</v>
      </c>
      <c r="V22" s="945" t="n">
        <v>25</v>
      </c>
      <c r="W22" s="945" t="n">
        <v>23</v>
      </c>
      <c r="X22" s="945" t="n">
        <v>22</v>
      </c>
      <c r="Y22" s="892"/>
      <c r="Z22" s="892"/>
      <c r="AA22" s="890"/>
      <c r="AB22" s="890"/>
      <c r="AC22" s="890"/>
      <c r="AD22" s="890"/>
      <c r="AE22" s="890"/>
      <c r="AF22" s="890"/>
      <c r="AG22" s="890"/>
      <c r="AH22" s="890"/>
      <c r="AI22" s="890"/>
      <c r="AJ22" s="890"/>
      <c r="AK22" s="890"/>
    </row>
    <row r="23" customFormat="false" ht="22.45" hidden="false" customHeight="false" outlineLevel="0" collapsed="false">
      <c r="B23" s="890"/>
      <c r="C23" s="0"/>
      <c r="D23" s="0"/>
      <c r="E23" s="0"/>
      <c r="F23" s="0"/>
      <c r="G23" s="0"/>
      <c r="H23" s="0"/>
      <c r="I23" s="890"/>
      <c r="J23" s="890"/>
      <c r="K23" s="890"/>
      <c r="L23" s="939"/>
      <c r="M23" s="926"/>
      <c r="N23" s="926"/>
      <c r="O23" s="939" t="s">
        <v>1019</v>
      </c>
      <c r="P23" s="947" t="n">
        <v>0.022</v>
      </c>
      <c r="Q23" s="948" t="n">
        <v>0.016</v>
      </c>
      <c r="R23" s="948" t="n">
        <v>0.014</v>
      </c>
      <c r="S23" s="948" t="n">
        <v>0.013</v>
      </c>
      <c r="T23" s="948" t="n">
        <v>0.011</v>
      </c>
      <c r="U23" s="948" t="n">
        <v>0.01</v>
      </c>
      <c r="V23" s="948" t="n">
        <v>0.007</v>
      </c>
      <c r="W23" s="948" t="n">
        <v>0.005</v>
      </c>
      <c r="X23" s="948" t="s">
        <v>811</v>
      </c>
      <c r="Y23" s="892"/>
      <c r="Z23" s="892"/>
      <c r="AA23" s="890"/>
      <c r="AB23" s="890"/>
      <c r="AC23" s="890"/>
      <c r="AD23" s="890"/>
      <c r="AE23" s="890"/>
      <c r="AF23" s="890"/>
      <c r="AG23" s="890"/>
      <c r="AH23" s="890"/>
      <c r="AI23" s="890"/>
      <c r="AJ23" s="890"/>
      <c r="AK23" s="890"/>
    </row>
    <row r="24" customFormat="false" ht="22.45" hidden="false" customHeight="false" outlineLevel="0" collapsed="false">
      <c r="B24" s="890"/>
      <c r="C24" s="0"/>
      <c r="D24" s="0"/>
      <c r="E24" s="0"/>
      <c r="F24" s="0"/>
      <c r="G24" s="0"/>
      <c r="H24" s="0"/>
      <c r="I24" s="890"/>
      <c r="J24" s="890"/>
      <c r="K24" s="890"/>
      <c r="L24" s="903" t="s">
        <v>1037</v>
      </c>
      <c r="M24" s="913" t="s">
        <v>1021</v>
      </c>
      <c r="N24" s="913" t="s">
        <v>1022</v>
      </c>
      <c r="O24" s="939" t="s">
        <v>1016</v>
      </c>
      <c r="P24" s="935" t="n">
        <v>108</v>
      </c>
      <c r="Q24" s="936" t="n">
        <v>108</v>
      </c>
      <c r="R24" s="936" t="n">
        <v>100</v>
      </c>
      <c r="S24" s="936" t="n">
        <v>100</v>
      </c>
      <c r="T24" s="936" t="n">
        <v>79</v>
      </c>
      <c r="U24" s="936" t="n">
        <v>69</v>
      </c>
      <c r="V24" s="936" t="n">
        <v>62</v>
      </c>
      <c r="W24" s="936" t="n">
        <v>54</v>
      </c>
      <c r="X24" s="936" t="n">
        <v>50</v>
      </c>
      <c r="Y24" s="892"/>
      <c r="Z24" s="892"/>
      <c r="AA24" s="949" t="s">
        <v>1018</v>
      </c>
      <c r="AB24" s="890"/>
      <c r="AC24" s="890"/>
      <c r="AD24" s="890"/>
      <c r="AE24" s="890"/>
      <c r="AF24" s="890"/>
      <c r="AG24" s="890"/>
      <c r="AH24" s="890"/>
      <c r="AI24" s="890"/>
      <c r="AJ24" s="890"/>
      <c r="AK24" s="890"/>
    </row>
    <row r="25" customFormat="false" ht="58.7" hidden="false" customHeight="false" outlineLevel="0" collapsed="false">
      <c r="B25" s="0"/>
      <c r="C25" s="0"/>
      <c r="D25" s="0"/>
      <c r="E25" s="0"/>
      <c r="F25" s="0"/>
      <c r="G25" s="0"/>
      <c r="H25" s="0"/>
      <c r="I25" s="890"/>
      <c r="J25" s="890"/>
      <c r="K25" s="890"/>
      <c r="L25" s="946"/>
      <c r="M25" s="922"/>
      <c r="N25" s="922"/>
      <c r="O25" s="943" t="s">
        <v>1018</v>
      </c>
      <c r="P25" s="944" t="n">
        <v>32</v>
      </c>
      <c r="Q25" s="945" t="n">
        <v>30</v>
      </c>
      <c r="R25" s="945" t="n">
        <v>29</v>
      </c>
      <c r="S25" s="945" t="n">
        <v>28</v>
      </c>
      <c r="T25" s="945" t="n">
        <v>27</v>
      </c>
      <c r="U25" s="945" t="n">
        <v>26</v>
      </c>
      <c r="V25" s="945" t="n">
        <v>25</v>
      </c>
      <c r="W25" s="945" t="n">
        <v>23</v>
      </c>
      <c r="X25" s="945" t="n">
        <v>22</v>
      </c>
      <c r="Y25" s="892"/>
      <c r="Z25" s="892"/>
      <c r="AA25" s="950" t="s">
        <v>998</v>
      </c>
      <c r="AB25" s="951" t="s">
        <v>1006</v>
      </c>
      <c r="AC25" s="951" t="s">
        <v>1007</v>
      </c>
      <c r="AD25" s="951" t="s">
        <v>1008</v>
      </c>
      <c r="AE25" s="951" t="s">
        <v>1009</v>
      </c>
      <c r="AF25" s="951" t="s">
        <v>1010</v>
      </c>
      <c r="AG25" s="951" t="s">
        <v>1011</v>
      </c>
      <c r="AH25" s="951" t="s">
        <v>1012</v>
      </c>
      <c r="AI25" s="951" t="s">
        <v>1013</v>
      </c>
      <c r="AJ25" s="951" t="s">
        <v>1014</v>
      </c>
      <c r="AK25" s="890"/>
    </row>
    <row r="26" customFormat="false" ht="22.45" hidden="false" customHeight="false" outlineLevel="0" collapsed="false">
      <c r="B26" s="890"/>
      <c r="C26" s="0"/>
      <c r="D26" s="0"/>
      <c r="E26" s="0"/>
      <c r="F26" s="0"/>
      <c r="G26" s="0"/>
      <c r="H26" s="0"/>
      <c r="I26" s="890"/>
      <c r="J26" s="890"/>
      <c r="K26" s="890"/>
      <c r="L26" s="939"/>
      <c r="M26" s="926"/>
      <c r="N26" s="926"/>
      <c r="O26" s="939" t="s">
        <v>1019</v>
      </c>
      <c r="P26" s="935" t="n">
        <v>0.022</v>
      </c>
      <c r="Q26" s="936" t="n">
        <v>0.02</v>
      </c>
      <c r="R26" s="936" t="n">
        <v>0.014</v>
      </c>
      <c r="S26" s="936" t="n">
        <v>0.013</v>
      </c>
      <c r="T26" s="936" t="n">
        <v>0.011</v>
      </c>
      <c r="U26" s="936" t="n">
        <v>0.01</v>
      </c>
      <c r="V26" s="936" t="n">
        <v>0.007</v>
      </c>
      <c r="W26" s="936" t="n">
        <v>0.005</v>
      </c>
      <c r="X26" s="948" t="s">
        <v>811</v>
      </c>
      <c r="Y26" s="892"/>
      <c r="Z26" s="892"/>
      <c r="AA26" s="909" t="s">
        <v>38</v>
      </c>
      <c r="AB26" s="952" t="n">
        <v>35</v>
      </c>
      <c r="AC26" s="952" t="n">
        <v>35</v>
      </c>
      <c r="AD26" s="952" t="n">
        <v>35</v>
      </c>
      <c r="AE26" s="952" t="n">
        <v>35</v>
      </c>
      <c r="AF26" s="952" t="n">
        <v>35</v>
      </c>
      <c r="AG26" s="952" t="n">
        <v>35</v>
      </c>
      <c r="AH26" s="952" t="n">
        <v>35</v>
      </c>
      <c r="AI26" s="952" t="n">
        <v>35</v>
      </c>
      <c r="AJ26" s="952" t="n">
        <v>35</v>
      </c>
      <c r="AK26" s="890"/>
    </row>
    <row r="27" customFormat="false" ht="39.2" hidden="false" customHeight="false" outlineLevel="0" collapsed="false">
      <c r="B27" s="890"/>
      <c r="C27" s="0"/>
      <c r="D27" s="0"/>
      <c r="E27" s="0"/>
      <c r="F27" s="0"/>
      <c r="G27" s="0"/>
      <c r="H27" s="0"/>
      <c r="I27" s="890"/>
      <c r="J27" s="890"/>
      <c r="K27" s="890"/>
      <c r="L27" s="904" t="s">
        <v>1038</v>
      </c>
      <c r="M27" s="913" t="s">
        <v>1024</v>
      </c>
      <c r="N27" s="913" t="s">
        <v>1025</v>
      </c>
      <c r="O27" s="925" t="s">
        <v>1016</v>
      </c>
      <c r="P27" s="935" t="n">
        <v>108</v>
      </c>
      <c r="Q27" s="936" t="n">
        <v>100</v>
      </c>
      <c r="R27" s="936" t="n">
        <v>77</v>
      </c>
      <c r="S27" s="936" t="n">
        <v>64</v>
      </c>
      <c r="T27" s="936" t="n">
        <v>52</v>
      </c>
      <c r="U27" s="936" t="n">
        <v>42</v>
      </c>
      <c r="V27" s="936" t="n">
        <v>34</v>
      </c>
      <c r="W27" s="936" t="n">
        <v>27</v>
      </c>
      <c r="X27" s="936" t="n">
        <v>23</v>
      </c>
      <c r="Y27" s="892"/>
      <c r="Z27" s="892"/>
      <c r="AA27" s="916" t="s">
        <v>581</v>
      </c>
      <c r="AB27" s="952" t="n">
        <v>32</v>
      </c>
      <c r="AC27" s="952" t="n">
        <v>32</v>
      </c>
      <c r="AD27" s="952" t="n">
        <v>32</v>
      </c>
      <c r="AE27" s="952" t="n">
        <v>32</v>
      </c>
      <c r="AF27" s="952" t="n">
        <v>32</v>
      </c>
      <c r="AG27" s="952" t="n">
        <v>32</v>
      </c>
      <c r="AH27" s="952" t="n">
        <v>32</v>
      </c>
      <c r="AI27" s="952" t="n">
        <v>32</v>
      </c>
      <c r="AJ27" s="952" t="n">
        <v>32</v>
      </c>
      <c r="AK27" s="890"/>
    </row>
    <row r="28" customFormat="false" ht="23.05" hidden="false" customHeight="false" outlineLevel="0" collapsed="false">
      <c r="B28" s="0"/>
      <c r="C28" s="0"/>
      <c r="D28" s="0"/>
      <c r="E28" s="0"/>
      <c r="F28" s="0"/>
      <c r="G28" s="0"/>
      <c r="H28" s="0"/>
      <c r="I28" s="890"/>
      <c r="J28" s="890"/>
      <c r="K28" s="890"/>
      <c r="L28" s="953"/>
      <c r="M28" s="922"/>
      <c r="N28" s="922"/>
      <c r="O28" s="954" t="s">
        <v>1018</v>
      </c>
      <c r="P28" s="944" t="n">
        <v>27</v>
      </c>
      <c r="Q28" s="945" t="n">
        <v>25</v>
      </c>
      <c r="R28" s="945" t="n">
        <v>23</v>
      </c>
      <c r="S28" s="945" t="n">
        <v>21</v>
      </c>
      <c r="T28" s="945" t="n">
        <v>19</v>
      </c>
      <c r="U28" s="945" t="n">
        <v>18</v>
      </c>
      <c r="V28" s="945" t="n">
        <v>16</v>
      </c>
      <c r="W28" s="945" t="n">
        <v>13</v>
      </c>
      <c r="X28" s="945" t="n">
        <v>11</v>
      </c>
      <c r="Y28" s="892"/>
      <c r="Z28" s="892"/>
      <c r="AA28" s="909" t="s">
        <v>583</v>
      </c>
      <c r="AB28" s="952" t="n">
        <v>31</v>
      </c>
      <c r="AC28" s="952" t="n">
        <v>31</v>
      </c>
      <c r="AD28" s="952" t="n">
        <v>31</v>
      </c>
      <c r="AE28" s="952" t="n">
        <v>31</v>
      </c>
      <c r="AF28" s="952" t="n">
        <v>31</v>
      </c>
      <c r="AG28" s="952" t="n">
        <v>31</v>
      </c>
      <c r="AH28" s="952" t="n">
        <v>31</v>
      </c>
      <c r="AI28" s="952" t="n">
        <v>31</v>
      </c>
      <c r="AJ28" s="952" t="n">
        <v>31</v>
      </c>
      <c r="AK28" s="890"/>
    </row>
    <row r="29" customFormat="false" ht="24.2" hidden="false" customHeight="false" outlineLevel="0" collapsed="false">
      <c r="B29" s="890"/>
      <c r="C29" s="0"/>
      <c r="D29" s="0"/>
      <c r="E29" s="0"/>
      <c r="F29" s="0"/>
      <c r="G29" s="0"/>
      <c r="H29" s="0"/>
      <c r="I29" s="890"/>
      <c r="J29" s="890"/>
      <c r="K29" s="890"/>
      <c r="L29" s="955"/>
      <c r="M29" s="926"/>
      <c r="N29" s="926"/>
      <c r="O29" s="925" t="s">
        <v>1019</v>
      </c>
      <c r="P29" s="944" t="n">
        <v>0.0035</v>
      </c>
      <c r="Q29" s="945" t="n">
        <v>0.026</v>
      </c>
      <c r="R29" s="945" t="n">
        <v>0.024</v>
      </c>
      <c r="S29" s="945" t="n">
        <v>0.018</v>
      </c>
      <c r="T29" s="945" t="n">
        <v>0.014</v>
      </c>
      <c r="U29" s="945" t="n">
        <v>0.011</v>
      </c>
      <c r="V29" s="945" t="n">
        <v>0.009</v>
      </c>
      <c r="W29" s="945" t="n">
        <v>0.006</v>
      </c>
      <c r="X29" s="945" t="n">
        <v>0.004</v>
      </c>
      <c r="Y29" s="892"/>
      <c r="Z29" s="892"/>
      <c r="AA29" s="916" t="s">
        <v>585</v>
      </c>
      <c r="AB29" s="952" t="n">
        <v>31</v>
      </c>
      <c r="AC29" s="952" t="n">
        <v>31</v>
      </c>
      <c r="AD29" s="952" t="n">
        <v>31</v>
      </c>
      <c r="AE29" s="952" t="n">
        <v>31</v>
      </c>
      <c r="AF29" s="952" t="n">
        <v>31</v>
      </c>
      <c r="AG29" s="952" t="n">
        <v>31</v>
      </c>
      <c r="AH29" s="952" t="n">
        <v>31</v>
      </c>
      <c r="AI29" s="952" t="n">
        <v>31</v>
      </c>
      <c r="AJ29" s="952" t="n">
        <v>31</v>
      </c>
      <c r="AK29" s="890"/>
    </row>
    <row r="30" customFormat="false" ht="39.2" hidden="false" customHeight="false" outlineLevel="0" collapsed="false">
      <c r="B30" s="890"/>
      <c r="C30" s="0"/>
      <c r="D30" s="0"/>
      <c r="E30" s="0"/>
      <c r="F30" s="0"/>
      <c r="G30" s="0"/>
      <c r="H30" s="0"/>
      <c r="I30" s="890"/>
      <c r="J30" s="890"/>
      <c r="K30" s="890"/>
      <c r="L30" s="904" t="s">
        <v>1039</v>
      </c>
      <c r="M30" s="913" t="s">
        <v>1024</v>
      </c>
      <c r="N30" s="913" t="s">
        <v>1026</v>
      </c>
      <c r="O30" s="925" t="s">
        <v>1016</v>
      </c>
      <c r="P30" s="944" t="n">
        <v>108</v>
      </c>
      <c r="Q30" s="945" t="n">
        <v>100</v>
      </c>
      <c r="R30" s="945" t="n">
        <v>77</v>
      </c>
      <c r="S30" s="945" t="n">
        <v>64</v>
      </c>
      <c r="T30" s="945" t="n">
        <v>52</v>
      </c>
      <c r="U30" s="945" t="n">
        <v>42</v>
      </c>
      <c r="V30" s="945" t="n">
        <v>34</v>
      </c>
      <c r="W30" s="945" t="n">
        <v>27</v>
      </c>
      <c r="X30" s="945" t="n">
        <v>23</v>
      </c>
      <c r="Y30" s="892"/>
      <c r="Z30" s="892"/>
      <c r="AA30" s="909" t="s">
        <v>587</v>
      </c>
      <c r="AB30" s="956" t="n">
        <v>38</v>
      </c>
      <c r="AC30" s="956" t="n">
        <v>38</v>
      </c>
      <c r="AD30" s="956" t="n">
        <v>37</v>
      </c>
      <c r="AE30" s="956" t="n">
        <v>37</v>
      </c>
      <c r="AF30" s="956" t="n">
        <v>36</v>
      </c>
      <c r="AG30" s="956" t="n">
        <v>35</v>
      </c>
      <c r="AH30" s="956" t="n">
        <v>34</v>
      </c>
      <c r="AI30" s="956" t="n">
        <v>33</v>
      </c>
      <c r="AJ30" s="956" t="n">
        <v>32</v>
      </c>
      <c r="AK30" s="890"/>
    </row>
    <row r="31" customFormat="false" ht="39.2" hidden="false" customHeight="false" outlineLevel="0" collapsed="false">
      <c r="B31" s="0"/>
      <c r="C31" s="0"/>
      <c r="D31" s="0"/>
      <c r="E31" s="0"/>
      <c r="F31" s="0"/>
      <c r="G31" s="0"/>
      <c r="H31" s="0"/>
      <c r="I31" s="890"/>
      <c r="J31" s="890"/>
      <c r="K31" s="890"/>
      <c r="L31" s="953"/>
      <c r="M31" s="922"/>
      <c r="N31" s="922"/>
      <c r="O31" s="954" t="s">
        <v>1018</v>
      </c>
      <c r="P31" s="944" t="n">
        <v>28</v>
      </c>
      <c r="Q31" s="945" t="n">
        <v>25</v>
      </c>
      <c r="R31" s="945" t="n">
        <v>24</v>
      </c>
      <c r="S31" s="945" t="n">
        <v>22</v>
      </c>
      <c r="T31" s="945" t="n">
        <v>20</v>
      </c>
      <c r="U31" s="945" t="n">
        <v>18</v>
      </c>
      <c r="V31" s="945" t="n">
        <v>16</v>
      </c>
      <c r="W31" s="945" t="n">
        <v>14</v>
      </c>
      <c r="X31" s="945" t="n">
        <v>11</v>
      </c>
      <c r="Y31" s="892"/>
      <c r="Z31" s="892"/>
      <c r="AA31" s="903" t="s">
        <v>589</v>
      </c>
      <c r="AB31" s="957" t="n">
        <v>32</v>
      </c>
      <c r="AC31" s="958" t="n">
        <v>30</v>
      </c>
      <c r="AD31" s="958" t="n">
        <v>29</v>
      </c>
      <c r="AE31" s="958" t="n">
        <v>28</v>
      </c>
      <c r="AF31" s="958" t="n">
        <v>27</v>
      </c>
      <c r="AG31" s="958" t="n">
        <v>26</v>
      </c>
      <c r="AH31" s="958" t="n">
        <v>25</v>
      </c>
      <c r="AI31" s="958" t="n">
        <v>23</v>
      </c>
      <c r="AJ31" s="959" t="n">
        <v>22</v>
      </c>
      <c r="AK31" s="890"/>
    </row>
    <row r="32" customFormat="false" ht="39.2" hidden="false" customHeight="false" outlineLevel="0" collapsed="false">
      <c r="B32" s="890"/>
      <c r="C32" s="0"/>
      <c r="D32" s="0"/>
      <c r="E32" s="0"/>
      <c r="F32" s="0"/>
      <c r="G32" s="0"/>
      <c r="H32" s="0"/>
      <c r="I32" s="890"/>
      <c r="J32" s="890"/>
      <c r="K32" s="890"/>
      <c r="L32" s="955"/>
      <c r="M32" s="926"/>
      <c r="N32" s="926"/>
      <c r="O32" s="925" t="s">
        <v>1019</v>
      </c>
      <c r="P32" s="944" t="n">
        <v>0.04</v>
      </c>
      <c r="Q32" s="945" t="n">
        <v>0.03</v>
      </c>
      <c r="R32" s="945" t="n">
        <v>0.03</v>
      </c>
      <c r="S32" s="945" t="n">
        <v>0.019</v>
      </c>
      <c r="T32" s="945" t="n">
        <v>0.015</v>
      </c>
      <c r="U32" s="945" t="n">
        <v>0.012</v>
      </c>
      <c r="V32" s="945" t="n">
        <v>0.009</v>
      </c>
      <c r="W32" s="945" t="n">
        <v>0.007</v>
      </c>
      <c r="X32" s="945" t="n">
        <v>0.005</v>
      </c>
      <c r="Y32" s="892"/>
      <c r="Z32" s="892"/>
      <c r="AA32" s="903" t="s">
        <v>591</v>
      </c>
      <c r="AB32" s="944" t="n">
        <v>32</v>
      </c>
      <c r="AC32" s="945" t="n">
        <v>30</v>
      </c>
      <c r="AD32" s="945" t="n">
        <v>29</v>
      </c>
      <c r="AE32" s="945" t="n">
        <v>28</v>
      </c>
      <c r="AF32" s="945" t="n">
        <v>27</v>
      </c>
      <c r="AG32" s="945" t="n">
        <v>26</v>
      </c>
      <c r="AH32" s="945" t="n">
        <v>25</v>
      </c>
      <c r="AI32" s="945" t="n">
        <v>23</v>
      </c>
      <c r="AJ32" s="960" t="n">
        <v>22</v>
      </c>
      <c r="AK32" s="890"/>
    </row>
    <row r="33" customFormat="false" ht="39.2" hidden="false" customHeight="false" outlineLevel="0" collapsed="false">
      <c r="B33" s="890"/>
      <c r="C33" s="0"/>
      <c r="D33" s="0"/>
      <c r="E33" s="0"/>
      <c r="F33" s="0"/>
      <c r="G33" s="0"/>
      <c r="H33" s="0"/>
      <c r="I33" s="890"/>
      <c r="J33" s="890"/>
      <c r="K33" s="890"/>
      <c r="L33" s="902" t="s">
        <v>1040</v>
      </c>
      <c r="M33" s="913" t="s">
        <v>1027</v>
      </c>
      <c r="N33" s="913" t="s">
        <v>1028</v>
      </c>
      <c r="O33" s="925" t="s">
        <v>1016</v>
      </c>
      <c r="P33" s="944" t="n">
        <v>100</v>
      </c>
      <c r="Q33" s="945" t="n">
        <v>80</v>
      </c>
      <c r="R33" s="945" t="n">
        <v>62</v>
      </c>
      <c r="S33" s="945" t="n">
        <v>49</v>
      </c>
      <c r="T33" s="945" t="n">
        <v>38</v>
      </c>
      <c r="U33" s="945" t="n">
        <v>29</v>
      </c>
      <c r="V33" s="945" t="n">
        <v>21</v>
      </c>
      <c r="W33" s="945" t="n">
        <v>13</v>
      </c>
      <c r="X33" s="945" t="n">
        <v>10</v>
      </c>
      <c r="Y33" s="892"/>
      <c r="Z33" s="892"/>
      <c r="AA33" s="916" t="s">
        <v>593</v>
      </c>
      <c r="AB33" s="928" t="n">
        <v>27</v>
      </c>
      <c r="AC33" s="928" t="n">
        <v>25</v>
      </c>
      <c r="AD33" s="928" t="n">
        <v>23</v>
      </c>
      <c r="AE33" s="928" t="n">
        <v>21</v>
      </c>
      <c r="AF33" s="928" t="n">
        <v>19</v>
      </c>
      <c r="AG33" s="928" t="n">
        <v>18</v>
      </c>
      <c r="AH33" s="928" t="n">
        <v>16</v>
      </c>
      <c r="AI33" s="928" t="n">
        <v>13</v>
      </c>
      <c r="AJ33" s="928" t="n">
        <v>11</v>
      </c>
      <c r="AK33" s="890"/>
    </row>
    <row r="34" customFormat="false" ht="23.05" hidden="false" customHeight="false" outlineLevel="0" collapsed="false">
      <c r="B34" s="890"/>
      <c r="C34" s="0"/>
      <c r="D34" s="0"/>
      <c r="E34" s="0"/>
      <c r="F34" s="0"/>
      <c r="G34" s="0"/>
      <c r="H34" s="0"/>
      <c r="I34" s="890"/>
      <c r="J34" s="890"/>
      <c r="K34" s="890"/>
      <c r="L34" s="921"/>
      <c r="M34" s="922"/>
      <c r="N34" s="922"/>
      <c r="O34" s="954" t="s">
        <v>1018</v>
      </c>
      <c r="P34" s="944" t="n">
        <v>25</v>
      </c>
      <c r="Q34" s="945" t="n">
        <v>22</v>
      </c>
      <c r="R34" s="945" t="n">
        <v>20</v>
      </c>
      <c r="S34" s="945" t="n">
        <v>18</v>
      </c>
      <c r="T34" s="945" t="n">
        <v>15</v>
      </c>
      <c r="U34" s="945" t="n">
        <v>13</v>
      </c>
      <c r="V34" s="945" t="n">
        <v>10</v>
      </c>
      <c r="W34" s="945" t="n">
        <v>7</v>
      </c>
      <c r="X34" s="945" t="s">
        <v>811</v>
      </c>
      <c r="Y34" s="892"/>
      <c r="Z34" s="892"/>
      <c r="AA34" s="909" t="s">
        <v>13</v>
      </c>
      <c r="AB34" s="928" t="n">
        <v>28</v>
      </c>
      <c r="AC34" s="928" t="n">
        <v>25</v>
      </c>
      <c r="AD34" s="928" t="n">
        <v>24</v>
      </c>
      <c r="AE34" s="928" t="n">
        <v>22</v>
      </c>
      <c r="AF34" s="928" t="n">
        <v>20</v>
      </c>
      <c r="AG34" s="928" t="n">
        <v>18</v>
      </c>
      <c r="AH34" s="928" t="n">
        <v>16</v>
      </c>
      <c r="AI34" s="928" t="n">
        <v>14</v>
      </c>
      <c r="AJ34" s="928" t="n">
        <v>11</v>
      </c>
      <c r="AK34" s="890"/>
    </row>
    <row r="35" customFormat="false" ht="24.2" hidden="false" customHeight="false" outlineLevel="0" collapsed="false">
      <c r="B35" s="890"/>
      <c r="C35" s="0"/>
      <c r="D35" s="0"/>
      <c r="E35" s="0"/>
      <c r="F35" s="0"/>
      <c r="G35" s="0"/>
      <c r="H35" s="0"/>
      <c r="I35" s="890"/>
      <c r="J35" s="890"/>
      <c r="K35" s="890"/>
      <c r="L35" s="925"/>
      <c r="M35" s="926"/>
      <c r="N35" s="926"/>
      <c r="O35" s="925" t="s">
        <v>1019</v>
      </c>
      <c r="P35" s="944" t="n">
        <v>0.05</v>
      </c>
      <c r="Q35" s="945" t="n">
        <v>0.035</v>
      </c>
      <c r="R35" s="945" t="n">
        <v>0.03</v>
      </c>
      <c r="S35" s="945" t="n">
        <v>0.022</v>
      </c>
      <c r="T35" s="945" t="n">
        <v>0.016</v>
      </c>
      <c r="U35" s="945" t="n">
        <v>0.013</v>
      </c>
      <c r="V35" s="945" t="n">
        <v>0.01</v>
      </c>
      <c r="W35" s="945" t="n">
        <v>0.008</v>
      </c>
      <c r="X35" s="945" t="n">
        <v>0.007</v>
      </c>
      <c r="Y35" s="892"/>
      <c r="Z35" s="892"/>
      <c r="AA35" s="916" t="s">
        <v>596</v>
      </c>
      <c r="AB35" s="928" t="n">
        <v>25</v>
      </c>
      <c r="AC35" s="928" t="n">
        <v>22</v>
      </c>
      <c r="AD35" s="928" t="n">
        <v>20</v>
      </c>
      <c r="AE35" s="928" t="n">
        <v>18</v>
      </c>
      <c r="AF35" s="928" t="n">
        <v>15</v>
      </c>
      <c r="AG35" s="928" t="n">
        <v>13</v>
      </c>
      <c r="AH35" s="928" t="n">
        <v>10</v>
      </c>
      <c r="AI35" s="928" t="n">
        <v>7</v>
      </c>
      <c r="AJ35" s="928" t="s">
        <v>811</v>
      </c>
      <c r="AK35" s="890"/>
    </row>
    <row r="36" customFormat="false" ht="39.2" hidden="false" customHeight="false" outlineLevel="0" collapsed="false">
      <c r="B36" s="0"/>
      <c r="C36" s="0"/>
      <c r="D36" s="0"/>
      <c r="E36" s="0"/>
      <c r="F36" s="0"/>
      <c r="G36" s="0"/>
      <c r="H36" s="0"/>
      <c r="I36" s="890"/>
      <c r="J36" s="890"/>
      <c r="K36" s="890"/>
      <c r="L36" s="902" t="s">
        <v>1041</v>
      </c>
      <c r="M36" s="913" t="s">
        <v>1027</v>
      </c>
      <c r="N36" s="913" t="s">
        <v>1030</v>
      </c>
      <c r="O36" s="925" t="s">
        <v>1016</v>
      </c>
      <c r="P36" s="944" t="n">
        <v>100</v>
      </c>
      <c r="Q36" s="945" t="n">
        <v>80</v>
      </c>
      <c r="R36" s="945" t="n">
        <v>62</v>
      </c>
      <c r="S36" s="945" t="n">
        <v>49</v>
      </c>
      <c r="T36" s="945" t="n">
        <v>38</v>
      </c>
      <c r="U36" s="945" t="n">
        <v>29</v>
      </c>
      <c r="V36" s="945" t="n">
        <v>21</v>
      </c>
      <c r="W36" s="945" t="n">
        <v>13</v>
      </c>
      <c r="X36" s="945" t="n">
        <v>10</v>
      </c>
      <c r="Y36" s="890"/>
      <c r="Z36" s="890"/>
      <c r="AA36" s="909" t="s">
        <v>598</v>
      </c>
      <c r="AB36" s="928" t="n">
        <v>25</v>
      </c>
      <c r="AC36" s="928" t="n">
        <v>22</v>
      </c>
      <c r="AD36" s="928" t="n">
        <v>20</v>
      </c>
      <c r="AE36" s="928" t="n">
        <v>18</v>
      </c>
      <c r="AF36" s="928" t="n">
        <v>15</v>
      </c>
      <c r="AG36" s="928" t="n">
        <v>13</v>
      </c>
      <c r="AH36" s="928" t="n">
        <v>10</v>
      </c>
      <c r="AI36" s="928" t="n">
        <v>7</v>
      </c>
      <c r="AJ36" s="928" t="s">
        <v>811</v>
      </c>
      <c r="AK36" s="890"/>
    </row>
    <row r="37" customFormat="false" ht="23.05" hidden="false" customHeight="false" outlineLevel="0" collapsed="false">
      <c r="B37" s="0"/>
      <c r="C37" s="0"/>
      <c r="D37" s="0"/>
      <c r="E37" s="0"/>
      <c r="F37" s="0"/>
      <c r="G37" s="0"/>
      <c r="H37" s="0"/>
      <c r="I37" s="890"/>
      <c r="J37" s="890"/>
      <c r="K37" s="890"/>
      <c r="L37" s="921"/>
      <c r="M37" s="922"/>
      <c r="N37" s="922"/>
      <c r="O37" s="954" t="s">
        <v>1018</v>
      </c>
      <c r="P37" s="944" t="n">
        <v>25</v>
      </c>
      <c r="Q37" s="945" t="n">
        <v>22</v>
      </c>
      <c r="R37" s="945" t="n">
        <v>20</v>
      </c>
      <c r="S37" s="945" t="n">
        <v>18</v>
      </c>
      <c r="T37" s="945" t="n">
        <v>15</v>
      </c>
      <c r="U37" s="945" t="n">
        <v>13</v>
      </c>
      <c r="V37" s="945" t="n">
        <v>10</v>
      </c>
      <c r="W37" s="945" t="n">
        <v>7</v>
      </c>
      <c r="X37" s="945" t="s">
        <v>811</v>
      </c>
      <c r="Y37" s="890"/>
      <c r="Z37" s="890"/>
      <c r="AA37" s="916" t="s">
        <v>600</v>
      </c>
      <c r="AB37" s="928" t="n">
        <v>23</v>
      </c>
      <c r="AC37" s="928" t="n">
        <v>20</v>
      </c>
      <c r="AD37" s="928" t="n">
        <v>17</v>
      </c>
      <c r="AE37" s="928" t="n">
        <v>15</v>
      </c>
      <c r="AF37" s="928" t="n">
        <v>12</v>
      </c>
      <c r="AG37" s="928" t="n">
        <v>8</v>
      </c>
      <c r="AH37" s="928" t="n">
        <v>3</v>
      </c>
      <c r="AI37" s="928" t="s">
        <v>811</v>
      </c>
      <c r="AJ37" s="928" t="s">
        <v>811</v>
      </c>
      <c r="AK37" s="890"/>
    </row>
    <row r="38" customFormat="false" ht="24.2" hidden="false" customHeight="false" outlineLevel="0" collapsed="false">
      <c r="B38" s="0"/>
      <c r="C38" s="0"/>
      <c r="D38" s="0"/>
      <c r="E38" s="0"/>
      <c r="F38" s="0"/>
      <c r="G38" s="0"/>
      <c r="H38" s="0"/>
      <c r="I38" s="890"/>
      <c r="J38" s="890"/>
      <c r="K38" s="890"/>
      <c r="L38" s="925"/>
      <c r="M38" s="926"/>
      <c r="N38" s="926"/>
      <c r="O38" s="925" t="s">
        <v>1019</v>
      </c>
      <c r="P38" s="944" t="n">
        <v>0.05</v>
      </c>
      <c r="Q38" s="945" t="n">
        <v>0.035</v>
      </c>
      <c r="R38" s="945" t="n">
        <v>0.03</v>
      </c>
      <c r="S38" s="945" t="n">
        <v>0.022</v>
      </c>
      <c r="T38" s="945" t="n">
        <v>0.016</v>
      </c>
      <c r="U38" s="945" t="n">
        <v>0.013</v>
      </c>
      <c r="V38" s="945" t="n">
        <v>0.01</v>
      </c>
      <c r="W38" s="945" t="n">
        <v>0.008</v>
      </c>
      <c r="X38" s="945" t="n">
        <v>0.007</v>
      </c>
      <c r="Y38" s="890"/>
      <c r="Z38" s="890"/>
      <c r="AA38" s="909" t="s">
        <v>602</v>
      </c>
      <c r="AB38" s="928" t="n">
        <v>23</v>
      </c>
      <c r="AC38" s="928" t="n">
        <v>20</v>
      </c>
      <c r="AD38" s="928" t="n">
        <v>17</v>
      </c>
      <c r="AE38" s="928" t="n">
        <v>15</v>
      </c>
      <c r="AF38" s="928" t="n">
        <v>12</v>
      </c>
      <c r="AG38" s="928" t="n">
        <v>8</v>
      </c>
      <c r="AH38" s="928" t="n">
        <v>3</v>
      </c>
      <c r="AI38" s="928" t="s">
        <v>811</v>
      </c>
      <c r="AJ38" s="928" t="s">
        <v>811</v>
      </c>
      <c r="AK38" s="890"/>
    </row>
    <row r="39" customFormat="false" ht="39.2" hidden="false" customHeight="false" outlineLevel="0" collapsed="false">
      <c r="B39" s="0"/>
      <c r="C39" s="0"/>
      <c r="D39" s="0"/>
      <c r="E39" s="0"/>
      <c r="F39" s="0"/>
      <c r="G39" s="0"/>
      <c r="H39" s="0"/>
      <c r="I39" s="890"/>
      <c r="J39" s="890"/>
      <c r="K39" s="890"/>
      <c r="L39" s="902" t="s">
        <v>1042</v>
      </c>
      <c r="M39" s="913" t="s">
        <v>1031</v>
      </c>
      <c r="N39" s="913" t="s">
        <v>1032</v>
      </c>
      <c r="O39" s="925" t="s">
        <v>1016</v>
      </c>
      <c r="P39" s="935" t="n">
        <v>82</v>
      </c>
      <c r="Q39" s="936" t="n">
        <v>62</v>
      </c>
      <c r="R39" s="936" t="n">
        <v>51</v>
      </c>
      <c r="S39" s="936" t="n">
        <v>34</v>
      </c>
      <c r="T39" s="936" t="n">
        <v>24</v>
      </c>
      <c r="U39" s="936" t="n">
        <v>17</v>
      </c>
      <c r="V39" s="936" t="n">
        <v>10</v>
      </c>
      <c r="W39" s="936" t="n">
        <v>5</v>
      </c>
      <c r="X39" s="936" t="s">
        <v>811</v>
      </c>
      <c r="Y39" s="890"/>
      <c r="Z39" s="890"/>
      <c r="AA39" s="916" t="s">
        <v>604</v>
      </c>
      <c r="AB39" s="928" t="n">
        <v>22</v>
      </c>
      <c r="AC39" s="928" t="n">
        <v>19</v>
      </c>
      <c r="AD39" s="928" t="n">
        <v>16</v>
      </c>
      <c r="AE39" s="928" t="n">
        <v>13</v>
      </c>
      <c r="AF39" s="928" t="n">
        <v>10</v>
      </c>
      <c r="AG39" s="928" t="n">
        <v>5</v>
      </c>
      <c r="AH39" s="928" t="s">
        <v>811</v>
      </c>
      <c r="AI39" s="928" t="s">
        <v>811</v>
      </c>
      <c r="AJ39" s="928" t="s">
        <v>811</v>
      </c>
      <c r="AK39" s="890"/>
    </row>
    <row r="40" customFormat="false" ht="23.05" hidden="false" customHeight="false" outlineLevel="0" collapsed="false">
      <c r="B40" s="0"/>
      <c r="C40" s="0"/>
      <c r="D40" s="0"/>
      <c r="E40" s="0"/>
      <c r="F40" s="0"/>
      <c r="G40" s="0"/>
      <c r="H40" s="0"/>
      <c r="I40" s="890"/>
      <c r="J40" s="890"/>
      <c r="K40" s="890"/>
      <c r="L40" s="921"/>
      <c r="M40" s="922"/>
      <c r="N40" s="922"/>
      <c r="O40" s="954" t="s">
        <v>1018</v>
      </c>
      <c r="P40" s="944" t="n">
        <v>23</v>
      </c>
      <c r="Q40" s="945" t="n">
        <v>20</v>
      </c>
      <c r="R40" s="945" t="n">
        <v>17</v>
      </c>
      <c r="S40" s="945" t="n">
        <v>15</v>
      </c>
      <c r="T40" s="945" t="n">
        <v>12</v>
      </c>
      <c r="U40" s="945" t="n">
        <v>8</v>
      </c>
      <c r="V40" s="945" t="n">
        <v>3</v>
      </c>
      <c r="W40" s="945" t="s">
        <v>811</v>
      </c>
      <c r="X40" s="945" t="s">
        <v>811</v>
      </c>
      <c r="Y40" s="890"/>
      <c r="Z40" s="890"/>
      <c r="AA40" s="890"/>
      <c r="AB40" s="890"/>
      <c r="AC40" s="890"/>
      <c r="AD40" s="890"/>
      <c r="AE40" s="890"/>
      <c r="AF40" s="890"/>
      <c r="AG40" s="890"/>
      <c r="AH40" s="890"/>
      <c r="AI40" s="890"/>
      <c r="AJ40" s="890"/>
      <c r="AK40" s="890"/>
    </row>
    <row r="41" customFormat="false" ht="24.2" hidden="false" customHeight="false" outlineLevel="0" collapsed="false">
      <c r="B41" s="0"/>
      <c r="C41" s="0"/>
      <c r="D41" s="0"/>
      <c r="E41" s="0"/>
      <c r="F41" s="0"/>
      <c r="G41" s="0"/>
      <c r="H41" s="0"/>
      <c r="I41" s="890"/>
      <c r="J41" s="890"/>
      <c r="K41" s="890"/>
      <c r="L41" s="925"/>
      <c r="M41" s="926"/>
      <c r="N41" s="926"/>
      <c r="O41" s="925" t="s">
        <v>1019</v>
      </c>
      <c r="P41" s="944" t="n">
        <v>0.06</v>
      </c>
      <c r="Q41" s="945" t="n">
        <v>0.04</v>
      </c>
      <c r="R41" s="945" t="n">
        <v>0.032</v>
      </c>
      <c r="S41" s="945" t="n">
        <v>0.024</v>
      </c>
      <c r="T41" s="945" t="n">
        <v>0.02</v>
      </c>
      <c r="U41" s="945" t="n">
        <v>0.02</v>
      </c>
      <c r="V41" s="945" t="n">
        <v>0.01</v>
      </c>
      <c r="W41" s="945" t="n">
        <v>0.008</v>
      </c>
      <c r="X41" s="945" t="n">
        <v>0.01</v>
      </c>
      <c r="Y41" s="890"/>
      <c r="Z41" s="890"/>
      <c r="AA41" s="925" t="s">
        <v>1019</v>
      </c>
      <c r="AB41" s="890"/>
      <c r="AC41" s="890"/>
      <c r="AD41" s="890"/>
      <c r="AE41" s="890"/>
      <c r="AF41" s="890"/>
      <c r="AG41" s="890"/>
      <c r="AH41" s="890"/>
      <c r="AI41" s="890"/>
      <c r="AJ41" s="890"/>
      <c r="AK41" s="890"/>
    </row>
    <row r="42" customFormat="false" ht="58.8" hidden="false" customHeight="false" outlineLevel="0" collapsed="false">
      <c r="B42" s="0"/>
      <c r="C42" s="0"/>
      <c r="D42" s="0"/>
      <c r="E42" s="0"/>
      <c r="F42" s="0"/>
      <c r="G42" s="0"/>
      <c r="H42" s="0"/>
      <c r="I42" s="890"/>
      <c r="J42" s="890"/>
      <c r="K42" s="890"/>
      <c r="L42" s="902" t="s">
        <v>1043</v>
      </c>
      <c r="M42" s="913" t="s">
        <v>1031</v>
      </c>
      <c r="N42" s="913" t="s">
        <v>1030</v>
      </c>
      <c r="O42" s="925" t="s">
        <v>1016</v>
      </c>
      <c r="P42" s="944" t="n">
        <v>82</v>
      </c>
      <c r="Q42" s="945" t="n">
        <v>62</v>
      </c>
      <c r="R42" s="945" t="n">
        <v>51</v>
      </c>
      <c r="S42" s="945" t="n">
        <v>34</v>
      </c>
      <c r="T42" s="945" t="n">
        <v>24</v>
      </c>
      <c r="U42" s="945" t="n">
        <v>17</v>
      </c>
      <c r="V42" s="945" t="n">
        <v>10</v>
      </c>
      <c r="W42" s="945" t="n">
        <v>5</v>
      </c>
      <c r="X42" s="945" t="s">
        <v>811</v>
      </c>
      <c r="Y42" s="890"/>
      <c r="Z42" s="890"/>
      <c r="AA42" s="950" t="s">
        <v>998</v>
      </c>
      <c r="AB42" s="951" t="s">
        <v>1006</v>
      </c>
      <c r="AC42" s="951" t="s">
        <v>1007</v>
      </c>
      <c r="AD42" s="951" t="s">
        <v>1008</v>
      </c>
      <c r="AE42" s="951" t="s">
        <v>1009</v>
      </c>
      <c r="AF42" s="951" t="s">
        <v>1010</v>
      </c>
      <c r="AG42" s="951" t="s">
        <v>1011</v>
      </c>
      <c r="AH42" s="951" t="s">
        <v>1012</v>
      </c>
      <c r="AI42" s="951" t="s">
        <v>1013</v>
      </c>
      <c r="AJ42" s="951" t="s">
        <v>1014</v>
      </c>
      <c r="AK42" s="890"/>
    </row>
    <row r="43" customFormat="false" ht="23.05" hidden="false" customHeight="false" outlineLevel="0" collapsed="false">
      <c r="B43" s="0"/>
      <c r="C43" s="0"/>
      <c r="D43" s="0"/>
      <c r="E43" s="0"/>
      <c r="F43" s="0"/>
      <c r="G43" s="0"/>
      <c r="H43" s="0"/>
      <c r="I43" s="890"/>
      <c r="J43" s="890"/>
      <c r="K43" s="890"/>
      <c r="L43" s="921"/>
      <c r="M43" s="922"/>
      <c r="N43" s="922"/>
      <c r="O43" s="954" t="s">
        <v>1018</v>
      </c>
      <c r="P43" s="944" t="n">
        <v>23</v>
      </c>
      <c r="Q43" s="945" t="n">
        <v>20</v>
      </c>
      <c r="R43" s="945" t="n">
        <v>17</v>
      </c>
      <c r="S43" s="945" t="n">
        <v>15</v>
      </c>
      <c r="T43" s="945" t="n">
        <v>12</v>
      </c>
      <c r="U43" s="945" t="n">
        <v>8</v>
      </c>
      <c r="V43" s="945" t="n">
        <v>3</v>
      </c>
      <c r="W43" s="945" t="s">
        <v>811</v>
      </c>
      <c r="X43" s="945" t="s">
        <v>811</v>
      </c>
      <c r="Y43" s="890"/>
      <c r="Z43" s="890"/>
      <c r="AA43" s="909" t="s">
        <v>38</v>
      </c>
      <c r="AB43" s="952" t="n">
        <v>0.004</v>
      </c>
      <c r="AC43" s="952" t="n">
        <v>0.004</v>
      </c>
      <c r="AD43" s="952" t="n">
        <v>0.004</v>
      </c>
      <c r="AE43" s="952" t="n">
        <v>0.004</v>
      </c>
      <c r="AF43" s="952" t="n">
        <v>0.004</v>
      </c>
      <c r="AG43" s="952" t="n">
        <v>0.004</v>
      </c>
      <c r="AH43" s="952" t="n">
        <v>0.004</v>
      </c>
      <c r="AI43" s="952" t="n">
        <v>0.004</v>
      </c>
      <c r="AJ43" s="952" t="n">
        <v>0.004</v>
      </c>
      <c r="AK43" s="890"/>
    </row>
    <row r="44" customFormat="false" ht="24.2" hidden="false" customHeight="false" outlineLevel="0" collapsed="false">
      <c r="B44" s="0"/>
      <c r="C44" s="0"/>
      <c r="D44" s="0"/>
      <c r="E44" s="0"/>
      <c r="F44" s="0"/>
      <c r="G44" s="0"/>
      <c r="H44" s="0"/>
      <c r="I44" s="890"/>
      <c r="J44" s="890"/>
      <c r="K44" s="890"/>
      <c r="L44" s="925"/>
      <c r="M44" s="926"/>
      <c r="N44" s="926"/>
      <c r="O44" s="925" t="s">
        <v>1019</v>
      </c>
      <c r="P44" s="944" t="n">
        <v>0.06</v>
      </c>
      <c r="Q44" s="945" t="n">
        <v>0.04</v>
      </c>
      <c r="R44" s="945" t="n">
        <v>0.032</v>
      </c>
      <c r="S44" s="945" t="n">
        <v>0.024</v>
      </c>
      <c r="T44" s="945" t="n">
        <v>0.02</v>
      </c>
      <c r="U44" s="945" t="n">
        <v>0.02</v>
      </c>
      <c r="V44" s="945" t="n">
        <v>0.01</v>
      </c>
      <c r="W44" s="945" t="n">
        <v>0.008</v>
      </c>
      <c r="X44" s="945" t="n">
        <v>0.01</v>
      </c>
      <c r="Y44" s="890"/>
      <c r="Z44" s="890"/>
      <c r="AA44" s="916" t="s">
        <v>581</v>
      </c>
      <c r="AB44" s="961" t="n">
        <v>0.004</v>
      </c>
      <c r="AC44" s="961" t="n">
        <v>0.004</v>
      </c>
      <c r="AD44" s="961" t="n">
        <v>0.004</v>
      </c>
      <c r="AE44" s="961" t="n">
        <v>0.004</v>
      </c>
      <c r="AF44" s="961" t="n">
        <v>0.004</v>
      </c>
      <c r="AG44" s="961" t="n">
        <v>0.004</v>
      </c>
      <c r="AH44" s="961" t="n">
        <v>0.004</v>
      </c>
      <c r="AI44" s="961" t="n">
        <v>0.004</v>
      </c>
      <c r="AJ44" s="961" t="n">
        <v>0.004</v>
      </c>
      <c r="AK44" s="890"/>
    </row>
    <row r="45" customFormat="false" ht="24.2" hidden="false" customHeight="false" outlineLevel="0" collapsed="false">
      <c r="B45" s="0"/>
      <c r="C45" s="0"/>
      <c r="D45" s="0"/>
      <c r="E45" s="0"/>
      <c r="F45" s="0"/>
      <c r="G45" s="0"/>
      <c r="H45" s="0"/>
      <c r="I45" s="890"/>
      <c r="J45" s="890"/>
      <c r="K45" s="890"/>
      <c r="L45" s="902" t="s">
        <v>1044</v>
      </c>
      <c r="M45" s="913" t="s">
        <v>1034</v>
      </c>
      <c r="N45" s="953" t="s">
        <v>1045</v>
      </c>
      <c r="O45" s="962" t="s">
        <v>1016</v>
      </c>
      <c r="P45" s="963" t="n">
        <v>70</v>
      </c>
      <c r="Q45" s="964" t="n">
        <v>48</v>
      </c>
      <c r="R45" s="964" t="n">
        <v>34</v>
      </c>
      <c r="S45" s="964" t="n">
        <v>24</v>
      </c>
      <c r="T45" s="964" t="n">
        <v>16</v>
      </c>
      <c r="U45" s="964" t="n">
        <v>10</v>
      </c>
      <c r="V45" s="964" t="n">
        <v>5</v>
      </c>
      <c r="W45" s="964" t="n">
        <v>4</v>
      </c>
      <c r="X45" s="964" t="s">
        <v>811</v>
      </c>
      <c r="Y45" s="890"/>
      <c r="Z45" s="890"/>
      <c r="AA45" s="909" t="s">
        <v>583</v>
      </c>
      <c r="AB45" s="952" t="n">
        <v>0.003</v>
      </c>
      <c r="AC45" s="952" t="n">
        <v>0.003</v>
      </c>
      <c r="AD45" s="952" t="n">
        <v>0.003</v>
      </c>
      <c r="AE45" s="952" t="n">
        <v>0.003</v>
      </c>
      <c r="AF45" s="952" t="n">
        <v>0.003</v>
      </c>
      <c r="AG45" s="952" t="n">
        <v>0.003</v>
      </c>
      <c r="AH45" s="952" t="n">
        <v>0.003</v>
      </c>
      <c r="AI45" s="952" t="n">
        <v>0.003</v>
      </c>
      <c r="AJ45" s="952" t="n">
        <v>0.003</v>
      </c>
      <c r="AK45" s="890"/>
    </row>
    <row r="46" customFormat="false" ht="23.05" hidden="false" customHeight="false" outlineLevel="0" collapsed="false">
      <c r="B46" s="0"/>
      <c r="C46" s="0"/>
      <c r="D46" s="0"/>
      <c r="E46" s="0"/>
      <c r="F46" s="0"/>
      <c r="G46" s="0"/>
      <c r="H46" s="0"/>
      <c r="I46" s="890"/>
      <c r="J46" s="890"/>
      <c r="K46" s="890"/>
      <c r="L46" s="921"/>
      <c r="M46" s="922"/>
      <c r="N46" s="953" t="s">
        <v>1046</v>
      </c>
      <c r="O46" s="965" t="s">
        <v>1018</v>
      </c>
      <c r="P46" s="963" t="n">
        <v>22</v>
      </c>
      <c r="Q46" s="964" t="n">
        <v>19</v>
      </c>
      <c r="R46" s="964" t="n">
        <v>16</v>
      </c>
      <c r="S46" s="964" t="n">
        <v>13</v>
      </c>
      <c r="T46" s="964" t="n">
        <v>10</v>
      </c>
      <c r="U46" s="964" t="n">
        <v>5</v>
      </c>
      <c r="V46" s="964" t="s">
        <v>811</v>
      </c>
      <c r="W46" s="964" t="s">
        <v>811</v>
      </c>
      <c r="X46" s="964" t="s">
        <v>811</v>
      </c>
      <c r="Y46" s="890"/>
      <c r="Z46" s="890"/>
      <c r="AA46" s="916" t="s">
        <v>585</v>
      </c>
      <c r="AB46" s="961" t="n">
        <v>0.003</v>
      </c>
      <c r="AC46" s="961" t="n">
        <v>0.003</v>
      </c>
      <c r="AD46" s="961" t="n">
        <v>0.003</v>
      </c>
      <c r="AE46" s="961" t="n">
        <v>0.003</v>
      </c>
      <c r="AF46" s="961" t="n">
        <v>0.003</v>
      </c>
      <c r="AG46" s="961" t="n">
        <v>0.003</v>
      </c>
      <c r="AH46" s="961" t="n">
        <v>0.003</v>
      </c>
      <c r="AI46" s="961" t="n">
        <v>0.003</v>
      </c>
      <c r="AJ46" s="961" t="n">
        <v>0.003</v>
      </c>
      <c r="AK46" s="890"/>
    </row>
    <row r="47" customFormat="false" ht="24.2" hidden="false" customHeight="false" outlineLevel="0" collapsed="false">
      <c r="B47" s="0"/>
      <c r="C47" s="0"/>
      <c r="D47" s="0"/>
      <c r="E47" s="0"/>
      <c r="F47" s="0"/>
      <c r="G47" s="0"/>
      <c r="H47" s="0"/>
      <c r="I47" s="890"/>
      <c r="J47" s="890"/>
      <c r="K47" s="890"/>
      <c r="L47" s="921"/>
      <c r="M47" s="922"/>
      <c r="N47" s="966"/>
      <c r="O47" s="967" t="s">
        <v>1019</v>
      </c>
      <c r="P47" s="963" t="n">
        <v>0.06</v>
      </c>
      <c r="Q47" s="964" t="n">
        <v>0.044</v>
      </c>
      <c r="R47" s="964" t="n">
        <v>0.034</v>
      </c>
      <c r="S47" s="964" t="n">
        <v>0.025</v>
      </c>
      <c r="T47" s="964" t="n">
        <v>0.02</v>
      </c>
      <c r="U47" s="964" t="n">
        <v>0.015</v>
      </c>
      <c r="V47" s="964" t="n">
        <v>0.01</v>
      </c>
      <c r="W47" s="964" t="n">
        <v>0.006</v>
      </c>
      <c r="X47" s="964" t="s">
        <v>811</v>
      </c>
      <c r="Y47" s="890"/>
      <c r="Z47" s="890"/>
      <c r="AA47" s="909" t="s">
        <v>587</v>
      </c>
      <c r="AB47" s="956" t="n">
        <v>0.026</v>
      </c>
      <c r="AC47" s="956" t="n">
        <v>0.024</v>
      </c>
      <c r="AD47" s="956" t="n">
        <v>0.022</v>
      </c>
      <c r="AE47" s="956" t="n">
        <v>0.018</v>
      </c>
      <c r="AF47" s="956" t="n">
        <v>0.014</v>
      </c>
      <c r="AG47" s="956" t="n">
        <v>0.012</v>
      </c>
      <c r="AH47" s="956" t="n">
        <v>0.011</v>
      </c>
      <c r="AI47" s="956" t="n">
        <v>0.01</v>
      </c>
      <c r="AJ47" s="968" t="n">
        <v>0.009</v>
      </c>
      <c r="AK47" s="890"/>
    </row>
    <row r="48" customFormat="false" ht="46.5" hidden="false" customHeight="false" outlineLevel="0" collapsed="false">
      <c r="B48" s="0"/>
      <c r="C48" s="0"/>
      <c r="D48" s="0"/>
      <c r="E48" s="0"/>
      <c r="F48" s="0"/>
      <c r="G48" s="0"/>
      <c r="H48" s="0"/>
      <c r="I48" s="890"/>
      <c r="J48" s="890"/>
      <c r="K48" s="890"/>
      <c r="L48" s="892"/>
      <c r="M48" s="892"/>
      <c r="N48" s="892"/>
      <c r="O48" s="892"/>
      <c r="P48" s="969"/>
      <c r="Q48" s="969"/>
      <c r="R48" s="969"/>
      <c r="S48" s="969"/>
      <c r="T48" s="969"/>
      <c r="U48" s="969"/>
      <c r="V48" s="969"/>
      <c r="W48" s="969"/>
      <c r="X48" s="969"/>
      <c r="Y48" s="890"/>
      <c r="Z48" s="890"/>
      <c r="AA48" s="903" t="s">
        <v>589</v>
      </c>
      <c r="AB48" s="935" t="n">
        <v>0.022</v>
      </c>
      <c r="AC48" s="936" t="n">
        <v>0.016</v>
      </c>
      <c r="AD48" s="936" t="n">
        <v>0.014</v>
      </c>
      <c r="AE48" s="936" t="n">
        <v>0.013</v>
      </c>
      <c r="AF48" s="936" t="n">
        <v>0.011</v>
      </c>
      <c r="AG48" s="936" t="n">
        <v>0.01</v>
      </c>
      <c r="AH48" s="936" t="n">
        <v>0.007</v>
      </c>
      <c r="AI48" s="936" t="n">
        <v>0.005</v>
      </c>
      <c r="AJ48" s="936" t="s">
        <v>811</v>
      </c>
      <c r="AK48" s="890"/>
    </row>
    <row r="49" customFormat="false" ht="46.5" hidden="false" customHeight="false" outlineLevel="0" collapsed="false">
      <c r="B49" s="0"/>
      <c r="C49" s="0"/>
      <c r="D49" s="0"/>
      <c r="E49" s="0"/>
      <c r="F49" s="0"/>
      <c r="G49" s="0"/>
      <c r="H49" s="0"/>
      <c r="I49" s="890"/>
      <c r="J49" s="890"/>
      <c r="K49" s="890"/>
      <c r="L49" s="950"/>
      <c r="M49" s="950"/>
      <c r="N49" s="950"/>
      <c r="O49" s="950"/>
      <c r="P49" s="950"/>
      <c r="Q49" s="950"/>
      <c r="R49" s="950"/>
      <c r="S49" s="950"/>
      <c r="T49" s="950"/>
      <c r="U49" s="950"/>
      <c r="V49" s="950"/>
      <c r="W49" s="950"/>
      <c r="X49" s="950"/>
      <c r="Y49" s="890"/>
      <c r="Z49" s="890"/>
      <c r="AA49" s="903" t="s">
        <v>591</v>
      </c>
      <c r="AB49" s="957" t="n">
        <v>0.022</v>
      </c>
      <c r="AC49" s="958" t="n">
        <v>0.02</v>
      </c>
      <c r="AD49" s="958" t="n">
        <v>0.014</v>
      </c>
      <c r="AE49" s="958" t="n">
        <v>0.013</v>
      </c>
      <c r="AF49" s="958" t="n">
        <v>0.011</v>
      </c>
      <c r="AG49" s="958" t="n">
        <v>0.01</v>
      </c>
      <c r="AH49" s="958" t="n">
        <v>0.007</v>
      </c>
      <c r="AI49" s="958" t="n">
        <v>0.005</v>
      </c>
      <c r="AJ49" s="970" t="s">
        <v>811</v>
      </c>
      <c r="AK49" s="890"/>
    </row>
    <row r="50" customFormat="false" ht="23.25" hidden="false" customHeight="false" outlineLevel="0" collapsed="false">
      <c r="B50" s="890"/>
      <c r="C50" s="0"/>
      <c r="D50" s="0"/>
      <c r="E50" s="0"/>
      <c r="F50" s="0"/>
      <c r="G50" s="0"/>
      <c r="H50" s="0"/>
      <c r="I50" s="890"/>
      <c r="J50" s="890"/>
      <c r="K50" s="890"/>
      <c r="L50" s="892"/>
      <c r="M50" s="892"/>
      <c r="N50" s="892"/>
      <c r="O50" s="892"/>
      <c r="P50" s="969"/>
      <c r="Q50" s="969"/>
      <c r="R50" s="969"/>
      <c r="S50" s="969"/>
      <c r="T50" s="969"/>
      <c r="U50" s="969"/>
      <c r="V50" s="969"/>
      <c r="W50" s="969"/>
      <c r="X50" s="969"/>
      <c r="Y50" s="890"/>
      <c r="Z50" s="890"/>
      <c r="AA50" s="916" t="s">
        <v>593</v>
      </c>
      <c r="AB50" s="930" t="n">
        <v>0.0035</v>
      </c>
      <c r="AC50" s="930" t="n">
        <v>0.026</v>
      </c>
      <c r="AD50" s="930" t="n">
        <v>0.024</v>
      </c>
      <c r="AE50" s="930" t="n">
        <v>0.018</v>
      </c>
      <c r="AF50" s="930" t="n">
        <v>0.014</v>
      </c>
      <c r="AG50" s="930" t="n">
        <v>0.011</v>
      </c>
      <c r="AH50" s="930" t="n">
        <v>0.009</v>
      </c>
      <c r="AI50" s="930" t="n">
        <v>0.006</v>
      </c>
      <c r="AJ50" s="930" t="n">
        <v>0.004</v>
      </c>
      <c r="AK50" s="890"/>
    </row>
    <row r="51" customFormat="false" ht="23.25" hidden="false" customHeight="false" outlineLevel="0" collapsed="false">
      <c r="B51" s="890"/>
      <c r="C51" s="0"/>
      <c r="D51" s="0"/>
      <c r="E51" s="0"/>
      <c r="F51" s="0"/>
      <c r="G51" s="0"/>
      <c r="H51" s="0"/>
      <c r="I51" s="890"/>
      <c r="J51" s="890"/>
      <c r="K51" s="890"/>
      <c r="L51" s="892"/>
      <c r="M51" s="892"/>
      <c r="N51" s="892"/>
      <c r="O51" s="971"/>
      <c r="P51" s="969"/>
      <c r="Q51" s="969"/>
      <c r="R51" s="969"/>
      <c r="S51" s="969"/>
      <c r="T51" s="969"/>
      <c r="U51" s="969"/>
      <c r="V51" s="969"/>
      <c r="W51" s="969"/>
      <c r="X51" s="969"/>
      <c r="Y51" s="890"/>
      <c r="Z51" s="890"/>
      <c r="AA51" s="909" t="s">
        <v>13</v>
      </c>
      <c r="AB51" s="928" t="n">
        <v>0.04</v>
      </c>
      <c r="AC51" s="928" t="n">
        <v>0.03</v>
      </c>
      <c r="AD51" s="928" t="n">
        <v>0.03</v>
      </c>
      <c r="AE51" s="928" t="n">
        <v>0.019</v>
      </c>
      <c r="AF51" s="928" t="n">
        <v>0.015</v>
      </c>
      <c r="AG51" s="928" t="n">
        <v>0.012</v>
      </c>
      <c r="AH51" s="928" t="n">
        <v>0.009</v>
      </c>
      <c r="AI51" s="928" t="n">
        <v>0.007</v>
      </c>
      <c r="AJ51" s="928" t="n">
        <v>0.005</v>
      </c>
      <c r="AK51" s="890"/>
    </row>
    <row r="52" customFormat="false" ht="23.25" hidden="false" customHeight="false" outlineLevel="0" collapsed="false">
      <c r="B52" s="890"/>
      <c r="C52" s="0"/>
      <c r="D52" s="0"/>
      <c r="E52" s="0"/>
      <c r="F52" s="0"/>
      <c r="G52" s="0"/>
      <c r="H52" s="0"/>
      <c r="I52" s="890"/>
      <c r="J52" s="890"/>
      <c r="K52" s="890"/>
      <c r="L52" s="892"/>
      <c r="M52" s="892"/>
      <c r="N52" s="892"/>
      <c r="O52" s="892"/>
      <c r="P52" s="969"/>
      <c r="Q52" s="969"/>
      <c r="R52" s="969"/>
      <c r="S52" s="969"/>
      <c r="T52" s="969"/>
      <c r="U52" s="969"/>
      <c r="V52" s="969"/>
      <c r="W52" s="969"/>
      <c r="X52" s="969"/>
      <c r="Y52" s="890"/>
      <c r="Z52" s="890"/>
      <c r="AA52" s="916" t="s">
        <v>596</v>
      </c>
      <c r="AB52" s="930" t="n">
        <v>0.05</v>
      </c>
      <c r="AC52" s="930" t="n">
        <v>0.035</v>
      </c>
      <c r="AD52" s="930" t="n">
        <v>0.03</v>
      </c>
      <c r="AE52" s="930" t="n">
        <v>0.022</v>
      </c>
      <c r="AF52" s="930" t="n">
        <v>0.016</v>
      </c>
      <c r="AG52" s="930" t="n">
        <v>0.013</v>
      </c>
      <c r="AH52" s="930" t="n">
        <v>0.01</v>
      </c>
      <c r="AI52" s="930" t="n">
        <v>0.008</v>
      </c>
      <c r="AJ52" s="930" t="n">
        <v>0.007</v>
      </c>
      <c r="AK52" s="890"/>
    </row>
    <row r="53" customFormat="false" ht="23.25" hidden="false" customHeight="false" outlineLevel="0" collapsed="false">
      <c r="B53" s="890"/>
      <c r="C53" s="0"/>
      <c r="D53" s="0"/>
      <c r="E53" s="0"/>
      <c r="F53" s="0"/>
      <c r="G53" s="0"/>
      <c r="H53" s="0"/>
      <c r="I53" s="890"/>
      <c r="J53" s="890"/>
      <c r="K53" s="890"/>
      <c r="L53" s="892"/>
      <c r="M53" s="892"/>
      <c r="N53" s="892"/>
      <c r="O53" s="892"/>
      <c r="P53" s="969"/>
      <c r="Q53" s="969"/>
      <c r="R53" s="969"/>
      <c r="S53" s="969"/>
      <c r="T53" s="969"/>
      <c r="U53" s="969"/>
      <c r="V53" s="969"/>
      <c r="W53" s="969"/>
      <c r="X53" s="969"/>
      <c r="Y53" s="890"/>
      <c r="Z53" s="890"/>
      <c r="AA53" s="909" t="s">
        <v>598</v>
      </c>
      <c r="AB53" s="928" t="n">
        <v>0.05</v>
      </c>
      <c r="AC53" s="928" t="n">
        <v>0.035</v>
      </c>
      <c r="AD53" s="928" t="n">
        <v>0.03</v>
      </c>
      <c r="AE53" s="928" t="n">
        <v>0.022</v>
      </c>
      <c r="AF53" s="928" t="n">
        <v>0.016</v>
      </c>
      <c r="AG53" s="928" t="n">
        <v>0.013</v>
      </c>
      <c r="AH53" s="928" t="n">
        <v>0.01</v>
      </c>
      <c r="AI53" s="928" t="n">
        <v>0.008</v>
      </c>
      <c r="AJ53" s="928" t="n">
        <v>0.007</v>
      </c>
      <c r="AK53" s="890"/>
    </row>
    <row r="54" customFormat="false" ht="23.25" hidden="false" customHeight="false" outlineLevel="0" collapsed="false">
      <c r="B54" s="890"/>
      <c r="C54" s="890"/>
      <c r="D54" s="890"/>
      <c r="E54" s="890"/>
      <c r="F54" s="890"/>
      <c r="G54" s="890"/>
      <c r="H54" s="890"/>
      <c r="I54" s="890"/>
      <c r="J54" s="890"/>
      <c r="K54" s="890"/>
      <c r="L54" s="892"/>
      <c r="M54" s="892"/>
      <c r="N54" s="892"/>
      <c r="O54" s="971"/>
      <c r="P54" s="969"/>
      <c r="Q54" s="969"/>
      <c r="R54" s="969"/>
      <c r="S54" s="969"/>
      <c r="T54" s="969"/>
      <c r="U54" s="969"/>
      <c r="V54" s="969"/>
      <c r="W54" s="969"/>
      <c r="X54" s="969"/>
      <c r="Y54" s="890"/>
      <c r="Z54" s="890"/>
      <c r="AA54" s="916" t="s">
        <v>600</v>
      </c>
      <c r="AB54" s="930" t="n">
        <v>0.06</v>
      </c>
      <c r="AC54" s="930" t="n">
        <v>0.04</v>
      </c>
      <c r="AD54" s="930" t="n">
        <v>0.032</v>
      </c>
      <c r="AE54" s="930" t="n">
        <v>0.024</v>
      </c>
      <c r="AF54" s="930" t="n">
        <v>0.02</v>
      </c>
      <c r="AG54" s="930" t="n">
        <v>0.02</v>
      </c>
      <c r="AH54" s="930" t="n">
        <v>0.01</v>
      </c>
      <c r="AI54" s="930" t="n">
        <v>0.008</v>
      </c>
      <c r="AJ54" s="930" t="n">
        <v>0.01</v>
      </c>
      <c r="AK54" s="890"/>
    </row>
    <row r="55" customFormat="false" ht="23.25" hidden="false" customHeight="false" outlineLevel="0" collapsed="false">
      <c r="B55" s="890"/>
      <c r="C55" s="890"/>
      <c r="D55" s="890"/>
      <c r="E55" s="890"/>
      <c r="F55" s="890"/>
      <c r="G55" s="890"/>
      <c r="H55" s="890"/>
      <c r="I55" s="890"/>
      <c r="J55" s="890"/>
      <c r="K55" s="890"/>
      <c r="L55" s="892"/>
      <c r="M55" s="892"/>
      <c r="N55" s="892"/>
      <c r="O55" s="892"/>
      <c r="P55" s="969"/>
      <c r="Q55" s="969"/>
      <c r="R55" s="969"/>
      <c r="S55" s="969"/>
      <c r="T55" s="969"/>
      <c r="U55" s="969"/>
      <c r="V55" s="969"/>
      <c r="W55" s="969"/>
      <c r="X55" s="969"/>
      <c r="Y55" s="890"/>
      <c r="Z55" s="890"/>
      <c r="AA55" s="909" t="s">
        <v>602</v>
      </c>
      <c r="AB55" s="928" t="n">
        <v>0.06</v>
      </c>
      <c r="AC55" s="928" t="n">
        <v>0.04</v>
      </c>
      <c r="AD55" s="928" t="n">
        <v>0.032</v>
      </c>
      <c r="AE55" s="928" t="n">
        <v>0.024</v>
      </c>
      <c r="AF55" s="928" t="n">
        <v>0.02</v>
      </c>
      <c r="AG55" s="928" t="n">
        <v>0.02</v>
      </c>
      <c r="AH55" s="928" t="n">
        <v>0.01</v>
      </c>
      <c r="AI55" s="928" t="n">
        <v>0.008</v>
      </c>
      <c r="AJ55" s="928" t="n">
        <v>0.01</v>
      </c>
      <c r="AK55" s="890"/>
    </row>
    <row r="56" customFormat="false" ht="23.25" hidden="false" customHeight="false" outlineLevel="0" collapsed="false">
      <c r="B56" s="890"/>
      <c r="C56" s="890"/>
      <c r="D56" s="890"/>
      <c r="E56" s="890"/>
      <c r="F56" s="890"/>
      <c r="G56" s="890"/>
      <c r="H56" s="890"/>
      <c r="I56" s="890"/>
      <c r="J56" s="890"/>
      <c r="K56" s="890"/>
      <c r="L56" s="892"/>
      <c r="M56" s="892"/>
      <c r="N56" s="969"/>
      <c r="O56" s="892"/>
      <c r="P56" s="969"/>
      <c r="Q56" s="969"/>
      <c r="R56" s="969"/>
      <c r="S56" s="969"/>
      <c r="T56" s="969"/>
      <c r="U56" s="969"/>
      <c r="V56" s="969"/>
      <c r="W56" s="969"/>
      <c r="X56" s="969"/>
      <c r="Y56" s="890"/>
      <c r="Z56" s="890"/>
      <c r="AA56" s="916" t="s">
        <v>604</v>
      </c>
      <c r="AB56" s="930" t="n">
        <v>0.06</v>
      </c>
      <c r="AC56" s="930" t="n">
        <v>0.044</v>
      </c>
      <c r="AD56" s="930" t="n">
        <v>0.034</v>
      </c>
      <c r="AE56" s="930" t="n">
        <v>0.025</v>
      </c>
      <c r="AF56" s="930" t="n">
        <v>0.02</v>
      </c>
      <c r="AG56" s="930" t="n">
        <v>0.015</v>
      </c>
      <c r="AH56" s="930" t="n">
        <v>0.01</v>
      </c>
      <c r="AI56" s="930" t="n">
        <v>0.006</v>
      </c>
      <c r="AJ56" s="930" t="s">
        <v>811</v>
      </c>
      <c r="AK56" s="890"/>
    </row>
  </sheetData>
  <mergeCells count="1">
    <mergeCell ref="P3:X4"/>
  </mergeCells>
  <dataValidations count="1">
    <dataValidation allowBlank="true" operator="between" prompt="Виберіть вид глинистих грцнтів з випадаючого списку. " promptTitle="Різновид глинистих грунтів" showDropDown="false" showErrorMessage="true" showInputMessage="true" sqref="C21" type="list">
      <formula1>$C$6:$C$12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s>
</worksheet>
</file>

<file path=xl/worksheets/sheet24.xml><?xml version="1.0" encoding="utf-8"?>
<worksheet xmlns="http://schemas.openxmlformats.org/spreadsheetml/2006/main" xmlns:r="http://schemas.openxmlformats.org/officeDocument/2006/relationships">
  <sheetPr filterMode="false">
    <pageSetUpPr fitToPage="false"/>
  </sheetPr>
  <dimension ref="B2:G1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13.639175257732"/>
    <col collapsed="false" hidden="false" max="3" min="3" style="0" width="61.6443298969072"/>
    <col collapsed="false" hidden="false" max="7" min="4" style="0" width="13.639175257732"/>
    <col collapsed="false" hidden="false" max="1025" min="8" style="0" width="7.63917525773196"/>
  </cols>
  <sheetData>
    <row r="2" customFormat="false" ht="19.5" hidden="false" customHeight="true" outlineLevel="0" collapsed="false">
      <c r="B2" s="201"/>
      <c r="C2" s="972" t="s">
        <v>1047</v>
      </c>
      <c r="D2" s="972"/>
      <c r="E2" s="972"/>
      <c r="F2" s="972"/>
      <c r="G2" s="972"/>
    </row>
    <row r="3" customFormat="false" ht="18" hidden="false" customHeight="false" outlineLevel="0" collapsed="false">
      <c r="B3" s="973" t="s">
        <v>1048</v>
      </c>
      <c r="C3" s="974" t="s">
        <v>1049</v>
      </c>
      <c r="D3" s="975" t="s">
        <v>1050</v>
      </c>
      <c r="E3" s="438" t="s">
        <v>1051</v>
      </c>
      <c r="F3" s="438" t="s">
        <v>1052</v>
      </c>
      <c r="G3" s="974" t="s">
        <v>1053</v>
      </c>
    </row>
    <row r="4" customFormat="false" ht="18" hidden="false" customHeight="false" outlineLevel="0" collapsed="false">
      <c r="B4" s="973" t="s">
        <v>1054</v>
      </c>
      <c r="C4" s="974" t="s">
        <v>1055</v>
      </c>
      <c r="D4" s="975" t="s">
        <v>1056</v>
      </c>
      <c r="E4" s="438"/>
      <c r="F4" s="438"/>
      <c r="G4" s="974"/>
    </row>
    <row r="5" customFormat="false" ht="18" hidden="false" customHeight="false" outlineLevel="0" collapsed="false">
      <c r="B5" s="976"/>
      <c r="C5" s="977"/>
      <c r="D5" s="978"/>
      <c r="E5" s="979"/>
      <c r="F5" s="979"/>
      <c r="G5" s="980"/>
    </row>
    <row r="6" customFormat="false" ht="18" hidden="false" customHeight="false" outlineLevel="0" collapsed="false">
      <c r="B6" s="981"/>
      <c r="C6" s="980"/>
      <c r="D6" s="980" t="s">
        <v>50</v>
      </c>
      <c r="E6" s="980" t="s">
        <v>1057</v>
      </c>
      <c r="F6" s="980" t="s">
        <v>1058</v>
      </c>
      <c r="G6" s="980" t="s">
        <v>1059</v>
      </c>
    </row>
    <row r="7" customFormat="false" ht="36" hidden="false" customHeight="false" outlineLevel="0" collapsed="false">
      <c r="B7" s="982" t="s">
        <v>1060</v>
      </c>
      <c r="C7" s="983" t="s">
        <v>1061</v>
      </c>
      <c r="D7" s="984" t="n">
        <v>0.03</v>
      </c>
      <c r="E7" s="984" t="n">
        <v>0.03</v>
      </c>
      <c r="F7" s="984" t="n">
        <v>0.03</v>
      </c>
      <c r="G7" s="984" t="n">
        <v>0.03</v>
      </c>
    </row>
    <row r="8" customFormat="false" ht="36" hidden="false" customHeight="false" outlineLevel="0" collapsed="false">
      <c r="B8" s="982" t="s">
        <v>1062</v>
      </c>
      <c r="C8" s="983" t="s">
        <v>1063</v>
      </c>
      <c r="D8" s="984" t="n">
        <v>0.06</v>
      </c>
      <c r="E8" s="984" t="n">
        <v>0.06</v>
      </c>
      <c r="F8" s="984" t="n">
        <v>0.06</v>
      </c>
      <c r="G8" s="984" t="n">
        <v>0.06</v>
      </c>
    </row>
    <row r="9" customFormat="false" ht="36" hidden="false" customHeight="false" outlineLevel="0" collapsed="false">
      <c r="B9" s="982" t="s">
        <v>1064</v>
      </c>
      <c r="C9" s="985" t="s">
        <v>20</v>
      </c>
      <c r="D9" s="984" t="n">
        <v>0.05</v>
      </c>
      <c r="E9" s="984" t="n">
        <v>0.05</v>
      </c>
      <c r="F9" s="984" t="n">
        <v>0.05</v>
      </c>
      <c r="G9" s="984" t="n">
        <v>0.04</v>
      </c>
    </row>
    <row r="10" customFormat="false" ht="36" hidden="false" customHeight="false" outlineLevel="0" collapsed="false">
      <c r="B10" s="982" t="s">
        <v>1065</v>
      </c>
      <c r="C10" s="985" t="s">
        <v>1066</v>
      </c>
      <c r="D10" s="984" t="n">
        <v>0.07</v>
      </c>
      <c r="E10" s="984" t="n">
        <v>0.07</v>
      </c>
      <c r="F10" s="984" t="n">
        <v>0.06</v>
      </c>
      <c r="G10" s="984" t="n">
        <v>0.05</v>
      </c>
    </row>
    <row r="11" customFormat="false" ht="18" hidden="false" customHeight="false" outlineLevel="0" collapsed="false">
      <c r="B11" s="982" t="s">
        <v>1067</v>
      </c>
      <c r="C11" s="985" t="s">
        <v>1068</v>
      </c>
      <c r="D11" s="984" t="n">
        <v>0.08</v>
      </c>
      <c r="E11" s="984" t="n">
        <v>0.08</v>
      </c>
      <c r="F11" s="984" t="n">
        <v>0.06</v>
      </c>
      <c r="G11" s="984" t="n">
        <v>0.05</v>
      </c>
    </row>
    <row r="12" customFormat="false" ht="36" hidden="false" customHeight="false" outlineLevel="0" collapsed="false">
      <c r="B12" s="982" t="s">
        <v>1069</v>
      </c>
      <c r="C12" s="985" t="s">
        <v>1070</v>
      </c>
      <c r="D12" s="984" t="n">
        <v>0.05</v>
      </c>
      <c r="E12" s="984" t="n">
        <v>0.03</v>
      </c>
      <c r="F12" s="984" t="s">
        <v>811</v>
      </c>
      <c r="G12" s="984" t="s">
        <v>811</v>
      </c>
    </row>
    <row r="13" customFormat="false" ht="18" hidden="false" customHeight="false" outlineLevel="0" collapsed="false">
      <c r="B13" s="982" t="s">
        <v>1071</v>
      </c>
      <c r="C13" s="985" t="s">
        <v>1072</v>
      </c>
      <c r="D13" s="984" t="n">
        <v>0.08</v>
      </c>
      <c r="E13" s="984" t="n">
        <v>0.08</v>
      </c>
      <c r="F13" s="984" t="n">
        <v>0.06</v>
      </c>
      <c r="G13" s="984" t="n">
        <v>0.05</v>
      </c>
    </row>
    <row r="14" customFormat="false" ht="54" hidden="false" customHeight="true" outlineLevel="0" collapsed="false">
      <c r="B14" s="982" t="s">
        <v>1073</v>
      </c>
      <c r="C14" s="985" t="s">
        <v>1074</v>
      </c>
      <c r="D14" s="984" t="n">
        <v>0.05</v>
      </c>
      <c r="E14" s="984" t="n">
        <v>0.05</v>
      </c>
      <c r="F14" s="984" t="n">
        <v>0.03</v>
      </c>
      <c r="G14" s="984" t="n">
        <v>0.03</v>
      </c>
    </row>
    <row r="15" customFormat="false" ht="126" hidden="false" customHeight="false" outlineLevel="0" collapsed="false">
      <c r="B15" s="982" t="s">
        <v>1075</v>
      </c>
      <c r="C15" s="985" t="s">
        <v>1076</v>
      </c>
      <c r="D15" s="983" t="s">
        <v>1077</v>
      </c>
      <c r="E15" s="983" t="s">
        <v>1077</v>
      </c>
      <c r="F15" s="983" t="s">
        <v>1077</v>
      </c>
      <c r="G15" s="983" t="s">
        <v>1077</v>
      </c>
    </row>
    <row r="16" customFormat="false" ht="54" hidden="false" customHeight="false" outlineLevel="0" collapsed="false">
      <c r="B16" s="986" t="s">
        <v>1078</v>
      </c>
      <c r="C16" s="987" t="s">
        <v>1079</v>
      </c>
      <c r="D16" s="988" t="n">
        <v>0.05</v>
      </c>
      <c r="E16" s="988" t="n">
        <v>0.05</v>
      </c>
      <c r="F16" s="988" t="n">
        <v>0.03</v>
      </c>
      <c r="G16" s="988" t="n">
        <v>0.03</v>
      </c>
    </row>
  </sheetData>
  <sheetProtection sheet="true" objects="true" scenarios="true"/>
  <mergeCells count="1">
    <mergeCell ref="C2:G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5.xml><?xml version="1.0" encoding="utf-8"?>
<worksheet xmlns="http://schemas.openxmlformats.org/spreadsheetml/2006/main" xmlns:r="http://schemas.openxmlformats.org/officeDocument/2006/relationships">
  <sheetPr filterMode="false">
    <pageSetUpPr fitToPage="false"/>
  </sheetPr>
  <dimension ref="A2:AL39"/>
  <sheetViews>
    <sheetView windowProtection="false" showFormulas="false" showGridLines="true" showRowColHeaders="true" showZeros="true" rightToLeft="false" tabSelected="false" showOutlineSymbols="true" defaultGridColor="true" view="normal" topLeftCell="A4" colorId="64" zoomScale="65" zoomScaleNormal="65" zoomScalePageLayoutView="100" workbookViewId="0">
      <selection pane="topLeft" activeCell="C13" activeCellId="0" sqref="C13"/>
    </sheetView>
  </sheetViews>
  <sheetFormatPr defaultRowHeight="15"/>
  <cols>
    <col collapsed="false" hidden="false" max="1" min="1" style="0" width="7.77319587628866"/>
    <col collapsed="false" hidden="false" max="2" min="2" style="0" width="31.5051546391753"/>
    <col collapsed="false" hidden="false" max="3" min="3" style="0" width="54.9639175257732"/>
    <col collapsed="false" hidden="false" max="4" min="4" style="0" width="34.0979381443299"/>
    <col collapsed="false" hidden="false" max="5" min="5" style="0" width="13.639175257732"/>
    <col collapsed="false" hidden="false" max="6" min="6" style="0" width="15.819587628866"/>
    <col collapsed="false" hidden="false" max="7" min="7" style="0" width="26.0515463917526"/>
    <col collapsed="false" hidden="false" max="8" min="8" style="0" width="13.3659793814433"/>
    <col collapsed="false" hidden="false" max="11" min="9" style="0" width="12.6855670103093"/>
    <col collapsed="false" hidden="false" max="13" min="12" style="0" width="10.7731958762887"/>
    <col collapsed="false" hidden="false" max="14" min="14" style="0" width="7.63917525773196"/>
    <col collapsed="false" hidden="false" max="15" min="15" style="0" width="25.5051546391753"/>
    <col collapsed="false" hidden="false" max="16" min="16" style="0" width="19.3659793814433"/>
    <col collapsed="false" hidden="false" max="17" min="17" style="0" width="26.0515463917526"/>
    <col collapsed="false" hidden="false" max="19" min="18" style="0" width="7.63917525773196"/>
    <col collapsed="false" hidden="false" max="20" min="20" style="0" width="7.77319587628866"/>
    <col collapsed="false" hidden="false" max="21" min="21" style="0" width="7.63917525773196"/>
    <col collapsed="false" hidden="false" max="22" min="22" style="0" width="7.77319587628866"/>
    <col collapsed="false" hidden="false" max="25" min="23" style="0" width="7.63917525773196"/>
    <col collapsed="false" hidden="false" max="27" min="26" style="0" width="25.5051546391753"/>
    <col collapsed="false" hidden="false" max="28" min="28" style="0" width="16.9123711340206"/>
    <col collapsed="false" hidden="false" max="33" min="29" style="0" width="7.3659793814433"/>
    <col collapsed="false" hidden="false" max="34" min="34" style="0" width="16.9123711340206"/>
    <col collapsed="false" hidden="false" max="37" min="35" style="0" width="7.63917525773196"/>
    <col collapsed="false" hidden="false" max="38" min="38" style="0" width="37.9123711340206"/>
    <col collapsed="false" hidden="false" max="1025" min="39" style="0" width="7.63917525773196"/>
  </cols>
  <sheetData>
    <row r="2" customFormat="false" ht="84" hidden="false" customHeight="true" outlineLevel="0" collapsed="false">
      <c r="C2" s="972" t="s">
        <v>1080</v>
      </c>
      <c r="D2" s="972"/>
      <c r="E2" s="972"/>
      <c r="F2" s="972"/>
      <c r="G2" s="972"/>
      <c r="H2" s="972"/>
      <c r="I2" s="972"/>
      <c r="J2" s="972"/>
      <c r="K2" s="972"/>
      <c r="L2" s="972"/>
      <c r="M2" s="989"/>
      <c r="N2" s="989"/>
      <c r="O2" s="972" t="s">
        <v>1081</v>
      </c>
      <c r="P2" s="972"/>
      <c r="Q2" s="972"/>
      <c r="R2" s="972"/>
      <c r="S2" s="972"/>
      <c r="T2" s="972"/>
      <c r="U2" s="972"/>
      <c r="V2" s="972"/>
      <c r="W2" s="972"/>
      <c r="AA2" s="972" t="s">
        <v>1082</v>
      </c>
      <c r="AB2" s="972"/>
      <c r="AC2" s="972"/>
      <c r="AD2" s="972"/>
      <c r="AE2" s="972"/>
      <c r="AF2" s="972"/>
      <c r="AG2" s="972"/>
    </row>
    <row r="3" customFormat="false" ht="89.25" hidden="false" customHeight="true" outlineLevel="0" collapsed="false">
      <c r="E3" s="990" t="s">
        <v>1083</v>
      </c>
      <c r="F3" s="990"/>
      <c r="G3" s="990"/>
      <c r="H3" s="990"/>
      <c r="I3" s="990"/>
      <c r="J3" s="990"/>
      <c r="K3" s="990"/>
      <c r="L3" s="990"/>
      <c r="M3" s="991"/>
      <c r="N3" s="991"/>
      <c r="R3" s="992" t="s">
        <v>1084</v>
      </c>
      <c r="S3" s="992"/>
      <c r="T3" s="992"/>
      <c r="U3" s="992"/>
      <c r="V3" s="992"/>
      <c r="W3" s="992"/>
      <c r="AC3" s="990" t="s">
        <v>1085</v>
      </c>
      <c r="AD3" s="990"/>
      <c r="AE3" s="990"/>
      <c r="AF3" s="990"/>
      <c r="AG3" s="990"/>
    </row>
    <row r="4" customFormat="false" ht="15.75" hidden="false" customHeight="true" outlineLevel="0" collapsed="false">
      <c r="B4" s="993"/>
      <c r="C4" s="994"/>
      <c r="D4" s="994"/>
      <c r="N4" s="995"/>
      <c r="O4" s="994"/>
      <c r="P4" s="996"/>
      <c r="Q4" s="994"/>
      <c r="Z4" s="997" t="s">
        <v>314</v>
      </c>
      <c r="AA4" s="998" t="s">
        <v>1086</v>
      </c>
      <c r="AB4" s="998" t="s">
        <v>1087</v>
      </c>
      <c r="AC4" s="999" t="s">
        <v>1088</v>
      </c>
      <c r="AD4" s="999" t="s">
        <v>1089</v>
      </c>
      <c r="AE4" s="999" t="s">
        <v>1090</v>
      </c>
      <c r="AF4" s="1000" t="s">
        <v>1091</v>
      </c>
      <c r="AG4" s="1000" t="s">
        <v>1092</v>
      </c>
      <c r="AI4" s="0" t="n">
        <v>10</v>
      </c>
    </row>
    <row r="5" customFormat="false" ht="49.5" hidden="false" customHeight="false" outlineLevel="0" collapsed="false">
      <c r="B5" s="993" t="s">
        <v>314</v>
      </c>
      <c r="C5" s="994" t="s">
        <v>315</v>
      </c>
      <c r="D5" s="994" t="s">
        <v>1093</v>
      </c>
      <c r="E5" s="994" t="s">
        <v>131</v>
      </c>
      <c r="F5" s="994" t="s">
        <v>1094</v>
      </c>
      <c r="G5" s="994" t="s">
        <v>1095</v>
      </c>
      <c r="H5" s="994" t="s">
        <v>120</v>
      </c>
      <c r="I5" s="994" t="s">
        <v>121</v>
      </c>
      <c r="J5" s="994" t="s">
        <v>1096</v>
      </c>
      <c r="K5" s="994" t="s">
        <v>1097</v>
      </c>
      <c r="L5" s="994" t="s">
        <v>1098</v>
      </c>
      <c r="M5" s="1001"/>
      <c r="N5" s="995"/>
      <c r="O5" s="994" t="s">
        <v>314</v>
      </c>
      <c r="P5" s="996" t="s">
        <v>315</v>
      </c>
      <c r="Q5" s="994" t="s">
        <v>1099</v>
      </c>
      <c r="R5" s="1001" t="s">
        <v>1100</v>
      </c>
      <c r="S5" s="994" t="s">
        <v>1088</v>
      </c>
      <c r="T5" s="1001" t="s">
        <v>1089</v>
      </c>
      <c r="U5" s="1001" t="s">
        <v>1090</v>
      </c>
      <c r="V5" s="1001" t="s">
        <v>1091</v>
      </c>
      <c r="W5" s="994" t="s">
        <v>1092</v>
      </c>
      <c r="Z5" s="1002" t="s">
        <v>1101</v>
      </c>
      <c r="AA5" s="1003" t="s">
        <v>1102</v>
      </c>
      <c r="AB5" s="1004" t="s">
        <v>1103</v>
      </c>
      <c r="AC5" s="999" t="n">
        <v>400</v>
      </c>
      <c r="AD5" s="999" t="n">
        <f aca="false">Таблица24[[#This Row],[20]]-(Таблица24[[#This Row],[20]]-Таблица24[[#This Row],[30]])/2</f>
        <v>375</v>
      </c>
      <c r="AE5" s="999" t="n">
        <v>350</v>
      </c>
      <c r="AF5" s="1000" t="n">
        <f aca="false">Таблица24[[#This Row],[30]]-(Таблица24[[#This Row],[30]]-Таблица24[[#This Row],[40]])/2</f>
        <v>325</v>
      </c>
      <c r="AG5" s="1000" t="n">
        <v>300</v>
      </c>
      <c r="AI5" s="0" t="n">
        <v>20</v>
      </c>
    </row>
    <row r="6" customFormat="false" ht="90" hidden="false" customHeight="false" outlineLevel="0" collapsed="false">
      <c r="A6" s="0" t="n">
        <v>1</v>
      </c>
      <c r="B6" s="1005" t="s">
        <v>318</v>
      </c>
      <c r="C6" s="998" t="s">
        <v>319</v>
      </c>
      <c r="D6" s="1006" t="s">
        <v>1104</v>
      </c>
      <c r="E6" s="992" t="n">
        <v>7000</v>
      </c>
      <c r="F6" s="992" t="n">
        <v>0.09</v>
      </c>
      <c r="G6" s="992" t="n">
        <v>14</v>
      </c>
      <c r="H6" s="992" t="n">
        <v>0.1</v>
      </c>
      <c r="I6" s="992" t="n">
        <v>7</v>
      </c>
      <c r="J6" s="992" t="n">
        <v>3.1</v>
      </c>
      <c r="K6" s="991" t="n">
        <v>1</v>
      </c>
      <c r="L6" s="1007" t="n">
        <v>0.9</v>
      </c>
      <c r="M6" s="991"/>
      <c r="N6" s="991"/>
      <c r="O6" s="1008" t="s">
        <v>318</v>
      </c>
      <c r="P6" s="998" t="s">
        <v>319</v>
      </c>
      <c r="Q6" s="1004" t="s">
        <v>1105</v>
      </c>
      <c r="R6" s="999" t="n">
        <v>6000</v>
      </c>
      <c r="S6" s="999" t="n">
        <v>4000</v>
      </c>
      <c r="T6" s="999" t="n">
        <f aca="false">Таблица23[[#This Row],[30]]+(Таблица23[[#This Row],[20]]-Таблица23[[#This Row],[30]])/2</f>
        <v>3350</v>
      </c>
      <c r="U6" s="999" t="n">
        <v>2700</v>
      </c>
      <c r="V6" s="999" t="n">
        <f aca="false">Таблица23[[#This Row],[40]]+(Таблица23[[#This Row],[30]]-Таблица23[[#This Row],[40]])/2</f>
        <v>1950</v>
      </c>
      <c r="W6" s="999" t="n">
        <v>1200</v>
      </c>
      <c r="Z6" s="1002" t="s">
        <v>1106</v>
      </c>
      <c r="AA6" s="1003" t="s">
        <v>1107</v>
      </c>
      <c r="AB6" s="1004" t="s">
        <v>1108</v>
      </c>
      <c r="AC6" s="999" t="n">
        <v>300</v>
      </c>
      <c r="AD6" s="999" t="n">
        <f aca="false">Таблица24[[#This Row],[20]]-(Таблица24[[#This Row],[20]]-Таблица24[[#This Row],[30]])/2</f>
        <v>285</v>
      </c>
      <c r="AE6" s="999" t="n">
        <v>270</v>
      </c>
      <c r="AF6" s="1000" t="n">
        <f aca="false">Таблица24[[#This Row],[30]]-(Таблица24[[#This Row],[30]]-Таблица24[[#This Row],[40]])/2</f>
        <v>245</v>
      </c>
      <c r="AG6" s="1000" t="n">
        <v>220</v>
      </c>
      <c r="AI6" s="0" t="n">
        <v>25</v>
      </c>
    </row>
    <row r="7" customFormat="false" ht="90" hidden="false" customHeight="false" outlineLevel="0" collapsed="false">
      <c r="B7" s="1009" t="s">
        <v>320</v>
      </c>
      <c r="C7" s="998" t="s">
        <v>321</v>
      </c>
      <c r="D7" s="1010" t="s">
        <v>1109</v>
      </c>
      <c r="E7" s="999" t="n">
        <v>5500</v>
      </c>
      <c r="F7" s="999" t="n">
        <v>0.09</v>
      </c>
      <c r="G7" s="999" t="n">
        <v>12</v>
      </c>
      <c r="H7" s="999" t="n">
        <v>0.1</v>
      </c>
      <c r="I7" s="999" t="n">
        <v>6.5</v>
      </c>
      <c r="J7" s="999" t="n">
        <v>2.9</v>
      </c>
      <c r="K7" s="991" t="n">
        <v>1</v>
      </c>
      <c r="L7" s="1007" t="n">
        <v>0.9</v>
      </c>
      <c r="M7" s="991"/>
      <c r="N7" s="991"/>
      <c r="O7" s="1011" t="s">
        <v>320</v>
      </c>
      <c r="P7" s="998" t="s">
        <v>321</v>
      </c>
      <c r="Q7" s="1004" t="s">
        <v>1110</v>
      </c>
      <c r="R7" s="999" t="n">
        <v>5000</v>
      </c>
      <c r="S7" s="999" t="n">
        <v>3800</v>
      </c>
      <c r="T7" s="999" t="n">
        <f aca="false">Таблица23[[#This Row],[30]]+(Таблица23[[#This Row],[20]]-Таблица23[[#This Row],[30]])/2</f>
        <v>3150</v>
      </c>
      <c r="U7" s="999" t="n">
        <v>2500</v>
      </c>
      <c r="V7" s="999" t="n">
        <f aca="false">Таблица23[[#This Row],[40]]+(Таблица23[[#This Row],[30]]-Таблица23[[#This Row],[40]])/2</f>
        <v>1750</v>
      </c>
      <c r="W7" s="999" t="n">
        <v>1000</v>
      </c>
      <c r="Z7" s="1012" t="s">
        <v>1111</v>
      </c>
      <c r="AA7" s="998" t="s">
        <v>1112</v>
      </c>
      <c r="AB7" s="1004" t="s">
        <v>1113</v>
      </c>
      <c r="AC7" s="999" t="n">
        <v>200</v>
      </c>
      <c r="AD7" s="999" t="n">
        <f aca="false">Таблица24[[#This Row],[20]]-(Таблица24[[#This Row],[20]]-Таблица24[[#This Row],[30]])/2</f>
        <v>190</v>
      </c>
      <c r="AE7" s="999" t="n">
        <v>180</v>
      </c>
      <c r="AF7" s="1000" t="n">
        <f aca="false">Таблица24[[#This Row],[30]]-(Таблица24[[#This Row],[30]]-Таблица24[[#This Row],[40]])/2</f>
        <v>170</v>
      </c>
      <c r="AG7" s="1000" t="n">
        <v>160</v>
      </c>
      <c r="AI7" s="0" t="n">
        <v>30</v>
      </c>
    </row>
    <row r="8" customFormat="false" ht="60" hidden="false" customHeight="false" outlineLevel="0" collapsed="false">
      <c r="B8" s="1005" t="s">
        <v>323</v>
      </c>
      <c r="C8" s="994" t="s">
        <v>324</v>
      </c>
      <c r="D8" s="1004" t="s">
        <v>1114</v>
      </c>
      <c r="E8" s="999" t="n">
        <v>6000</v>
      </c>
      <c r="F8" s="999" t="n">
        <v>0.09</v>
      </c>
      <c r="G8" s="999" t="n">
        <v>10</v>
      </c>
      <c r="H8" s="999" t="n">
        <v>0.1</v>
      </c>
      <c r="I8" s="999" t="n">
        <v>6</v>
      </c>
      <c r="J8" s="999" t="n">
        <v>3.7</v>
      </c>
      <c r="K8" s="991" t="n">
        <v>0.9</v>
      </c>
      <c r="L8" s="1013" t="n">
        <v>0.8</v>
      </c>
      <c r="M8" s="991"/>
      <c r="N8" s="991"/>
      <c r="O8" s="1008" t="s">
        <v>323</v>
      </c>
      <c r="P8" s="994" t="s">
        <v>324</v>
      </c>
      <c r="Q8" s="1004" t="s">
        <v>1115</v>
      </c>
      <c r="R8" s="999" t="n">
        <v>4400</v>
      </c>
      <c r="S8" s="999" t="n">
        <v>2600</v>
      </c>
      <c r="T8" s="999" t="n">
        <f aca="false">Таблица23[[#This Row],[30]]+(Таблица23[[#This Row],[20]]-Таблица23[[#This Row],[30]])/2</f>
        <v>1950</v>
      </c>
      <c r="U8" s="999" t="n">
        <v>1300</v>
      </c>
      <c r="V8" s="999" t="n">
        <f aca="false">Таблица23[[#This Row],[40]]+(Таблица23[[#This Row],[30]]-Таблица23[[#This Row],[40]])/2</f>
        <v>995</v>
      </c>
      <c r="W8" s="999" t="n">
        <v>690</v>
      </c>
      <c r="Z8" s="1012" t="s">
        <v>1116</v>
      </c>
      <c r="AA8" s="994"/>
      <c r="AB8" s="1004" t="s">
        <v>1117</v>
      </c>
      <c r="AC8" s="999" t="n">
        <v>360</v>
      </c>
      <c r="AD8" s="999" t="n">
        <f aca="false">Таблица24[[#This Row],[20]]-(Таблица24[[#This Row],[20]]-Таблица24[[#This Row],[30]])/2</f>
        <v>340</v>
      </c>
      <c r="AE8" s="999" t="n">
        <v>320</v>
      </c>
      <c r="AF8" s="1000" t="n">
        <f aca="false">Таблица24[[#This Row],[30]]-(Таблица24[[#This Row],[30]]-Таблица24[[#This Row],[40]])/2</f>
        <v>300</v>
      </c>
      <c r="AG8" s="1000" t="n">
        <v>280</v>
      </c>
      <c r="AI8" s="0" t="n">
        <v>35</v>
      </c>
    </row>
    <row r="9" customFormat="false" ht="60" hidden="false" customHeight="false" outlineLevel="0" collapsed="false">
      <c r="B9" s="1009" t="s">
        <v>328</v>
      </c>
      <c r="C9" s="994" t="s">
        <v>27</v>
      </c>
      <c r="D9" s="1004" t="s">
        <v>1118</v>
      </c>
      <c r="E9" s="999" t="n">
        <v>4500</v>
      </c>
      <c r="F9" s="999" t="n">
        <v>0.1</v>
      </c>
      <c r="G9" s="999" t="n">
        <v>9.8</v>
      </c>
      <c r="H9" s="999" t="n">
        <v>0.1</v>
      </c>
      <c r="I9" s="999" t="n">
        <v>5.5</v>
      </c>
      <c r="J9" s="999" t="n">
        <v>4</v>
      </c>
      <c r="K9" s="991" t="n">
        <v>0.9</v>
      </c>
      <c r="L9" s="1013" t="n">
        <v>0.8</v>
      </c>
      <c r="M9" s="991"/>
      <c r="N9" s="991"/>
      <c r="O9" s="1011" t="s">
        <v>328</v>
      </c>
      <c r="P9" s="994" t="s">
        <v>27</v>
      </c>
      <c r="Q9" s="1004" t="s">
        <v>1118</v>
      </c>
      <c r="R9" s="999" t="n">
        <v>3200</v>
      </c>
      <c r="S9" s="999" t="n">
        <v>1800</v>
      </c>
      <c r="T9" s="999" t="n">
        <f aca="false">Таблица23[[#This Row],[30]]+(Таблица23[[#This Row],[20]]-Таблица23[[#This Row],[30]])/2</f>
        <v>1350</v>
      </c>
      <c r="U9" s="999" t="n">
        <v>900</v>
      </c>
      <c r="V9" s="999" t="n">
        <f aca="false">Таблица23[[#This Row],[40]]+(Таблица23[[#This Row],[30]]-Таблица23[[#This Row],[40]])/2</f>
        <v>725</v>
      </c>
      <c r="W9" s="999" t="n">
        <v>550</v>
      </c>
      <c r="Z9" s="1012" t="s">
        <v>1119</v>
      </c>
      <c r="AA9" s="994"/>
      <c r="AB9" s="1004" t="s">
        <v>1108</v>
      </c>
      <c r="AC9" s="999" t="n">
        <v>290</v>
      </c>
      <c r="AD9" s="999" t="n">
        <f aca="false">Таблица24[[#This Row],[20]]-(Таблица24[[#This Row],[20]]-Таблица24[[#This Row],[30]])/2</f>
        <v>270</v>
      </c>
      <c r="AE9" s="999" t="n">
        <v>250</v>
      </c>
      <c r="AF9" s="1000" t="n">
        <f aca="false">Таблица24[[#This Row],[30]]-(Таблица24[[#This Row],[30]]-Таблица24[[#This Row],[40]])/2</f>
        <v>235</v>
      </c>
      <c r="AG9" s="1000" t="n">
        <v>220</v>
      </c>
      <c r="AI9" s="0" t="n">
        <v>40</v>
      </c>
    </row>
    <row r="10" customFormat="false" ht="60" hidden="false" customHeight="false" outlineLevel="0" collapsed="false">
      <c r="B10" s="1005" t="s">
        <v>329</v>
      </c>
      <c r="C10" s="994" t="s">
        <v>330</v>
      </c>
      <c r="D10" s="1004" t="s">
        <v>1120</v>
      </c>
      <c r="E10" s="999" t="n">
        <v>3600</v>
      </c>
      <c r="F10" s="999" t="n">
        <v>0.1</v>
      </c>
      <c r="G10" s="999" t="n">
        <v>9.5</v>
      </c>
      <c r="H10" s="999" t="n">
        <v>0.1</v>
      </c>
      <c r="I10" s="999" t="n">
        <v>5</v>
      </c>
      <c r="J10" s="999" t="n">
        <v>4.5</v>
      </c>
      <c r="K10" s="991" t="n">
        <v>0.9</v>
      </c>
      <c r="L10" s="1013" t="n">
        <v>0.8</v>
      </c>
      <c r="M10" s="991"/>
      <c r="N10" s="991"/>
      <c r="O10" s="1008" t="s">
        <v>329</v>
      </c>
      <c r="P10" s="994" t="s">
        <v>330</v>
      </c>
      <c r="Q10" s="1004" t="s">
        <v>1120</v>
      </c>
      <c r="R10" s="999" t="n">
        <v>2400</v>
      </c>
      <c r="S10" s="999" t="n">
        <v>1200</v>
      </c>
      <c r="T10" s="999" t="n">
        <f aca="false">Таблица23[[#This Row],[30]]+(Таблица23[[#This Row],[20]]-Таблица23[[#This Row],[30]])/2</f>
        <v>930</v>
      </c>
      <c r="U10" s="999" t="n">
        <v>660</v>
      </c>
      <c r="V10" s="999" t="n">
        <f aca="false">Таблица23[[#This Row],[40]]+(Таблица23[[#This Row],[30]]-Таблица23[[#This Row],[40]])/2</f>
        <v>550</v>
      </c>
      <c r="W10" s="999" t="n">
        <v>440</v>
      </c>
      <c r="Z10" s="1012" t="s">
        <v>1121</v>
      </c>
      <c r="AA10" s="1003"/>
      <c r="AB10" s="1004" t="s">
        <v>1122</v>
      </c>
      <c r="AC10" s="999" t="n">
        <v>250</v>
      </c>
      <c r="AD10" s="999" t="n">
        <f aca="false">Таблица24[[#This Row],[20]]-(Таблица24[[#This Row],[20]]-Таблица24[[#This Row],[30]])/2</f>
        <v>237.5</v>
      </c>
      <c r="AE10" s="999" t="n">
        <v>225</v>
      </c>
      <c r="AF10" s="1000" t="n">
        <f aca="false">Таблица24[[#This Row],[30]]-(Таблица24[[#This Row],[30]]-Таблица24[[#This Row],[40]])/2</f>
        <v>212.5</v>
      </c>
      <c r="AG10" s="1000" t="n">
        <v>200</v>
      </c>
    </row>
    <row r="11" customFormat="false" ht="60" hidden="false" customHeight="false" outlineLevel="0" collapsed="false">
      <c r="B11" s="1009" t="s">
        <v>332</v>
      </c>
      <c r="C11" s="994" t="s">
        <v>333</v>
      </c>
      <c r="D11" s="1010" t="s">
        <v>1123</v>
      </c>
      <c r="E11" s="999" t="n">
        <v>2600</v>
      </c>
      <c r="F11" s="999" t="n">
        <v>0.11</v>
      </c>
      <c r="G11" s="999" t="n">
        <v>9.3</v>
      </c>
      <c r="H11" s="999" t="n">
        <v>0.12</v>
      </c>
      <c r="I11" s="999" t="n">
        <v>4.5</v>
      </c>
      <c r="J11" s="999" t="n">
        <v>5.1</v>
      </c>
      <c r="K11" s="991" t="n">
        <v>0.9</v>
      </c>
      <c r="L11" s="1013" t="n">
        <v>0.8</v>
      </c>
      <c r="M11" s="991"/>
      <c r="N11" s="991"/>
      <c r="O11" s="1011" t="s">
        <v>332</v>
      </c>
      <c r="P11" s="994" t="s">
        <v>333</v>
      </c>
      <c r="Q11" s="1004" t="s">
        <v>1123</v>
      </c>
      <c r="R11" s="999" t="n">
        <v>1500</v>
      </c>
      <c r="S11" s="999" t="n">
        <v>800</v>
      </c>
      <c r="T11" s="999" t="n">
        <f aca="false">Таблица23[[#This Row],[30]]+(Таблица23[[#This Row],[20]]-Таблица23[[#This Row],[30]])/2</f>
        <v>680</v>
      </c>
      <c r="U11" s="999" t="n">
        <v>560</v>
      </c>
      <c r="V11" s="999" t="n">
        <f aca="false">Таблица23[[#This Row],[40]]+(Таблица23[[#This Row],[30]]-Таблица23[[#This Row],[40]])/2</f>
        <v>470</v>
      </c>
      <c r="W11" s="999" t="n">
        <v>380</v>
      </c>
      <c r="Z11" s="1014" t="s">
        <v>1124</v>
      </c>
      <c r="AA11" s="1015" t="s">
        <v>1125</v>
      </c>
      <c r="AB11" s="1016" t="s">
        <v>1126</v>
      </c>
      <c r="AC11" s="1017" t="n">
        <v>380</v>
      </c>
      <c r="AD11" s="1017" t="n">
        <f aca="false">Таблица24[[#This Row],[20]]-(Таблица24[[#This Row],[20]]-Таблица24[[#This Row],[30]])/2</f>
        <v>360</v>
      </c>
      <c r="AE11" s="1017" t="n">
        <v>340</v>
      </c>
      <c r="AF11" s="1017" t="n">
        <f aca="false">Таблица24[[#This Row],[30]]-(Таблица24[[#This Row],[30]]-Таблица24[[#This Row],[40]])/2</f>
        <v>325</v>
      </c>
      <c r="AG11" s="1017" t="n">
        <v>310</v>
      </c>
    </row>
    <row r="12" customFormat="false" ht="45" hidden="false" customHeight="false" outlineLevel="0" collapsed="false">
      <c r="B12" s="1005" t="s">
        <v>335</v>
      </c>
      <c r="C12" s="998" t="s">
        <v>336</v>
      </c>
      <c r="D12" s="1004" t="s">
        <v>1115</v>
      </c>
      <c r="E12" s="999" t="n">
        <v>3600</v>
      </c>
      <c r="F12" s="999" t="n">
        <v>0.1</v>
      </c>
      <c r="G12" s="999" t="n">
        <v>8.3</v>
      </c>
      <c r="H12" s="999" t="n">
        <v>0.12</v>
      </c>
      <c r="I12" s="999" t="n">
        <v>4.5</v>
      </c>
      <c r="J12" s="999" t="n">
        <v>7.2</v>
      </c>
      <c r="K12" s="991" t="n">
        <v>0.75</v>
      </c>
      <c r="L12" s="1013" t="n">
        <v>0.8</v>
      </c>
      <c r="M12" s="991"/>
      <c r="N12" s="991"/>
      <c r="O12" s="1008" t="s">
        <v>335</v>
      </c>
      <c r="P12" s="998" t="s">
        <v>336</v>
      </c>
      <c r="Q12" s="1004" t="s">
        <v>1115</v>
      </c>
      <c r="R12" s="999" t="n">
        <v>2800</v>
      </c>
      <c r="S12" s="999" t="n">
        <v>1700</v>
      </c>
      <c r="T12" s="999" t="n">
        <f aca="false">Таблица23[[#This Row],[30]]+(Таблица23[[#This Row],[20]]-Таблица23[[#This Row],[30]])/2</f>
        <v>1300</v>
      </c>
      <c r="U12" s="999" t="n">
        <v>900</v>
      </c>
      <c r="V12" s="999" t="n">
        <f aca="false">Таблица23[[#This Row],[40]]+(Таблица23[[#This Row],[30]]-Таблица23[[#This Row],[40]])/2</f>
        <v>720</v>
      </c>
      <c r="W12" s="999" t="n">
        <v>540</v>
      </c>
      <c r="Z12" s="1002" t="s">
        <v>1127</v>
      </c>
      <c r="AA12" s="1018"/>
      <c r="AB12" s="996" t="s">
        <v>1128</v>
      </c>
      <c r="AC12" s="1019" t="n">
        <v>420</v>
      </c>
      <c r="AD12" s="1019" t="n">
        <f aca="false">Таблица24[[#This Row],[20]]-(Таблица24[[#This Row],[20]]-Таблица24[[#This Row],[30]])/2</f>
        <v>390</v>
      </c>
      <c r="AE12" s="1019" t="n">
        <v>360</v>
      </c>
      <c r="AF12" s="1019" t="n">
        <f aca="false">Таблица24[[#This Row],[30]]-(Таблица24[[#This Row],[30]]-Таблица24[[#This Row],[40]])/2</f>
        <v>340</v>
      </c>
      <c r="AG12" s="1019" t="n">
        <v>320</v>
      </c>
    </row>
    <row r="13" customFormat="false" ht="112.5" hidden="false" customHeight="false" outlineLevel="0" collapsed="false">
      <c r="B13" s="1009" t="s">
        <v>338</v>
      </c>
      <c r="C13" s="998" t="s">
        <v>28</v>
      </c>
      <c r="D13" s="1004" t="s">
        <v>1129</v>
      </c>
      <c r="E13" s="999" t="n">
        <v>2800</v>
      </c>
      <c r="F13" s="999" t="n">
        <v>0.11</v>
      </c>
      <c r="G13" s="999" t="n">
        <v>8</v>
      </c>
      <c r="H13" s="999" t="n">
        <v>0.12</v>
      </c>
      <c r="I13" s="999" t="n">
        <v>4.3</v>
      </c>
      <c r="J13" s="999" t="n">
        <v>8.2</v>
      </c>
      <c r="K13" s="991" t="n">
        <v>0.75</v>
      </c>
      <c r="L13" s="1013" t="n">
        <v>0.8</v>
      </c>
      <c r="M13" s="991"/>
      <c r="N13" s="991"/>
      <c r="O13" s="1011" t="s">
        <v>338</v>
      </c>
      <c r="P13" s="998" t="s">
        <v>28</v>
      </c>
      <c r="Q13" s="1004" t="s">
        <v>1118</v>
      </c>
      <c r="R13" s="999" t="n">
        <v>2000</v>
      </c>
      <c r="S13" s="999" t="n">
        <v>1200</v>
      </c>
      <c r="T13" s="999" t="n">
        <f aca="false">Таблица23[[#This Row],[30]]+(Таблица23[[#This Row],[20]]-Таблица23[[#This Row],[30]])/2</f>
        <v>950</v>
      </c>
      <c r="U13" s="999" t="n">
        <v>700</v>
      </c>
      <c r="V13" s="999" t="n">
        <f aca="false">Таблица23[[#This Row],[40]]+(Таблица23[[#This Row],[30]]-Таблица23[[#This Row],[40]])/2</f>
        <v>580</v>
      </c>
      <c r="W13" s="999" t="n">
        <v>460</v>
      </c>
      <c r="Z13" s="1014" t="s">
        <v>1130</v>
      </c>
      <c r="AA13" s="1018"/>
      <c r="AB13" s="996" t="s">
        <v>1131</v>
      </c>
      <c r="AC13" s="1019" t="n">
        <v>460</v>
      </c>
      <c r="AD13" s="1019" t="n">
        <f aca="false">Таблица24[[#This Row],[20]]-(Таблица24[[#This Row],[20]]-Таблица24[[#This Row],[30]])/2</f>
        <v>420</v>
      </c>
      <c r="AE13" s="1019" t="n">
        <v>380</v>
      </c>
      <c r="AF13" s="1019" t="n">
        <f aca="false">Таблица24[[#This Row],[30]]-(Таблица24[[#This Row],[30]]-Таблица24[[#This Row],[40]])/2</f>
        <v>360</v>
      </c>
      <c r="AG13" s="1019" t="n">
        <v>340</v>
      </c>
      <c r="AJ13" s="1020" t="s">
        <v>1132</v>
      </c>
      <c r="AK13" s="1021" t="s">
        <v>731</v>
      </c>
      <c r="AL13" s="1022" t="s">
        <v>1133</v>
      </c>
    </row>
    <row r="14" customFormat="false" ht="45" hidden="false" customHeight="false" outlineLevel="0" collapsed="false">
      <c r="B14" s="1005" t="s">
        <v>340</v>
      </c>
      <c r="C14" s="998" t="s">
        <v>341</v>
      </c>
      <c r="D14" s="1004" t="s">
        <v>1120</v>
      </c>
      <c r="E14" s="999" t="n">
        <v>2200</v>
      </c>
      <c r="F14" s="999" t="n">
        <v>0.12</v>
      </c>
      <c r="G14" s="999" t="n">
        <v>7.8</v>
      </c>
      <c r="H14" s="999" t="n">
        <v>0.14</v>
      </c>
      <c r="I14" s="999" t="n">
        <v>4</v>
      </c>
      <c r="J14" s="999" t="n">
        <v>8.6</v>
      </c>
      <c r="K14" s="991" t="n">
        <v>0.75</v>
      </c>
      <c r="L14" s="1013" t="n">
        <v>0.8</v>
      </c>
      <c r="M14" s="991"/>
      <c r="N14" s="991"/>
      <c r="O14" s="1008" t="s">
        <v>340</v>
      </c>
      <c r="P14" s="998" t="s">
        <v>341</v>
      </c>
      <c r="Q14" s="1004" t="s">
        <v>1120</v>
      </c>
      <c r="R14" s="999" t="n">
        <v>1400</v>
      </c>
      <c r="S14" s="999" t="n">
        <v>800</v>
      </c>
      <c r="T14" s="999" t="n">
        <f aca="false">Таблица23[[#This Row],[30]]+(Таблица23[[#This Row],[20]]-Таблица23[[#This Row],[30]])/2</f>
        <v>655</v>
      </c>
      <c r="U14" s="999" t="n">
        <v>510</v>
      </c>
      <c r="V14" s="999" t="n">
        <f aca="false">Таблица23[[#This Row],[40]]+(Таблица23[[#This Row],[30]]-Таблица23[[#This Row],[40]])/2</f>
        <v>445</v>
      </c>
      <c r="W14" s="999" t="n">
        <v>380</v>
      </c>
      <c r="Z14" s="1014" t="s">
        <v>1134</v>
      </c>
      <c r="AA14" s="1018"/>
      <c r="AB14" s="996" t="s">
        <v>1135</v>
      </c>
      <c r="AC14" s="1019" t="n">
        <v>490</v>
      </c>
      <c r="AD14" s="1019" t="n">
        <f aca="false">Таблица24[[#This Row],[20]]-(Таблица24[[#This Row],[20]]-Таблица24[[#This Row],[30]])/2</f>
        <v>455</v>
      </c>
      <c r="AE14" s="1019" t="n">
        <v>420</v>
      </c>
      <c r="AF14" s="1019" t="n">
        <f aca="false">Таблица24[[#This Row],[30]]-(Таблица24[[#This Row],[30]]-Таблица24[[#This Row],[40]])/2</f>
        <v>390</v>
      </c>
      <c r="AG14" s="1019" t="n">
        <v>360</v>
      </c>
    </row>
    <row r="15" customFormat="false" ht="45" hidden="false" customHeight="false" outlineLevel="0" collapsed="false">
      <c r="B15" s="1009" t="s">
        <v>343</v>
      </c>
      <c r="C15" s="998" t="s">
        <v>344</v>
      </c>
      <c r="D15" s="1004" t="s">
        <v>1123</v>
      </c>
      <c r="E15" s="999" t="n">
        <v>1800</v>
      </c>
      <c r="F15" s="999" t="n">
        <v>0.1</v>
      </c>
      <c r="G15" s="999" t="n">
        <v>7.6</v>
      </c>
      <c r="H15" s="999" t="n">
        <v>0.1</v>
      </c>
      <c r="I15" s="999" t="n">
        <v>3.75</v>
      </c>
      <c r="J15" s="999" t="n">
        <v>9</v>
      </c>
      <c r="K15" s="991" t="n">
        <v>0.75</v>
      </c>
      <c r="L15" s="1013" t="n">
        <v>0.8</v>
      </c>
      <c r="M15" s="991"/>
      <c r="N15" s="991"/>
      <c r="O15" s="1011" t="s">
        <v>343</v>
      </c>
      <c r="P15" s="998" t="s">
        <v>344</v>
      </c>
      <c r="Q15" s="1004" t="s">
        <v>1123</v>
      </c>
      <c r="R15" s="999" t="n">
        <v>1100</v>
      </c>
      <c r="S15" s="999" t="n">
        <v>590</v>
      </c>
      <c r="T15" s="999" t="n">
        <f aca="false">Таблица23[[#This Row],[30]]+(Таблица23[[#This Row],[20]]-Таблица23[[#This Row],[30]])/2</f>
        <v>500</v>
      </c>
      <c r="U15" s="999" t="n">
        <v>410</v>
      </c>
      <c r="V15" s="999" t="n">
        <f aca="false">Таблица23[[#This Row],[40]]+(Таблица23[[#This Row],[30]]-Таблица23[[#This Row],[40]])/2</f>
        <v>375</v>
      </c>
      <c r="W15" s="999" t="n">
        <v>340</v>
      </c>
    </row>
    <row r="16" customFormat="false" ht="60.75" hidden="false" customHeight="true" outlineLevel="0" collapsed="false">
      <c r="B16" s="1005" t="s">
        <v>346</v>
      </c>
      <c r="C16" s="998" t="s">
        <v>347</v>
      </c>
      <c r="D16" s="1004" t="s">
        <v>1115</v>
      </c>
      <c r="E16" s="999" t="n">
        <v>3000</v>
      </c>
      <c r="F16" s="999" t="n">
        <v>0.11</v>
      </c>
      <c r="G16" s="999" t="n">
        <v>6</v>
      </c>
      <c r="H16" s="999" t="n">
        <v>0.15</v>
      </c>
      <c r="I16" s="999" t="n">
        <v>4.3</v>
      </c>
      <c r="J16" s="999" t="n">
        <v>8.8</v>
      </c>
      <c r="K16" s="991" t="n">
        <v>0.7</v>
      </c>
      <c r="L16" s="1013" t="n">
        <v>0.75</v>
      </c>
      <c r="M16" s="991"/>
      <c r="N16" s="991"/>
      <c r="O16" s="1008" t="s">
        <v>346</v>
      </c>
      <c r="P16" s="998" t="s">
        <v>347</v>
      </c>
      <c r="Q16" s="1004" t="s">
        <v>1115</v>
      </c>
      <c r="R16" s="999" t="n">
        <v>2800</v>
      </c>
      <c r="S16" s="999" t="n">
        <v>1700</v>
      </c>
      <c r="T16" s="999" t="n">
        <f aca="false">Таблица23[[#This Row],[30]]+(Таблица23[[#This Row],[20]]-Таблица23[[#This Row],[30]])/2</f>
        <v>1300</v>
      </c>
      <c r="U16" s="999" t="n">
        <v>900</v>
      </c>
      <c r="V16" s="999" t="n">
        <f aca="false">Таблица23[[#This Row],[40]]+(Таблица23[[#This Row],[30]]-Таблица23[[#This Row],[40]])/2</f>
        <v>720</v>
      </c>
      <c r="W16" s="999" t="n">
        <v>540</v>
      </c>
      <c r="AA16" s="1023" t="s">
        <v>1136</v>
      </c>
      <c r="AB16" s="1023"/>
      <c r="AC16" s="1023"/>
      <c r="AD16" s="1023"/>
      <c r="AE16" s="1023"/>
      <c r="AF16" s="1023"/>
      <c r="AG16" s="1023"/>
    </row>
    <row r="17" customFormat="false" ht="60.75" hidden="false" customHeight="true" outlineLevel="0" collapsed="false">
      <c r="B17" s="1009" t="s">
        <v>349</v>
      </c>
      <c r="C17" s="998" t="s">
        <v>350</v>
      </c>
      <c r="D17" s="1004" t="s">
        <v>1118</v>
      </c>
      <c r="E17" s="999" t="n">
        <v>2100</v>
      </c>
      <c r="F17" s="999" t="n">
        <v>0.12</v>
      </c>
      <c r="G17" s="999" t="n">
        <v>5.8</v>
      </c>
      <c r="H17" s="999" t="n">
        <v>0.15</v>
      </c>
      <c r="I17" s="999" t="n">
        <v>4</v>
      </c>
      <c r="J17" s="999" t="n">
        <v>9.3</v>
      </c>
      <c r="K17" s="991" t="n">
        <v>0.7</v>
      </c>
      <c r="L17" s="1013" t="n">
        <v>0.75</v>
      </c>
      <c r="M17" s="991"/>
      <c r="N17" s="991"/>
      <c r="O17" s="1011" t="s">
        <v>349</v>
      </c>
      <c r="P17" s="998" t="s">
        <v>350</v>
      </c>
      <c r="Q17" s="1004" t="s">
        <v>1118</v>
      </c>
      <c r="R17" s="999" t="n">
        <v>2000</v>
      </c>
      <c r="S17" s="999" t="n">
        <v>1200</v>
      </c>
      <c r="T17" s="999" t="n">
        <f aca="false">Таблица23[[#This Row],[30]]+(Таблица23[[#This Row],[20]]-Таблица23[[#This Row],[30]])/2</f>
        <v>950</v>
      </c>
      <c r="U17" s="999" t="n">
        <v>700</v>
      </c>
      <c r="V17" s="999" t="n">
        <f aca="false">Таблица23[[#This Row],[40]]+(Таблица23[[#This Row],[30]]-Таблица23[[#This Row],[40]])/2</f>
        <v>580</v>
      </c>
      <c r="W17" s="999" t="n">
        <v>460</v>
      </c>
      <c r="AA17" s="1024" t="s">
        <v>1137</v>
      </c>
      <c r="AB17" s="1024"/>
      <c r="AC17" s="1024"/>
      <c r="AD17" s="1024"/>
      <c r="AE17" s="1024"/>
      <c r="AF17" s="1024"/>
      <c r="AG17" s="1024"/>
    </row>
    <row r="18" customFormat="false" ht="60" hidden="false" customHeight="false" outlineLevel="0" collapsed="false">
      <c r="B18" s="1025" t="s">
        <v>352</v>
      </c>
      <c r="C18" s="998" t="s">
        <v>353</v>
      </c>
      <c r="D18" s="1026" t="s">
        <v>1120</v>
      </c>
      <c r="E18" s="1027" t="n">
        <v>1700</v>
      </c>
      <c r="F18" s="1027" t="n">
        <v>0.12</v>
      </c>
      <c r="G18" s="1027" t="n">
        <v>5.5</v>
      </c>
      <c r="H18" s="1027" t="n">
        <v>0.15</v>
      </c>
      <c r="I18" s="1027" t="n">
        <v>3.75</v>
      </c>
      <c r="J18" s="1027" t="n">
        <v>9.8</v>
      </c>
      <c r="K18" s="991" t="n">
        <v>0.7</v>
      </c>
      <c r="L18" s="1013" t="n">
        <v>0.75</v>
      </c>
      <c r="M18" s="991"/>
      <c r="N18" s="991"/>
      <c r="O18" s="1028" t="s">
        <v>352</v>
      </c>
      <c r="P18" s="998" t="s">
        <v>353</v>
      </c>
      <c r="Q18" s="1004" t="s">
        <v>1120</v>
      </c>
      <c r="R18" s="999" t="n">
        <v>1400</v>
      </c>
      <c r="S18" s="999" t="n">
        <v>800</v>
      </c>
      <c r="T18" s="999" t="n">
        <f aca="false">Таблица23[[#This Row],[30]]+(Таблица23[[#This Row],[20]]-Таблица23[[#This Row],[30]])/2</f>
        <v>655</v>
      </c>
      <c r="U18" s="999" t="n">
        <v>510</v>
      </c>
      <c r="V18" s="999" t="n">
        <f aca="false">Таблица23[[#This Row],[40]]+(Таблица23[[#This Row],[30]]-Таблица23[[#This Row],[40]])/2</f>
        <v>445</v>
      </c>
      <c r="W18" s="999" t="n">
        <v>380</v>
      </c>
    </row>
    <row r="19" customFormat="false" ht="90" hidden="false" customHeight="false" outlineLevel="0" collapsed="false">
      <c r="B19" s="1029" t="s">
        <v>355</v>
      </c>
      <c r="C19" s="1030" t="s">
        <v>356</v>
      </c>
      <c r="D19" s="1030" t="s">
        <v>1138</v>
      </c>
      <c r="E19" s="1013" t="n">
        <v>5000</v>
      </c>
      <c r="F19" s="1013" t="n">
        <v>0.11</v>
      </c>
      <c r="G19" s="1013" t="n">
        <v>7.3</v>
      </c>
      <c r="H19" s="1013" t="n">
        <v>0.12</v>
      </c>
      <c r="I19" s="1013" t="n">
        <v>6</v>
      </c>
      <c r="J19" s="1013" t="n">
        <v>3.7</v>
      </c>
      <c r="K19" s="1031" t="n">
        <v>0.85</v>
      </c>
      <c r="L19" s="1031" t="n">
        <v>0.85</v>
      </c>
      <c r="M19" s="991"/>
      <c r="N19" s="991"/>
      <c r="O19" s="1032" t="s">
        <v>355</v>
      </c>
      <c r="P19" s="1030" t="s">
        <v>356</v>
      </c>
      <c r="Q19" s="1001" t="s">
        <v>1138</v>
      </c>
      <c r="R19" s="1019" t="n">
        <v>3600</v>
      </c>
      <c r="S19" s="1019" t="n">
        <v>2200</v>
      </c>
      <c r="T19" s="1019" t="n">
        <f aca="false">Таблица23[[#This Row],[30]]+(Таблица23[[#This Row],[20]]-Таблица23[[#This Row],[30]])/2</f>
        <v>1725</v>
      </c>
      <c r="U19" s="1019" t="n">
        <v>1250</v>
      </c>
      <c r="V19" s="1019" t="n">
        <f aca="false">Таблица23[[#This Row],[40]]+(Таблица23[[#This Row],[30]]-Таблица23[[#This Row],[40]])/2</f>
        <v>925</v>
      </c>
      <c r="W19" s="1018" t="n">
        <v>600</v>
      </c>
    </row>
    <row r="20" customFormat="false" ht="90" hidden="false" customHeight="false" outlineLevel="0" collapsed="false">
      <c r="B20" s="1029" t="s">
        <v>358</v>
      </c>
      <c r="C20" s="1030" t="s">
        <v>359</v>
      </c>
      <c r="D20" s="1030" t="s">
        <v>1139</v>
      </c>
      <c r="E20" s="1013" t="n">
        <v>4500</v>
      </c>
      <c r="F20" s="1013" t="n">
        <v>0.11</v>
      </c>
      <c r="G20" s="1013" t="n">
        <v>6.6</v>
      </c>
      <c r="H20" s="1013" t="n">
        <v>0.11</v>
      </c>
      <c r="I20" s="1013" t="n">
        <v>5.5</v>
      </c>
      <c r="J20" s="1013" t="n">
        <v>4</v>
      </c>
      <c r="K20" s="1031" t="n">
        <v>0.85</v>
      </c>
      <c r="L20" s="1031" t="n">
        <v>0.85</v>
      </c>
      <c r="M20" s="991"/>
      <c r="N20" s="991"/>
      <c r="O20" s="1032" t="s">
        <v>358</v>
      </c>
      <c r="P20" s="1030" t="s">
        <v>359</v>
      </c>
      <c r="Q20" s="1001" t="s">
        <v>1139</v>
      </c>
      <c r="R20" s="1019" t="n">
        <v>3300</v>
      </c>
      <c r="S20" s="1019" t="n">
        <v>2100</v>
      </c>
      <c r="T20" s="1019" t="n">
        <f aca="false">Таблица23[[#This Row],[30]]+(Таблица23[[#This Row],[20]]-Таблица23[[#This Row],[30]])/2</f>
        <v>1600</v>
      </c>
      <c r="U20" s="1019" t="n">
        <v>1100</v>
      </c>
      <c r="V20" s="1019" t="n">
        <f aca="false">Таблица23[[#This Row],[40]]+(Таблица23[[#This Row],[30]]-Таблица23[[#This Row],[40]])/2</f>
        <v>825</v>
      </c>
      <c r="W20" s="1018" t="n">
        <v>550</v>
      </c>
    </row>
    <row r="21" customFormat="false" ht="90" hidden="false" customHeight="false" outlineLevel="0" collapsed="false">
      <c r="B21" s="1029" t="s">
        <v>361</v>
      </c>
      <c r="C21" s="1030" t="s">
        <v>362</v>
      </c>
      <c r="D21" s="1030" t="s">
        <v>1138</v>
      </c>
      <c r="E21" s="1013" t="n">
        <v>4100</v>
      </c>
      <c r="F21" s="1013" t="n">
        <v>0.1</v>
      </c>
      <c r="G21" s="1013" t="n">
        <v>4.6</v>
      </c>
      <c r="H21" s="1013" t="n">
        <v>0.12</v>
      </c>
      <c r="I21" s="1013" t="n">
        <v>6</v>
      </c>
      <c r="J21" s="1013" t="n">
        <v>3.7</v>
      </c>
      <c r="K21" s="1031" t="n">
        <v>0.85</v>
      </c>
      <c r="L21" s="1031" t="n">
        <v>0.85</v>
      </c>
      <c r="M21" s="991"/>
      <c r="N21" s="991"/>
      <c r="O21" s="1032" t="s">
        <v>361</v>
      </c>
      <c r="P21" s="1030" t="s">
        <v>362</v>
      </c>
      <c r="Q21" s="1001" t="s">
        <v>1138</v>
      </c>
      <c r="R21" s="1019" t="n">
        <v>3000</v>
      </c>
      <c r="S21" s="1019" t="n">
        <v>1900</v>
      </c>
      <c r="T21" s="1019" t="n">
        <f aca="false">Таблица23[[#This Row],[30]]+(Таблица23[[#This Row],[20]]-Таблица23[[#This Row],[30]])/2</f>
        <v>1500</v>
      </c>
      <c r="U21" s="1019" t="n">
        <v>1100</v>
      </c>
      <c r="V21" s="1019" t="n">
        <f aca="false">Таблица23[[#This Row],[40]]+(Таблица23[[#This Row],[30]]-Таблица23[[#This Row],[40]])/2</f>
        <v>805</v>
      </c>
      <c r="W21" s="1018" t="n">
        <v>510</v>
      </c>
    </row>
    <row r="22" customFormat="false" ht="90" hidden="false" customHeight="false" outlineLevel="0" collapsed="false">
      <c r="B22" s="1029" t="s">
        <v>364</v>
      </c>
      <c r="C22" s="1030" t="s">
        <v>365</v>
      </c>
      <c r="D22" s="1030" t="s">
        <v>1139</v>
      </c>
      <c r="E22" s="1013" t="n">
        <v>3900</v>
      </c>
      <c r="F22" s="1013" t="n">
        <v>0.12</v>
      </c>
      <c r="G22" s="1013" t="n">
        <v>4.2</v>
      </c>
      <c r="H22" s="1013" t="n">
        <v>0.11</v>
      </c>
      <c r="I22" s="1013" t="n">
        <v>5.5</v>
      </c>
      <c r="J22" s="1013" t="n">
        <v>4</v>
      </c>
      <c r="K22" s="1031" t="n">
        <v>0.85</v>
      </c>
      <c r="L22" s="1031" t="n">
        <v>0.85</v>
      </c>
      <c r="M22" s="991"/>
      <c r="N22" s="991"/>
      <c r="O22" s="1032" t="s">
        <v>364</v>
      </c>
      <c r="P22" s="1030" t="s">
        <v>365</v>
      </c>
      <c r="Q22" s="1001" t="s">
        <v>1139</v>
      </c>
      <c r="R22" s="1019" t="n">
        <v>2800</v>
      </c>
      <c r="S22" s="1019" t="n">
        <v>1800</v>
      </c>
      <c r="T22" s="1019" t="n">
        <f aca="false">Таблица23[[#This Row],[30]]+(Таблица23[[#This Row],[20]]-Таблица23[[#This Row],[30]])/2</f>
        <v>1400</v>
      </c>
      <c r="U22" s="1019" t="n">
        <v>1000</v>
      </c>
      <c r="V22" s="1019" t="n">
        <f aca="false">Таблица23[[#This Row],[40]]+(Таблица23[[#This Row],[30]]-Таблица23[[#This Row],[40]])/2</f>
        <v>750</v>
      </c>
      <c r="W22" s="1018" t="n">
        <v>500</v>
      </c>
    </row>
    <row r="23" customFormat="false" ht="90" hidden="false" customHeight="false" outlineLevel="0" collapsed="false">
      <c r="B23" s="1029" t="s">
        <v>367</v>
      </c>
      <c r="C23" s="1030" t="s">
        <v>368</v>
      </c>
      <c r="D23" s="1030" t="s">
        <v>1138</v>
      </c>
      <c r="E23" s="1013" t="n">
        <v>3800</v>
      </c>
      <c r="F23" s="1013" t="n">
        <v>0.12</v>
      </c>
      <c r="G23" s="1013" t="n">
        <v>4.2</v>
      </c>
      <c r="H23" s="1013" t="n">
        <v>0.12</v>
      </c>
      <c r="I23" s="1013" t="n">
        <v>6</v>
      </c>
      <c r="J23" s="1013" t="n">
        <v>3.7</v>
      </c>
      <c r="K23" s="1031" t="n">
        <v>0.85</v>
      </c>
      <c r="L23" s="1031" t="n">
        <v>0.85</v>
      </c>
      <c r="M23" s="991"/>
      <c r="N23" s="991"/>
      <c r="O23" s="1032" t="s">
        <v>367</v>
      </c>
      <c r="P23" s="1030" t="s">
        <v>368</v>
      </c>
      <c r="Q23" s="1001" t="s">
        <v>1138</v>
      </c>
      <c r="R23" s="1019" t="n">
        <v>2700</v>
      </c>
      <c r="S23" s="1019" t="n">
        <v>1700</v>
      </c>
      <c r="T23" s="1019" t="n">
        <f aca="false">Таблица23[[#This Row],[30]]+(Таблица23[[#This Row],[20]]-Таблица23[[#This Row],[30]])/2</f>
        <v>1325</v>
      </c>
      <c r="U23" s="1019" t="n">
        <v>950</v>
      </c>
      <c r="V23" s="1019" t="n">
        <f aca="false">Таблица23[[#This Row],[40]]+(Таблица23[[#This Row],[30]]-Таблица23[[#This Row],[40]])/2</f>
        <v>710</v>
      </c>
      <c r="W23" s="1018" t="n">
        <v>470</v>
      </c>
    </row>
    <row r="24" customFormat="false" ht="90" hidden="false" customHeight="false" outlineLevel="0" collapsed="false">
      <c r="B24" s="1029" t="s">
        <v>370</v>
      </c>
      <c r="C24" s="1030" t="s">
        <v>371</v>
      </c>
      <c r="D24" s="1030" t="s">
        <v>1139</v>
      </c>
      <c r="E24" s="1013" t="n">
        <v>3600</v>
      </c>
      <c r="F24" s="1013" t="n">
        <v>0.1</v>
      </c>
      <c r="G24" s="1013" t="n">
        <v>3.9</v>
      </c>
      <c r="H24" s="1013" t="n">
        <v>0.13</v>
      </c>
      <c r="I24" s="1013" t="n">
        <v>5.5</v>
      </c>
      <c r="J24" s="1013" t="n">
        <v>4</v>
      </c>
      <c r="K24" s="1031" t="n">
        <v>0.85</v>
      </c>
      <c r="L24" s="1031" t="n">
        <v>0.85</v>
      </c>
      <c r="M24" s="991"/>
      <c r="N24" s="991"/>
      <c r="O24" s="1032" t="s">
        <v>370</v>
      </c>
      <c r="P24" s="1030" t="s">
        <v>371</v>
      </c>
      <c r="Q24" s="1001" t="s">
        <v>1139</v>
      </c>
      <c r="R24" s="1019" t="n">
        <v>2600</v>
      </c>
      <c r="S24" s="1019" t="n">
        <v>1600</v>
      </c>
      <c r="T24" s="1019" t="n">
        <f aca="false">Таблица23[[#This Row],[30]]+(Таблица23[[#This Row],[20]]-Таблица23[[#This Row],[30]])/2</f>
        <v>1250</v>
      </c>
      <c r="U24" s="1019" t="n">
        <v>900</v>
      </c>
      <c r="V24" s="1019" t="n">
        <f aca="false">Таблица23[[#This Row],[40]]+(Таблица23[[#This Row],[30]]-Таблица23[[#This Row],[40]])/2</f>
        <v>680</v>
      </c>
      <c r="W24" s="1018" t="n">
        <v>460</v>
      </c>
    </row>
    <row r="25" customFormat="false" ht="90" hidden="false" customHeight="false" outlineLevel="0" collapsed="false">
      <c r="B25" s="1029" t="s">
        <v>373</v>
      </c>
      <c r="C25" s="1030" t="s">
        <v>374</v>
      </c>
      <c r="D25" s="1030" t="s">
        <v>1138</v>
      </c>
      <c r="E25" s="1013" t="n">
        <v>3500</v>
      </c>
      <c r="F25" s="1013" t="n">
        <v>0.12</v>
      </c>
      <c r="G25" s="1013" t="n">
        <v>3.2</v>
      </c>
      <c r="H25" s="1013" t="n">
        <v>0.12</v>
      </c>
      <c r="I25" s="1013" t="n">
        <v>6</v>
      </c>
      <c r="J25" s="1013" t="n">
        <v>3.7</v>
      </c>
      <c r="K25" s="1031" t="n">
        <v>0.85</v>
      </c>
      <c r="L25" s="1031" t="n">
        <v>0.85</v>
      </c>
      <c r="M25" s="991"/>
      <c r="N25" s="991"/>
      <c r="O25" s="1032" t="s">
        <v>373</v>
      </c>
      <c r="P25" s="1030" t="s">
        <v>374</v>
      </c>
      <c r="Q25" s="1001" t="s">
        <v>1138</v>
      </c>
      <c r="R25" s="1019" t="n">
        <v>2500</v>
      </c>
      <c r="S25" s="1019" t="n">
        <v>1600</v>
      </c>
      <c r="T25" s="1019" t="n">
        <f aca="false">Таблица23[[#This Row],[30]]+(Таблица23[[#This Row],[20]]-Таблица23[[#This Row],[30]])/2</f>
        <v>1200</v>
      </c>
      <c r="U25" s="1019" t="n">
        <v>800</v>
      </c>
      <c r="V25" s="1019" t="n">
        <f aca="false">Таблица23[[#This Row],[40]]+(Таблица23[[#This Row],[30]]-Таблица23[[#This Row],[40]])/2</f>
        <v>600</v>
      </c>
      <c r="W25" s="1018" t="n">
        <v>400</v>
      </c>
    </row>
    <row r="26" customFormat="false" ht="90" hidden="false" customHeight="false" outlineLevel="0" collapsed="false">
      <c r="B26" s="1029" t="s">
        <v>376</v>
      </c>
      <c r="C26" s="1030" t="s">
        <v>377</v>
      </c>
      <c r="D26" s="1030" t="s">
        <v>1139</v>
      </c>
      <c r="E26" s="1013" t="n">
        <v>3300</v>
      </c>
      <c r="F26" s="1013" t="n">
        <v>0.12</v>
      </c>
      <c r="G26" s="1013" t="n">
        <v>2.9</v>
      </c>
      <c r="H26" s="1013" t="n">
        <v>0.13</v>
      </c>
      <c r="I26" s="1013" t="n">
        <v>5.5</v>
      </c>
      <c r="J26" s="1013" t="n">
        <v>4</v>
      </c>
      <c r="K26" s="1031" t="n">
        <v>0.85</v>
      </c>
      <c r="L26" s="1031" t="n">
        <v>0.85</v>
      </c>
      <c r="M26" s="991"/>
      <c r="N26" s="991"/>
      <c r="O26" s="1032" t="s">
        <v>376</v>
      </c>
      <c r="P26" s="1030" t="s">
        <v>377</v>
      </c>
      <c r="Q26" s="1001" t="s">
        <v>1139</v>
      </c>
      <c r="R26" s="1019" t="n">
        <v>2400</v>
      </c>
      <c r="S26" s="1019" t="n">
        <v>1500</v>
      </c>
      <c r="T26" s="1019" t="n">
        <f aca="false">Таблица23[[#This Row],[30]]+(Таблица23[[#This Row],[20]]-Таблица23[[#This Row],[30]])/2</f>
        <v>1125</v>
      </c>
      <c r="U26" s="1019" t="n">
        <v>750</v>
      </c>
      <c r="V26" s="1019" t="n">
        <f aca="false">Таблица23[[#This Row],[40]]+(Таблица23[[#This Row],[30]]-Таблица23[[#This Row],[40]])/2</f>
        <v>570</v>
      </c>
      <c r="W26" s="1018" t="n">
        <v>390</v>
      </c>
    </row>
    <row r="27" customFormat="false" ht="90" hidden="false" customHeight="false" outlineLevel="0" collapsed="false">
      <c r="B27" s="1029" t="s">
        <v>379</v>
      </c>
      <c r="C27" s="1030" t="s">
        <v>380</v>
      </c>
      <c r="D27" s="1030" t="s">
        <v>1140</v>
      </c>
      <c r="E27" s="1013" t="n">
        <v>5200</v>
      </c>
      <c r="F27" s="1013" t="n">
        <v>0.08</v>
      </c>
      <c r="G27" s="1013" t="n">
        <v>7.5</v>
      </c>
      <c r="H27" s="1013" t="n">
        <v>0.1</v>
      </c>
      <c r="I27" s="1013" t="n">
        <v>6.5</v>
      </c>
      <c r="J27" s="1013" t="n">
        <v>2.9</v>
      </c>
      <c r="K27" s="1031" t="n">
        <v>0.85</v>
      </c>
      <c r="L27" s="1031" t="n">
        <v>0.85</v>
      </c>
      <c r="M27" s="991"/>
      <c r="N27" s="991"/>
      <c r="O27" s="1032" t="s">
        <v>379</v>
      </c>
      <c r="P27" s="1030" t="s">
        <v>1141</v>
      </c>
      <c r="Q27" s="997" t="s">
        <v>1142</v>
      </c>
      <c r="R27" s="998" t="n">
        <v>3900</v>
      </c>
      <c r="S27" s="998" t="n">
        <v>2700</v>
      </c>
      <c r="T27" s="998" t="n">
        <f aca="false">Таблица23[[#This Row],[30]]+(Таблица23[[#This Row],[20]]-Таблица23[[#This Row],[30]])/2</f>
        <v>2200</v>
      </c>
      <c r="U27" s="998" t="n">
        <v>1700</v>
      </c>
      <c r="V27" s="998" t="n">
        <f aca="false">Таблица23[[#This Row],[40]]+(Таблица23[[#This Row],[30]]-Таблица23[[#This Row],[40]])/2</f>
        <v>1275</v>
      </c>
      <c r="W27" s="998" t="n">
        <v>850</v>
      </c>
    </row>
    <row r="28" customFormat="false" ht="90" hidden="false" customHeight="false" outlineLevel="0" collapsed="false">
      <c r="B28" s="1029" t="s">
        <v>382</v>
      </c>
      <c r="C28" s="1030" t="s">
        <v>383</v>
      </c>
      <c r="D28" s="1030" t="s">
        <v>1140</v>
      </c>
      <c r="E28" s="1013" t="n">
        <v>4500</v>
      </c>
      <c r="F28" s="1013" t="n">
        <v>0.08</v>
      </c>
      <c r="G28" s="1013" t="n">
        <v>5.6</v>
      </c>
      <c r="H28" s="1013" t="n">
        <v>0.1</v>
      </c>
      <c r="I28" s="1013" t="n">
        <v>6.5</v>
      </c>
      <c r="J28" s="1013" t="n">
        <v>2.9</v>
      </c>
      <c r="K28" s="1031" t="n">
        <v>0.85</v>
      </c>
      <c r="L28" s="1031" t="n">
        <v>0.85</v>
      </c>
      <c r="M28" s="991"/>
      <c r="N28" s="991"/>
      <c r="O28" s="1032" t="s">
        <v>382</v>
      </c>
      <c r="P28" s="1030" t="s">
        <v>383</v>
      </c>
      <c r="Q28" s="997" t="s">
        <v>1142</v>
      </c>
      <c r="R28" s="998" t="n">
        <v>3500</v>
      </c>
      <c r="S28" s="998" t="n">
        <v>2300</v>
      </c>
      <c r="T28" s="998" t="n">
        <f aca="false">Таблица23[[#This Row],[30]]+(Таблица23[[#This Row],[20]]-Таблица23[[#This Row],[30]])/2</f>
        <v>1900</v>
      </c>
      <c r="U28" s="998" t="n">
        <v>1500</v>
      </c>
      <c r="V28" s="998" t="n">
        <f aca="false">Таблица23[[#This Row],[40]]+(Таблица23[[#This Row],[30]]-Таблица23[[#This Row],[40]])/2</f>
        <v>1125</v>
      </c>
      <c r="W28" s="998" t="n">
        <v>750</v>
      </c>
    </row>
    <row r="29" customFormat="false" ht="90" hidden="false" customHeight="false" outlineLevel="0" collapsed="false">
      <c r="B29" s="1029" t="s">
        <v>385</v>
      </c>
      <c r="C29" s="1030" t="s">
        <v>386</v>
      </c>
      <c r="D29" s="1030" t="s">
        <v>1140</v>
      </c>
      <c r="E29" s="1013" t="n">
        <v>4100</v>
      </c>
      <c r="F29" s="1013" t="n">
        <v>0.09</v>
      </c>
      <c r="G29" s="1013" t="n">
        <v>4.3</v>
      </c>
      <c r="H29" s="1013" t="n">
        <v>0.11</v>
      </c>
      <c r="I29" s="1013" t="n">
        <v>6.5</v>
      </c>
      <c r="J29" s="1013" t="n">
        <v>2.9</v>
      </c>
      <c r="K29" s="1031" t="n">
        <v>0.85</v>
      </c>
      <c r="L29" s="1031" t="n">
        <v>0.85</v>
      </c>
      <c r="M29" s="991"/>
      <c r="N29" s="991"/>
      <c r="O29" s="1032" t="s">
        <v>385</v>
      </c>
      <c r="P29" s="1030" t="s">
        <v>386</v>
      </c>
      <c r="Q29" s="997" t="s">
        <v>1142</v>
      </c>
      <c r="R29" s="998" t="n">
        <v>3100</v>
      </c>
      <c r="S29" s="998" t="n">
        <v>2000</v>
      </c>
      <c r="T29" s="998" t="n">
        <f aca="false">Таблица23[[#This Row],[30]]+(Таблица23[[#This Row],[20]]-Таблица23[[#This Row],[30]])/2</f>
        <v>1625</v>
      </c>
      <c r="U29" s="998" t="n">
        <v>1250</v>
      </c>
      <c r="V29" s="998" t="n">
        <f aca="false">Таблица23[[#This Row],[40]]+(Таблица23[[#This Row],[30]]-Таблица23[[#This Row],[40]])/2</f>
        <v>975</v>
      </c>
      <c r="W29" s="998" t="n">
        <v>700</v>
      </c>
    </row>
    <row r="30" customFormat="false" ht="90" hidden="false" customHeight="false" outlineLevel="0" collapsed="false">
      <c r="B30" s="1033" t="s">
        <v>388</v>
      </c>
      <c r="C30" s="1034" t="s">
        <v>25</v>
      </c>
      <c r="D30" s="1034" t="s">
        <v>1140</v>
      </c>
      <c r="E30" s="1031" t="n">
        <v>3700</v>
      </c>
      <c r="F30" s="1031" t="n">
        <v>0.1</v>
      </c>
      <c r="G30" s="1031" t="n">
        <v>3.4</v>
      </c>
      <c r="H30" s="1031" t="n">
        <v>0.13</v>
      </c>
      <c r="I30" s="1031" t="n">
        <v>6.5</v>
      </c>
      <c r="J30" s="1031" t="n">
        <v>2.9</v>
      </c>
      <c r="K30" s="1031" t="n">
        <v>0.85</v>
      </c>
      <c r="L30" s="1031" t="n">
        <v>0.85</v>
      </c>
      <c r="M30" s="991"/>
      <c r="N30" s="991"/>
      <c r="O30" s="1032" t="s">
        <v>388</v>
      </c>
      <c r="P30" s="1034" t="s">
        <v>25</v>
      </c>
      <c r="Q30" s="1035" t="s">
        <v>1142</v>
      </c>
      <c r="R30" s="1036" t="n">
        <v>2700</v>
      </c>
      <c r="S30" s="1036" t="n">
        <v>1800</v>
      </c>
      <c r="T30" s="1036" t="n">
        <f aca="false">Таблица23[[#This Row],[30]]+(Таблица23[[#This Row],[20]]-Таблица23[[#This Row],[30]])/2</f>
        <v>1450</v>
      </c>
      <c r="U30" s="1036" t="n">
        <v>1100</v>
      </c>
      <c r="V30" s="1037" t="n">
        <f aca="false">Таблица23[[#This Row],[40]]+(Таблица23[[#This Row],[30]]-Таблица23[[#This Row],[40]])/2</f>
        <v>850</v>
      </c>
      <c r="W30" s="1036" t="n">
        <v>600</v>
      </c>
    </row>
    <row r="31" customFormat="false" ht="60.75" hidden="false" customHeight="false" outlineLevel="0" collapsed="false">
      <c r="B31" s="1038"/>
      <c r="C31" s="1039" t="s">
        <v>1143</v>
      </c>
      <c r="D31" s="1040"/>
      <c r="E31" s="1040"/>
      <c r="F31" s="1040"/>
      <c r="G31" s="1040"/>
      <c r="H31" s="1040"/>
      <c r="I31" s="1040"/>
      <c r="J31" s="1040"/>
      <c r="K31" s="1040"/>
      <c r="L31" s="1041"/>
      <c r="M31" s="1040"/>
      <c r="N31" s="991"/>
    </row>
    <row r="32" customFormat="false" ht="204.75" hidden="false" customHeight="false" outlineLevel="0" collapsed="false">
      <c r="B32" s="1038"/>
      <c r="C32" s="1039" t="s">
        <v>1144</v>
      </c>
      <c r="D32" s="1040"/>
      <c r="E32" s="1040"/>
      <c r="F32" s="1040"/>
      <c r="G32" s="1040"/>
      <c r="H32" s="1040"/>
      <c r="I32" s="1040"/>
      <c r="J32" s="1040"/>
      <c r="K32" s="1040"/>
      <c r="L32" s="1041"/>
      <c r="M32" s="1040"/>
      <c r="N32" s="991"/>
      <c r="O32" s="1042" t="s">
        <v>1145</v>
      </c>
    </row>
    <row r="33" customFormat="false" ht="15.75" hidden="false" customHeight="true" outlineLevel="0" collapsed="false">
      <c r="B33" s="1038"/>
      <c r="C33" s="1039" t="s">
        <v>1146</v>
      </c>
      <c r="D33" s="1040"/>
      <c r="E33" s="1040"/>
      <c r="F33" s="1040"/>
      <c r="G33" s="1040"/>
      <c r="H33" s="1040"/>
      <c r="I33" s="1040"/>
      <c r="J33" s="1040"/>
      <c r="K33" s="1040"/>
      <c r="L33" s="1041"/>
      <c r="M33" s="1040"/>
      <c r="N33" s="1040"/>
      <c r="O33" s="1042" t="s">
        <v>1147</v>
      </c>
    </row>
    <row r="34" customFormat="false" ht="15.75" hidden="false" customHeight="true" outlineLevel="0" collapsed="false">
      <c r="B34" s="1038"/>
      <c r="C34" s="1039" t="s">
        <v>1148</v>
      </c>
      <c r="D34" s="1040"/>
      <c r="E34" s="1040"/>
      <c r="F34" s="1040"/>
      <c r="G34" s="1040"/>
      <c r="H34" s="1040"/>
      <c r="I34" s="1040"/>
      <c r="J34" s="1040"/>
      <c r="K34" s="1040"/>
      <c r="L34" s="1041"/>
      <c r="M34" s="1040"/>
      <c r="N34" s="1040"/>
      <c r="O34" s="1042" t="s">
        <v>1149</v>
      </c>
    </row>
    <row r="35" customFormat="false" ht="15.75" hidden="false" customHeight="true" outlineLevel="0" collapsed="false">
      <c r="B35" s="1038"/>
      <c r="C35" s="1039" t="s">
        <v>1150</v>
      </c>
      <c r="D35" s="1040"/>
      <c r="E35" s="1040"/>
      <c r="F35" s="1040"/>
      <c r="G35" s="1040"/>
      <c r="H35" s="1040"/>
      <c r="I35" s="1040"/>
      <c r="J35" s="1040"/>
      <c r="K35" s="1040"/>
      <c r="L35" s="1041"/>
      <c r="M35" s="1040"/>
      <c r="N35" s="1040"/>
      <c r="O35" s="1042" t="s">
        <v>1151</v>
      </c>
    </row>
    <row r="36" customFormat="false" ht="15.75" hidden="false" customHeight="true" outlineLevel="0" collapsed="false">
      <c r="B36" s="1038"/>
      <c r="C36" s="1043" t="s">
        <v>1152</v>
      </c>
      <c r="D36" s="1043"/>
      <c r="E36" s="1043"/>
      <c r="F36" s="1043"/>
      <c r="G36" s="1043"/>
      <c r="H36" s="1043"/>
      <c r="I36" s="1043"/>
      <c r="J36" s="1043"/>
      <c r="K36" s="1043"/>
      <c r="L36" s="1043"/>
      <c r="M36" s="1040"/>
      <c r="N36" s="1040"/>
      <c r="O36" s="1042" t="s">
        <v>1153</v>
      </c>
    </row>
    <row r="37" customFormat="false" ht="15.75" hidden="false" customHeight="true" outlineLevel="0" collapsed="false">
      <c r="N37" s="1040"/>
      <c r="O37" s="1042" t="s">
        <v>1154</v>
      </c>
    </row>
    <row r="38" customFormat="false" ht="200.25" hidden="false" customHeight="false" outlineLevel="0" collapsed="false">
      <c r="N38" s="1040"/>
      <c r="O38" s="1042" t="s">
        <v>1155</v>
      </c>
    </row>
    <row r="39" customFormat="false" ht="285.75" hidden="false" customHeight="false" outlineLevel="0" collapsed="false">
      <c r="O39" s="1042" t="s">
        <v>1156</v>
      </c>
    </row>
  </sheetData>
  <sheetProtection sheet="true" objects="true" scenarios="true"/>
  <mergeCells count="9">
    <mergeCell ref="C2:L2"/>
    <mergeCell ref="O2:W2"/>
    <mergeCell ref="AA2:AG2"/>
    <mergeCell ref="E3:L3"/>
    <mergeCell ref="R3:W3"/>
    <mergeCell ref="AC3:AG3"/>
    <mergeCell ref="AA16:AG16"/>
    <mergeCell ref="AA17:AG17"/>
    <mergeCell ref="C36:L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 r:id="rId2"/>
    <tablePart r:id="rId3"/>
  </tableParts>
</worksheet>
</file>

<file path=xl/worksheets/sheet26.xml><?xml version="1.0" encoding="utf-8"?>
<worksheet xmlns="http://schemas.openxmlformats.org/spreadsheetml/2006/main" xmlns:r="http://schemas.openxmlformats.org/officeDocument/2006/relationships">
  <sheetPr filterMode="false">
    <pageSetUpPr fitToPage="false"/>
  </sheetPr>
  <dimension ref="B2:F3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16.9123711340206"/>
    <col collapsed="false" hidden="false" max="4" min="3" style="0" width="18.4123711340206"/>
    <col collapsed="false" hidden="false" max="5" min="5" style="0" width="17.0463917525773"/>
    <col collapsed="false" hidden="false" max="6" min="6" style="0" width="18.4123711340206"/>
    <col collapsed="false" hidden="false" max="1025" min="7" style="0" width="7.63917525773196"/>
  </cols>
  <sheetData>
    <row r="2" customFormat="false" ht="18.75" hidden="false" customHeight="false" outlineLevel="0" collapsed="false">
      <c r="B2" s="320" t="s">
        <v>248</v>
      </c>
    </row>
    <row r="3" customFormat="false" ht="15" hidden="false" customHeight="false" outlineLevel="0" collapsed="false">
      <c r="B3" s="324"/>
    </row>
    <row r="4" customFormat="false" ht="16.5" hidden="false" customHeight="true" outlineLevel="0" collapsed="false">
      <c r="B4" s="329" t="s">
        <v>250</v>
      </c>
      <c r="C4" s="28" t="s">
        <v>251</v>
      </c>
      <c r="D4" s="28"/>
      <c r="E4" s="28"/>
      <c r="F4" s="28"/>
    </row>
    <row r="5" customFormat="false" ht="51" hidden="false" customHeight="true" outlineLevel="0" collapsed="false">
      <c r="B5" s="329"/>
      <c r="C5" s="28" t="s">
        <v>252</v>
      </c>
      <c r="D5" s="28"/>
      <c r="E5" s="330" t="s">
        <v>253</v>
      </c>
      <c r="F5" s="330" t="s">
        <v>254</v>
      </c>
    </row>
    <row r="6" customFormat="false" ht="15.75" hidden="false" customHeight="false" outlineLevel="0" collapsed="false">
      <c r="B6" s="329"/>
      <c r="C6" s="330" t="s">
        <v>255</v>
      </c>
      <c r="D6" s="330" t="s">
        <v>256</v>
      </c>
      <c r="E6" s="330" t="s">
        <v>257</v>
      </c>
      <c r="F6" s="330" t="s">
        <v>257</v>
      </c>
    </row>
    <row r="7" customFormat="false" ht="15.75" hidden="false" customHeight="false" outlineLevel="0" collapsed="false">
      <c r="B7" s="331" t="s">
        <v>86</v>
      </c>
      <c r="C7" s="330"/>
      <c r="D7" s="330"/>
      <c r="E7" s="330"/>
      <c r="F7" s="330"/>
    </row>
    <row r="8" customFormat="false" ht="15.75" hidden="false" customHeight="false" outlineLevel="0" collapsed="false">
      <c r="B8" s="332" t="s">
        <v>258</v>
      </c>
      <c r="C8" s="330" t="n">
        <v>0.37</v>
      </c>
      <c r="D8" s="330" t="n">
        <v>0.37</v>
      </c>
      <c r="E8" s="330" t="n">
        <v>0.05</v>
      </c>
      <c r="F8" s="330" t="n">
        <v>0.4</v>
      </c>
    </row>
    <row r="9" customFormat="false" ht="31.5" hidden="false" customHeight="false" outlineLevel="0" collapsed="false">
      <c r="B9" s="332" t="s">
        <v>259</v>
      </c>
      <c r="C9" s="330" t="n">
        <v>0.37</v>
      </c>
      <c r="D9" s="330" t="n">
        <v>0.37</v>
      </c>
      <c r="E9" s="330" t="n">
        <v>0.07</v>
      </c>
      <c r="F9" s="330" t="n">
        <v>0.4</v>
      </c>
    </row>
    <row r="10" customFormat="false" ht="15.75" hidden="false" customHeight="false" outlineLevel="0" collapsed="false">
      <c r="B10" s="332" t="s">
        <v>260</v>
      </c>
      <c r="C10" s="330" t="n">
        <v>0.36</v>
      </c>
      <c r="D10" s="330" t="n">
        <v>0.36</v>
      </c>
      <c r="E10" s="330" t="n">
        <v>0.1</v>
      </c>
      <c r="F10" s="330" t="n">
        <v>0.4</v>
      </c>
    </row>
    <row r="11" customFormat="false" ht="15.75" hidden="false" customHeight="false" outlineLevel="0" collapsed="false">
      <c r="B11" s="332" t="s">
        <v>261</v>
      </c>
      <c r="C11" s="330" t="n">
        <v>0.34</v>
      </c>
      <c r="D11" s="330" t="n">
        <v>0.34</v>
      </c>
      <c r="E11" s="330" t="n">
        <v>0.12</v>
      </c>
      <c r="F11" s="330" t="n">
        <v>0.4</v>
      </c>
    </row>
    <row r="12" customFormat="false" ht="15.75" hidden="false" customHeight="false" outlineLevel="0" collapsed="false">
      <c r="B12" s="332" t="s">
        <v>262</v>
      </c>
      <c r="C12" s="330" t="n">
        <v>0.34</v>
      </c>
      <c r="D12" s="330" t="n">
        <v>0.31</v>
      </c>
      <c r="E12" s="330" t="n">
        <v>0.14</v>
      </c>
      <c r="F12" s="330" t="n">
        <v>0.4</v>
      </c>
    </row>
    <row r="13" customFormat="false" ht="15.75" hidden="false" customHeight="false" outlineLevel="0" collapsed="false">
      <c r="B13" s="333" t="s">
        <v>263</v>
      </c>
      <c r="C13" s="330"/>
      <c r="D13" s="330"/>
      <c r="E13" s="330"/>
      <c r="F13" s="330"/>
    </row>
    <row r="14" customFormat="false" ht="47.25" hidden="false" customHeight="false" outlineLevel="0" collapsed="false">
      <c r="B14" s="332" t="s">
        <v>264</v>
      </c>
      <c r="C14" s="330" t="n">
        <v>0.32</v>
      </c>
      <c r="D14" s="330" t="n">
        <v>0.3</v>
      </c>
      <c r="E14" s="330" t="n">
        <v>0.16</v>
      </c>
      <c r="F14" s="330" t="n">
        <v>0.3</v>
      </c>
    </row>
    <row r="15" customFormat="false" ht="31.5" hidden="false" customHeight="false" outlineLevel="0" collapsed="false">
      <c r="B15" s="332" t="s">
        <v>265</v>
      </c>
      <c r="C15" s="330" t="n">
        <v>0.33</v>
      </c>
      <c r="D15" s="330" t="n">
        <v>0.27</v>
      </c>
      <c r="E15" s="330" t="n">
        <v>0.18</v>
      </c>
      <c r="F15" s="330" t="n">
        <v>0.34</v>
      </c>
    </row>
    <row r="16" customFormat="false" ht="15.75" hidden="false" customHeight="false" outlineLevel="0" collapsed="false">
      <c r="B16" s="332" t="s">
        <v>258</v>
      </c>
      <c r="C16" s="330" t="n">
        <v>0.33</v>
      </c>
      <c r="D16" s="330" t="n">
        <v>0.33</v>
      </c>
      <c r="E16" s="330" t="n">
        <v>0.2</v>
      </c>
      <c r="F16" s="330" t="n">
        <v>0.38</v>
      </c>
    </row>
    <row r="17" customFormat="false" ht="15.75" hidden="false" customHeight="false" outlineLevel="0" collapsed="false">
      <c r="B17" s="331" t="s">
        <v>266</v>
      </c>
      <c r="C17" s="330"/>
      <c r="D17" s="330"/>
      <c r="E17" s="330"/>
      <c r="F17" s="330"/>
    </row>
    <row r="18" customFormat="false" ht="47.25" hidden="false" customHeight="false" outlineLevel="0" collapsed="false">
      <c r="B18" s="332" t="s">
        <v>267</v>
      </c>
      <c r="C18" s="330" t="n">
        <v>0.32</v>
      </c>
      <c r="D18" s="330" t="n">
        <v>0.27</v>
      </c>
      <c r="E18" s="330" t="n">
        <v>0.2</v>
      </c>
      <c r="F18" s="330" t="n">
        <v>0.38</v>
      </c>
    </row>
    <row r="19" customFormat="false" ht="15.75" hidden="false" customHeight="false" outlineLevel="0" collapsed="false">
      <c r="B19" s="331" t="s">
        <v>268</v>
      </c>
      <c r="C19" s="330" t="n">
        <v>0.32</v>
      </c>
      <c r="D19" s="330" t="n">
        <v>0.27</v>
      </c>
      <c r="E19" s="330" t="n">
        <v>0.22</v>
      </c>
      <c r="F19" s="330" t="n">
        <v>0.42</v>
      </c>
    </row>
    <row r="20" customFormat="false" ht="66" hidden="false" customHeight="true" outlineLevel="0" collapsed="false">
      <c r="B20" s="334" t="s">
        <v>269</v>
      </c>
      <c r="C20" s="334"/>
      <c r="D20" s="334"/>
      <c r="E20" s="334"/>
      <c r="F20" s="334"/>
    </row>
    <row r="21" customFormat="false" ht="31.5" hidden="false" customHeight="true" outlineLevel="0" collapsed="false">
      <c r="B21" s="335" t="s">
        <v>270</v>
      </c>
      <c r="C21" s="335"/>
      <c r="D21" s="335"/>
      <c r="E21" s="335"/>
      <c r="F21" s="335"/>
    </row>
    <row r="22" customFormat="false" ht="15" hidden="false" customHeight="false" outlineLevel="0" collapsed="false">
      <c r="B22" s="336"/>
      <c r="C22" s="336"/>
      <c r="D22" s="336"/>
      <c r="E22" s="336"/>
      <c r="F22" s="336"/>
    </row>
    <row r="23" customFormat="false" ht="18.75" hidden="false" customHeight="true" outlineLevel="0" collapsed="false">
      <c r="B23" s="337" t="s">
        <v>271</v>
      </c>
      <c r="C23" s="337"/>
      <c r="D23" s="337"/>
      <c r="E23" s="337"/>
      <c r="F23" s="337"/>
    </row>
    <row r="24" customFormat="false" ht="15" hidden="false" customHeight="false" outlineLevel="0" collapsed="false">
      <c r="B24" s="338"/>
      <c r="C24" s="338"/>
      <c r="D24" s="338"/>
      <c r="E24" s="338"/>
      <c r="F24" s="338"/>
    </row>
    <row r="25" customFormat="false" ht="18.75" hidden="false" customHeight="true" outlineLevel="0" collapsed="false">
      <c r="B25" s="339" t="s">
        <v>272</v>
      </c>
      <c r="C25" s="339"/>
      <c r="D25" s="339"/>
      <c r="E25" s="339"/>
      <c r="F25" s="339"/>
    </row>
    <row r="26" customFormat="false" ht="34.5" hidden="false" customHeight="true" outlineLevel="0" collapsed="false">
      <c r="B26" s="335" t="s">
        <v>273</v>
      </c>
      <c r="C26" s="335"/>
      <c r="D26" s="335"/>
      <c r="E26" s="335"/>
      <c r="F26" s="335"/>
    </row>
    <row r="27" customFormat="false" ht="15" hidden="false" customHeight="false" outlineLevel="0" collapsed="false">
      <c r="B27" s="336"/>
      <c r="C27" s="336"/>
      <c r="D27" s="336"/>
      <c r="E27" s="336"/>
      <c r="F27" s="336"/>
    </row>
    <row r="28" customFormat="false" ht="18.75" hidden="false" customHeight="true" outlineLevel="0" collapsed="false">
      <c r="B28" s="340" t="s">
        <v>274</v>
      </c>
      <c r="C28" s="340"/>
      <c r="D28" s="340"/>
      <c r="E28" s="340"/>
      <c r="F28" s="340"/>
    </row>
    <row r="29" customFormat="false" ht="15" hidden="false" customHeight="false" outlineLevel="0" collapsed="false">
      <c r="B29" s="338"/>
      <c r="C29" s="338"/>
      <c r="D29" s="338"/>
      <c r="E29" s="338"/>
      <c r="F29" s="338"/>
    </row>
    <row r="30" customFormat="false" ht="15.75" hidden="false" customHeight="true" outlineLevel="0" collapsed="false">
      <c r="B30" s="335" t="s">
        <v>275</v>
      </c>
      <c r="C30" s="335"/>
      <c r="D30" s="335"/>
      <c r="E30" s="335"/>
      <c r="F30" s="335"/>
    </row>
    <row r="31" customFormat="false" ht="15" hidden="false" customHeight="false" outlineLevel="0" collapsed="false">
      <c r="B31" s="341"/>
      <c r="C31" s="341"/>
      <c r="D31" s="341"/>
      <c r="E31" s="341"/>
      <c r="F31" s="341"/>
    </row>
    <row r="32" customFormat="false" ht="38.25" hidden="false" customHeight="true" outlineLevel="0" collapsed="false">
      <c r="B32" s="342" t="s">
        <v>276</v>
      </c>
      <c r="C32" s="342"/>
      <c r="D32" s="342"/>
      <c r="E32" s="342"/>
      <c r="F32" s="342"/>
    </row>
  </sheetData>
  <sheetProtection sheet="true" objects="true" scenarios="true"/>
  <mergeCells count="16">
    <mergeCell ref="B4:B6"/>
    <mergeCell ref="C4:F4"/>
    <mergeCell ref="C5:D5"/>
    <mergeCell ref="B20:F20"/>
    <mergeCell ref="B21:F21"/>
    <mergeCell ref="B22:F22"/>
    <mergeCell ref="B23:F23"/>
    <mergeCell ref="B24:F24"/>
    <mergeCell ref="B25:F25"/>
    <mergeCell ref="B26:F26"/>
    <mergeCell ref="B27:F27"/>
    <mergeCell ref="B28:F28"/>
    <mergeCell ref="B29:F29"/>
    <mergeCell ref="B30:F30"/>
    <mergeCell ref="B31:F31"/>
    <mergeCell ref="B32:F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B3:L79"/>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10.2268041237113"/>
    <col collapsed="false" hidden="false" max="3" min="3" style="0" width="4.3659793814433"/>
    <col collapsed="false" hidden="false" max="4" min="4" style="0" width="53.3247422680412"/>
    <col collapsed="false" hidden="false" max="5" min="5" style="0" width="98.3298969072165"/>
    <col collapsed="false" hidden="false" max="6" min="6" style="0" width="24.9587628865979"/>
    <col collapsed="false" hidden="false" max="7" min="7" style="0" width="24.5515463917526"/>
    <col collapsed="false" hidden="false" max="9" min="8" style="0" width="22.5051546391753"/>
    <col collapsed="false" hidden="false" max="10" min="10" style="0" width="31.5051546391753"/>
    <col collapsed="false" hidden="false" max="1025" min="11" style="0" width="7.63917525773196"/>
  </cols>
  <sheetData>
    <row r="3" customFormat="false" ht="18.75" hidden="false" customHeight="true" outlineLevel="0" collapsed="false">
      <c r="C3" s="972" t="s">
        <v>1157</v>
      </c>
      <c r="D3" s="972"/>
      <c r="E3" s="972"/>
      <c r="F3" s="972"/>
      <c r="G3" s="972"/>
      <c r="H3" s="972"/>
      <c r="I3" s="972"/>
      <c r="J3" s="972"/>
    </row>
    <row r="4" customFormat="false" ht="63" hidden="false" customHeight="true" outlineLevel="0" collapsed="false">
      <c r="B4" s="1044" t="s">
        <v>1158</v>
      </c>
      <c r="C4" s="990" t="s">
        <v>1159</v>
      </c>
      <c r="F4" s="990" t="s">
        <v>1160</v>
      </c>
      <c r="G4" s="990"/>
      <c r="H4" s="990"/>
      <c r="I4" s="990"/>
      <c r="J4" s="990"/>
    </row>
    <row r="5" customFormat="false" ht="117" hidden="false" customHeight="false" outlineLevel="0" collapsed="false">
      <c r="B5" s="1044"/>
      <c r="C5" s="990"/>
      <c r="D5" s="998" t="s">
        <v>315</v>
      </c>
      <c r="E5" s="998" t="s">
        <v>1161</v>
      </c>
      <c r="F5" s="1045" t="s">
        <v>1162</v>
      </c>
      <c r="G5" s="1045" t="s">
        <v>1048</v>
      </c>
      <c r="H5" s="1045" t="s">
        <v>1163</v>
      </c>
      <c r="I5" s="1046" t="s">
        <v>1049</v>
      </c>
      <c r="J5" s="1046" t="s">
        <v>1164</v>
      </c>
    </row>
    <row r="6" customFormat="false" ht="15.75" hidden="false" customHeight="true" outlineLevel="0" collapsed="false">
      <c r="B6" s="1047" t="s">
        <v>390</v>
      </c>
      <c r="C6" s="990" t="n">
        <v>1</v>
      </c>
      <c r="D6" s="1048" t="s">
        <v>1165</v>
      </c>
      <c r="E6" s="1049" t="s">
        <v>391</v>
      </c>
      <c r="F6" s="1049" t="n">
        <v>1000</v>
      </c>
      <c r="G6" s="1049" t="n">
        <v>1000</v>
      </c>
      <c r="H6" s="1049" t="n">
        <v>0.15</v>
      </c>
      <c r="I6" s="1050" t="n">
        <v>0.7</v>
      </c>
      <c r="J6" s="1050" t="n">
        <v>0.7</v>
      </c>
      <c r="L6" s="272" t="e">
        <f aca="false">1.2*0.9056*Таблица26[[#This Row],[модуль пружності е, мпа]]^(-0.285)</f>
        <v>#N/A</v>
      </c>
    </row>
    <row r="7" customFormat="false" ht="15.75" hidden="false" customHeight="false" outlineLevel="0" collapsed="false">
      <c r="B7" s="1051" t="s">
        <v>392</v>
      </c>
      <c r="C7" s="990"/>
      <c r="D7" s="1048"/>
      <c r="E7" s="1027" t="s">
        <v>31</v>
      </c>
      <c r="F7" s="1027" t="n">
        <v>900</v>
      </c>
      <c r="G7" s="1027" t="n">
        <v>900</v>
      </c>
      <c r="H7" s="1027" t="n">
        <v>0.15</v>
      </c>
      <c r="I7" s="991" t="n">
        <v>0.6</v>
      </c>
      <c r="J7" s="991" t="n">
        <v>0.6</v>
      </c>
      <c r="L7" s="272" t="e">
        <f aca="false">1.2*0.9056*Таблица26[[#This Row],[модуль пружності е, мпа]]^(-0.285)</f>
        <v>#N/A</v>
      </c>
    </row>
    <row r="8" customFormat="false" ht="15.75" hidden="false" customHeight="false" outlineLevel="0" collapsed="false">
      <c r="B8" s="1051" t="s">
        <v>393</v>
      </c>
      <c r="C8" s="990"/>
      <c r="D8" s="1048"/>
      <c r="E8" s="1027" t="s">
        <v>30</v>
      </c>
      <c r="F8" s="1027" t="n">
        <v>700</v>
      </c>
      <c r="G8" s="1027" t="n">
        <v>700</v>
      </c>
      <c r="H8" s="1027" t="n">
        <v>0.16</v>
      </c>
      <c r="I8" s="991" t="n">
        <v>0.5</v>
      </c>
      <c r="J8" s="991" t="n">
        <v>0.5</v>
      </c>
      <c r="L8" s="272" t="e">
        <f aca="false">1.2*0.9056*Таблица26[[#This Row],[модуль пружності е, мпа]]^(-0.285)</f>
        <v>#N/A</v>
      </c>
    </row>
    <row r="9" customFormat="false" ht="15.75" hidden="false" customHeight="false" outlineLevel="0" collapsed="false">
      <c r="B9" s="1051" t="s">
        <v>394</v>
      </c>
      <c r="C9" s="990"/>
      <c r="D9" s="1048"/>
      <c r="E9" s="1027" t="s">
        <v>395</v>
      </c>
      <c r="F9" s="1027" t="n">
        <v>400</v>
      </c>
      <c r="G9" s="1027" t="n">
        <v>400</v>
      </c>
      <c r="H9" s="1027" t="n">
        <v>0.18</v>
      </c>
      <c r="I9" s="991" t="n">
        <v>0.33</v>
      </c>
      <c r="J9" s="991" t="n">
        <v>0.33</v>
      </c>
      <c r="L9" s="272" t="e">
        <f aca="false">1.2*0.9056*Таблица26[[#This Row],[модуль пружності е, мпа]]^(-0.285)</f>
        <v>#N/A</v>
      </c>
    </row>
    <row r="10" customFormat="false" ht="15.75" hidden="false" customHeight="false" outlineLevel="0" collapsed="false">
      <c r="B10" s="1052" t="s">
        <v>397</v>
      </c>
      <c r="C10" s="990"/>
      <c r="D10" s="1048"/>
      <c r="E10" s="999" t="s">
        <v>398</v>
      </c>
      <c r="F10" s="999" t="n">
        <v>180</v>
      </c>
      <c r="G10" s="999" t="n">
        <v>180</v>
      </c>
      <c r="H10" s="999" t="n">
        <v>0.2</v>
      </c>
      <c r="I10" s="1000" t="n">
        <v>0.22</v>
      </c>
      <c r="J10" s="1000" t="n">
        <v>0.22</v>
      </c>
      <c r="L10" s="272" t="e">
        <f aca="false">1.2*0.9056*Таблица26[[#This Row],[модуль пружності е, мпа]]^(-0.285)</f>
        <v>#N/A</v>
      </c>
    </row>
    <row r="11" customFormat="false" ht="30" hidden="false" customHeight="true" outlineLevel="0" collapsed="false">
      <c r="B11" s="1047" t="s">
        <v>399</v>
      </c>
      <c r="C11" s="990" t="n">
        <v>2</v>
      </c>
      <c r="D11" s="1048" t="s">
        <v>1166</v>
      </c>
      <c r="E11" s="1049" t="s">
        <v>400</v>
      </c>
      <c r="F11" s="1049" t="n">
        <v>800</v>
      </c>
      <c r="G11" s="1049" t="s">
        <v>1167</v>
      </c>
      <c r="H11" s="1049" t="n">
        <v>0.18</v>
      </c>
      <c r="I11" s="1050" t="n">
        <v>0.4</v>
      </c>
      <c r="J11" s="1050" t="s">
        <v>1168</v>
      </c>
      <c r="L11" s="272" t="e">
        <f aca="false">1.2*0.9056*Таблица26[[#This Row],[модуль пружності е, мпа]]^(-0.285)</f>
        <v>#N/A</v>
      </c>
    </row>
    <row r="12" customFormat="false" ht="30" hidden="false" customHeight="false" outlineLevel="0" collapsed="false">
      <c r="B12" s="1051" t="s">
        <v>401</v>
      </c>
      <c r="C12" s="990"/>
      <c r="D12" s="1048"/>
      <c r="E12" s="1027" t="s">
        <v>402</v>
      </c>
      <c r="F12" s="1027" t="n">
        <v>600</v>
      </c>
      <c r="G12" s="1027" t="s">
        <v>1169</v>
      </c>
      <c r="H12" s="1027" t="n">
        <v>0.18</v>
      </c>
      <c r="I12" s="991" t="n">
        <v>0.35</v>
      </c>
      <c r="J12" s="991" t="s">
        <v>1170</v>
      </c>
      <c r="L12" s="272" t="e">
        <f aca="false">1.2*0.9056*Таблица26[[#This Row],[модуль пружності е, мпа]]^(-0.285)</f>
        <v>#N/A</v>
      </c>
    </row>
    <row r="13" customFormat="false" ht="30" hidden="false" customHeight="false" outlineLevel="0" collapsed="false">
      <c r="B13" s="1052" t="s">
        <v>403</v>
      </c>
      <c r="C13" s="990"/>
      <c r="D13" s="1048"/>
      <c r="E13" s="999" t="s">
        <v>404</v>
      </c>
      <c r="F13" s="999" t="n">
        <v>350</v>
      </c>
      <c r="G13" s="999" t="s">
        <v>1171</v>
      </c>
      <c r="H13" s="999" t="n">
        <v>0.19</v>
      </c>
      <c r="I13" s="1000" t="n">
        <v>0.2</v>
      </c>
      <c r="J13" s="1000" t="s">
        <v>1172</v>
      </c>
      <c r="L13" s="272" t="e">
        <f aca="false">1.2*0.9056*Таблица26[[#This Row],[модуль пружності е, мпа]]^(-0.285)</f>
        <v>#N/A</v>
      </c>
    </row>
    <row r="14" customFormat="false" ht="45" hidden="false" customHeight="true" outlineLevel="0" collapsed="false">
      <c r="B14" s="1047" t="s">
        <v>406</v>
      </c>
      <c r="C14" s="990" t="n">
        <v>3</v>
      </c>
      <c r="D14" s="1048" t="s">
        <v>1173</v>
      </c>
      <c r="E14" s="1049" t="s">
        <v>407</v>
      </c>
      <c r="F14" s="1049" t="n">
        <v>850</v>
      </c>
      <c r="G14" s="1049" t="s">
        <v>1174</v>
      </c>
      <c r="H14" s="1049" t="n">
        <v>0.19</v>
      </c>
      <c r="I14" s="1050" t="n">
        <v>0.45</v>
      </c>
      <c r="J14" s="1050" t="s">
        <v>1175</v>
      </c>
      <c r="L14" s="272" t="e">
        <f aca="false">1.2*0.9056*Таблица26[[#This Row],[модуль пружності е, мпа]]^(-0.285)</f>
        <v>#N/A</v>
      </c>
    </row>
    <row r="15" customFormat="false" ht="45" hidden="false" customHeight="false" outlineLevel="0" collapsed="false">
      <c r="B15" s="1051" t="s">
        <v>409</v>
      </c>
      <c r="C15" s="990"/>
      <c r="D15" s="1048"/>
      <c r="E15" s="1027" t="s">
        <v>410</v>
      </c>
      <c r="F15" s="1027" t="n">
        <v>650</v>
      </c>
      <c r="G15" s="1027" t="s">
        <v>1176</v>
      </c>
      <c r="H15" s="1027" t="n">
        <v>0.19</v>
      </c>
      <c r="I15" s="991" t="n">
        <v>0.4</v>
      </c>
      <c r="J15" s="991" t="s">
        <v>1168</v>
      </c>
      <c r="L15" s="272" t="e">
        <f aca="false">1.2*0.9056*Таблица26[[#This Row],[модуль пружності е, мпа]]^(-0.285)</f>
        <v>#N/A</v>
      </c>
    </row>
    <row r="16" customFormat="false" ht="45" hidden="false" customHeight="false" outlineLevel="0" collapsed="false">
      <c r="B16" s="1052" t="s">
        <v>412</v>
      </c>
      <c r="C16" s="990"/>
      <c r="D16" s="1048"/>
      <c r="E16" s="999" t="s">
        <v>413</v>
      </c>
      <c r="F16" s="999" t="n">
        <v>400</v>
      </c>
      <c r="G16" s="999" t="s">
        <v>1177</v>
      </c>
      <c r="H16" s="999" t="n">
        <v>0.2</v>
      </c>
      <c r="I16" s="1000" t="n">
        <v>0.25</v>
      </c>
      <c r="J16" s="1000" t="s">
        <v>1178</v>
      </c>
      <c r="L16" s="272" t="e">
        <f aca="false">1.2*0.9056*Таблица26[[#This Row],[модуль пружності е, мпа]]^(-0.285)</f>
        <v>#N/A</v>
      </c>
    </row>
    <row r="17" customFormat="false" ht="42.75" hidden="false" customHeight="true" outlineLevel="0" collapsed="false">
      <c r="B17" s="1047" t="s">
        <v>415</v>
      </c>
      <c r="C17" s="990" t="n">
        <v>4</v>
      </c>
      <c r="D17" s="1048" t="s">
        <v>1179</v>
      </c>
      <c r="E17" s="1049" t="s">
        <v>416</v>
      </c>
      <c r="F17" s="1049" t="n">
        <v>300</v>
      </c>
      <c r="G17" s="1049" t="s">
        <v>1180</v>
      </c>
      <c r="H17" s="1049" t="n">
        <v>0.2</v>
      </c>
      <c r="I17" s="1050" t="n">
        <v>0.1</v>
      </c>
      <c r="J17" s="1050" t="s">
        <v>1181</v>
      </c>
      <c r="L17" s="272" t="e">
        <f aca="false">1.2*0.9056*Таблица26[[#This Row],[модуль пружності е, мпа]]^(-0.285)</f>
        <v>#N/A</v>
      </c>
    </row>
    <row r="18" customFormat="false" ht="30" hidden="false" customHeight="false" outlineLevel="0" collapsed="false">
      <c r="B18" s="1051" t="s">
        <v>418</v>
      </c>
      <c r="C18" s="990"/>
      <c r="D18" s="1048"/>
      <c r="E18" s="1027" t="s">
        <v>419</v>
      </c>
      <c r="F18" s="1027" t="n">
        <v>200</v>
      </c>
      <c r="G18" s="1027" t="s">
        <v>1182</v>
      </c>
      <c r="H18" s="1027" t="n">
        <v>0.21</v>
      </c>
      <c r="I18" s="991" t="n">
        <v>0.1</v>
      </c>
      <c r="J18" s="991" t="s">
        <v>1183</v>
      </c>
      <c r="L18" s="272" t="e">
        <f aca="false">1.2*0.9056*Таблица26[[#This Row],[модуль пружності е, мпа]]^(-0.285)</f>
        <v>#N/A</v>
      </c>
    </row>
    <row r="19" customFormat="false" ht="30" hidden="false" customHeight="false" outlineLevel="0" collapsed="false">
      <c r="B19" s="1052" t="s">
        <v>421</v>
      </c>
      <c r="C19" s="990"/>
      <c r="D19" s="1048"/>
      <c r="E19" s="999" t="s">
        <v>422</v>
      </c>
      <c r="F19" s="999" t="n">
        <v>120</v>
      </c>
      <c r="G19" s="999" t="s">
        <v>1184</v>
      </c>
      <c r="H19" s="999" t="n">
        <v>0.22</v>
      </c>
      <c r="I19" s="1000" t="n">
        <v>0.09</v>
      </c>
      <c r="J19" s="1000" t="s">
        <v>1185</v>
      </c>
      <c r="L19" s="272" t="e">
        <f aca="false">1.2*0.9056*Таблица26[[#This Row],[модуль пружності е, мпа]]^(-0.285)</f>
        <v>#N/A</v>
      </c>
    </row>
    <row r="20" customFormat="false" ht="30" hidden="false" customHeight="true" outlineLevel="0" collapsed="false">
      <c r="B20" s="1047" t="s">
        <v>424</v>
      </c>
      <c r="C20" s="990" t="n">
        <v>5</v>
      </c>
      <c r="D20" s="1048" t="s">
        <v>1186</v>
      </c>
      <c r="E20" s="1049" t="s">
        <v>425</v>
      </c>
      <c r="F20" s="1049" t="n">
        <v>800</v>
      </c>
      <c r="G20" s="1049" t="s">
        <v>1187</v>
      </c>
      <c r="H20" s="1049" t="n">
        <v>0.18</v>
      </c>
      <c r="I20" s="1050" t="n">
        <v>0.45</v>
      </c>
      <c r="J20" s="1050" t="s">
        <v>1188</v>
      </c>
      <c r="L20" s="272" t="e">
        <f aca="false">1.2*0.9056*Таблица26[[#This Row],[модуль пружності е, мпа]]^(-0.285)</f>
        <v>#N/A</v>
      </c>
    </row>
    <row r="21" customFormat="false" ht="30" hidden="false" customHeight="false" outlineLevel="0" collapsed="false">
      <c r="B21" s="1051" t="s">
        <v>427</v>
      </c>
      <c r="C21" s="990"/>
      <c r="D21" s="1048"/>
      <c r="E21" s="1027" t="s">
        <v>428</v>
      </c>
      <c r="F21" s="1027" t="n">
        <v>650</v>
      </c>
      <c r="G21" s="1027" t="s">
        <v>1189</v>
      </c>
      <c r="H21" s="1027" t="n">
        <v>0.19</v>
      </c>
      <c r="I21" s="991" t="n">
        <v>0.35</v>
      </c>
      <c r="J21" s="991" t="s">
        <v>1190</v>
      </c>
      <c r="L21" s="272" t="e">
        <f aca="false">1.2*0.9056*Таблица26[[#This Row],[модуль пружності е, мпа]]^(-0.285)</f>
        <v>#N/A</v>
      </c>
    </row>
    <row r="22" customFormat="false" ht="30" hidden="false" customHeight="false" outlineLevel="0" collapsed="false">
      <c r="B22" s="1052" t="s">
        <v>430</v>
      </c>
      <c r="C22" s="990"/>
      <c r="D22" s="1048"/>
      <c r="E22" s="999" t="s">
        <v>431</v>
      </c>
      <c r="F22" s="999" t="n">
        <v>350</v>
      </c>
      <c r="G22" s="999" t="s">
        <v>1191</v>
      </c>
      <c r="H22" s="999" t="n">
        <v>0.2</v>
      </c>
      <c r="I22" s="1000" t="n">
        <v>0.2</v>
      </c>
      <c r="J22" s="1000" t="s">
        <v>1192</v>
      </c>
      <c r="L22" s="272" t="e">
        <f aca="false">1.2*0.9056*Таблица26[[#This Row],[модуль пружності е, мпа]]^(-0.285)</f>
        <v>#N/A</v>
      </c>
    </row>
    <row r="23" customFormat="false" ht="45" hidden="false" customHeight="true" outlineLevel="0" collapsed="false">
      <c r="B23" s="1047" t="s">
        <v>432</v>
      </c>
      <c r="C23" s="990" t="n">
        <v>6</v>
      </c>
      <c r="D23" s="1048" t="s">
        <v>1193</v>
      </c>
      <c r="E23" s="1049" t="s">
        <v>433</v>
      </c>
      <c r="F23" s="1049" t="n">
        <v>850</v>
      </c>
      <c r="G23" s="1049" t="s">
        <v>1194</v>
      </c>
      <c r="H23" s="1049" t="n">
        <v>0.19</v>
      </c>
      <c r="I23" s="1050" t="n">
        <v>0.55</v>
      </c>
      <c r="J23" s="1050" t="s">
        <v>1195</v>
      </c>
      <c r="L23" s="272" t="e">
        <f aca="false">1.2*0.9056*Таблица26[[#This Row],[модуль пружності е, мпа]]^(-0.285)</f>
        <v>#N/A</v>
      </c>
    </row>
    <row r="24" customFormat="false" ht="45" hidden="false" customHeight="false" outlineLevel="0" collapsed="false">
      <c r="B24" s="1051" t="s">
        <v>434</v>
      </c>
      <c r="C24" s="990"/>
      <c r="D24" s="1048"/>
      <c r="E24" s="1027" t="s">
        <v>435</v>
      </c>
      <c r="F24" s="1027" t="n">
        <v>700</v>
      </c>
      <c r="G24" s="1027" t="s">
        <v>1196</v>
      </c>
      <c r="H24" s="1027" t="n">
        <v>0.2</v>
      </c>
      <c r="I24" s="991" t="n">
        <v>0.4</v>
      </c>
      <c r="J24" s="991" t="s">
        <v>1197</v>
      </c>
      <c r="L24" s="272" t="e">
        <f aca="false">1.2*0.9056*Таблица26[[#This Row],[модуль пружності е, мпа]]^(-0.285)</f>
        <v>#N/A</v>
      </c>
    </row>
    <row r="25" customFormat="false" ht="45" hidden="false" customHeight="false" outlineLevel="0" collapsed="false">
      <c r="B25" s="1052" t="s">
        <v>436</v>
      </c>
      <c r="C25" s="990"/>
      <c r="D25" s="1048"/>
      <c r="E25" s="999" t="s">
        <v>437</v>
      </c>
      <c r="F25" s="999" t="n">
        <v>400</v>
      </c>
      <c r="G25" s="999" t="s">
        <v>1198</v>
      </c>
      <c r="H25" s="999" t="n">
        <v>0.2</v>
      </c>
      <c r="I25" s="1000" t="n">
        <v>0.25</v>
      </c>
      <c r="J25" s="1000" t="s">
        <v>1199</v>
      </c>
      <c r="L25" s="272" t="e">
        <f aca="false">1.2*0.9056*Таблица26[[#This Row],[модуль пружності е, мпа]]^(-0.285)</f>
        <v>#N/A</v>
      </c>
    </row>
    <row r="26" customFormat="false" ht="60" hidden="false" customHeight="false" outlineLevel="0" collapsed="false">
      <c r="B26" s="1047" t="s">
        <v>438</v>
      </c>
      <c r="C26" s="990" t="n">
        <v>7</v>
      </c>
      <c r="D26" s="997" t="s">
        <v>1200</v>
      </c>
      <c r="E26" s="1049" t="s">
        <v>439</v>
      </c>
      <c r="F26" s="1049" t="n">
        <v>320</v>
      </c>
      <c r="G26" s="1049" t="s">
        <v>1201</v>
      </c>
      <c r="H26" s="1049" t="n">
        <v>0.2</v>
      </c>
      <c r="I26" s="1050" t="n">
        <v>0.12</v>
      </c>
      <c r="J26" s="1050" t="s">
        <v>1202</v>
      </c>
      <c r="L26" s="272" t="e">
        <f aca="false">1.2*0.9056*Таблица26[[#This Row],[модуль пружності е, мпа]]^(-0.285)</f>
        <v>#N/A</v>
      </c>
    </row>
    <row r="27" customFormat="false" ht="30" hidden="false" customHeight="false" outlineLevel="0" collapsed="false">
      <c r="B27" s="1051" t="s">
        <v>440</v>
      </c>
      <c r="C27" s="990"/>
      <c r="D27" s="1027"/>
      <c r="E27" s="1027" t="s">
        <v>441</v>
      </c>
      <c r="F27" s="1027" t="n">
        <v>220</v>
      </c>
      <c r="G27" s="1027" t="s">
        <v>1203</v>
      </c>
      <c r="H27" s="1027" t="n">
        <v>0.21</v>
      </c>
      <c r="I27" s="991" t="n">
        <v>0.12</v>
      </c>
      <c r="J27" s="991" t="s">
        <v>1204</v>
      </c>
      <c r="L27" s="272" t="e">
        <f aca="false">1.2*0.9056*Таблица26[[#This Row],[модуль пружності е, мпа]]^(-0.285)</f>
        <v>#N/A</v>
      </c>
    </row>
    <row r="28" customFormat="false" ht="30" hidden="false" customHeight="false" outlineLevel="0" collapsed="false">
      <c r="B28" s="1052" t="s">
        <v>442</v>
      </c>
      <c r="C28" s="990"/>
      <c r="D28" s="999"/>
      <c r="E28" s="999" t="s">
        <v>443</v>
      </c>
      <c r="F28" s="999" t="n">
        <v>150</v>
      </c>
      <c r="G28" s="999" t="s">
        <v>1205</v>
      </c>
      <c r="H28" s="999" t="n">
        <v>0.21</v>
      </c>
      <c r="I28" s="1000" t="n">
        <v>0.1</v>
      </c>
      <c r="J28" s="1000" t="s">
        <v>1183</v>
      </c>
      <c r="L28" s="272" t="e">
        <f aca="false">1.2*0.9056*Таблица26[[#This Row],[модуль пружності е, мпа]]^(-0.285)</f>
        <v>#N/A</v>
      </c>
    </row>
    <row r="29" customFormat="false" ht="30" hidden="false" customHeight="true" outlineLevel="0" collapsed="false">
      <c r="B29" s="1047" t="s">
        <v>444</v>
      </c>
      <c r="C29" s="990" t="n">
        <v>8</v>
      </c>
      <c r="D29" s="1048" t="s">
        <v>1206</v>
      </c>
      <c r="E29" s="1049" t="s">
        <v>445</v>
      </c>
      <c r="F29" s="1049" t="n">
        <v>900</v>
      </c>
      <c r="G29" s="1049" t="s">
        <v>1207</v>
      </c>
      <c r="H29" s="1049" t="n">
        <v>0.15</v>
      </c>
      <c r="I29" s="1050" t="n">
        <v>0.55</v>
      </c>
      <c r="J29" s="1050" t="s">
        <v>1208</v>
      </c>
      <c r="L29" s="272" t="e">
        <f aca="false">1.2*0.9056*Таблица26[[#This Row],[модуль пружності е, мпа]]^(-0.285)</f>
        <v>#N/A</v>
      </c>
    </row>
    <row r="30" customFormat="false" ht="30" hidden="false" customHeight="false" outlineLevel="0" collapsed="false">
      <c r="B30" s="1051" t="s">
        <v>446</v>
      </c>
      <c r="C30" s="990"/>
      <c r="D30" s="1048"/>
      <c r="E30" s="1027" t="s">
        <v>447</v>
      </c>
      <c r="F30" s="1027" t="n">
        <v>650</v>
      </c>
      <c r="G30" s="1027" t="s">
        <v>1209</v>
      </c>
      <c r="H30" s="1027" t="n">
        <v>0.17</v>
      </c>
      <c r="I30" s="991" t="n">
        <v>0.42</v>
      </c>
      <c r="J30" s="991" t="s">
        <v>1210</v>
      </c>
      <c r="L30" s="272" t="e">
        <f aca="false">1.2*0.9056*Таблица26[[#This Row],[модуль пружності е, мпа]]^(-0.285)</f>
        <v>#N/A</v>
      </c>
    </row>
    <row r="31" customFormat="false" ht="30" hidden="false" customHeight="false" outlineLevel="0" collapsed="false">
      <c r="B31" s="1052" t="s">
        <v>448</v>
      </c>
      <c r="C31" s="990"/>
      <c r="D31" s="1048"/>
      <c r="E31" s="999" t="s">
        <v>449</v>
      </c>
      <c r="F31" s="999" t="n">
        <v>450</v>
      </c>
      <c r="G31" s="999" t="s">
        <v>1211</v>
      </c>
      <c r="H31" s="999" t="n">
        <v>0.19</v>
      </c>
      <c r="I31" s="1000" t="n">
        <v>0.32</v>
      </c>
      <c r="J31" s="1000" t="s">
        <v>1212</v>
      </c>
      <c r="L31" s="272" t="e">
        <f aca="false">1.2*0.9056*Таблица26[[#This Row],[модуль пружності е, мпа]]^(-0.285)</f>
        <v>#N/A</v>
      </c>
    </row>
    <row r="32" customFormat="false" ht="30" hidden="false" customHeight="false" outlineLevel="0" collapsed="false">
      <c r="B32" s="1047" t="s">
        <v>450</v>
      </c>
      <c r="C32" s="990" t="n">
        <v>9</v>
      </c>
      <c r="D32" s="1016" t="s">
        <v>1213</v>
      </c>
      <c r="E32" s="1017" t="s">
        <v>451</v>
      </c>
      <c r="F32" s="1015" t="n">
        <v>800</v>
      </c>
      <c r="G32" s="1015" t="s">
        <v>1214</v>
      </c>
      <c r="H32" s="1049" t="n">
        <v>0.16</v>
      </c>
      <c r="I32" s="1050" t="n">
        <v>0.46</v>
      </c>
      <c r="J32" s="1050" t="s">
        <v>1215</v>
      </c>
      <c r="L32" s="272" t="e">
        <f aca="false">1.2*0.9056*Таблица26[[#This Row],[модуль пружності е, мпа]]^(-0.285)</f>
        <v>#N/A</v>
      </c>
    </row>
    <row r="33" customFormat="false" ht="30" hidden="false" customHeight="false" outlineLevel="0" collapsed="false">
      <c r="B33" s="1051" t="s">
        <v>452</v>
      </c>
      <c r="C33" s="990"/>
      <c r="D33" s="1019"/>
      <c r="E33" s="1019" t="s">
        <v>453</v>
      </c>
      <c r="F33" s="1018" t="n">
        <v>530</v>
      </c>
      <c r="G33" s="1018" t="s">
        <v>1216</v>
      </c>
      <c r="H33" s="1027" t="n">
        <v>0.18</v>
      </c>
      <c r="I33" s="991" t="n">
        <v>0.33</v>
      </c>
      <c r="J33" s="991" t="s">
        <v>1217</v>
      </c>
      <c r="L33" s="272" t="e">
        <f aca="false">1.2*0.9056*Таблица26[[#This Row],[модуль пружності е, мпа]]^(-0.285)</f>
        <v>#N/A</v>
      </c>
    </row>
    <row r="34" customFormat="false" ht="30" hidden="false" customHeight="false" outlineLevel="0" collapsed="false">
      <c r="B34" s="1052" t="s">
        <v>454</v>
      </c>
      <c r="C34" s="990"/>
      <c r="D34" s="1053"/>
      <c r="E34" s="1053" t="s">
        <v>455</v>
      </c>
      <c r="F34" s="1054" t="n">
        <v>320</v>
      </c>
      <c r="G34" s="1054" t="s">
        <v>1218</v>
      </c>
      <c r="H34" s="999" t="n">
        <v>0.2</v>
      </c>
      <c r="I34" s="1000" t="n">
        <v>0.22</v>
      </c>
      <c r="J34" s="1000" t="s">
        <v>1219</v>
      </c>
      <c r="L34" s="272" t="e">
        <f aca="false">1.2*0.9056*Таблица26[[#This Row],[модуль пружності е, мпа]]^(-0.285)</f>
        <v>#N/A</v>
      </c>
    </row>
    <row r="35" customFormat="false" ht="60" hidden="false" customHeight="false" outlineLevel="0" collapsed="false">
      <c r="B35" s="1055" t="s">
        <v>456</v>
      </c>
      <c r="C35" s="1018" t="n">
        <v>10</v>
      </c>
      <c r="D35" s="996" t="s">
        <v>1220</v>
      </c>
      <c r="E35" s="1015" t="s">
        <v>32</v>
      </c>
      <c r="F35" s="1027" t="n">
        <v>700</v>
      </c>
      <c r="G35" s="1027" t="s">
        <v>1221</v>
      </c>
      <c r="H35" s="1027" t="n">
        <v>0.17</v>
      </c>
      <c r="I35" s="991" t="n">
        <v>0.4</v>
      </c>
      <c r="J35" s="991" t="s">
        <v>1222</v>
      </c>
      <c r="L35" s="272" t="e">
        <f aca="false">1.2*0.9056*Таблица26[[#This Row],[модуль пружності е, мпа]]^(-0.285)</f>
        <v>#N/A</v>
      </c>
    </row>
    <row r="36" customFormat="false" ht="60" hidden="false" customHeight="false" outlineLevel="0" collapsed="false">
      <c r="B36" s="1056" t="s">
        <v>457</v>
      </c>
      <c r="C36" s="1018"/>
      <c r="D36" s="1019"/>
      <c r="E36" s="1018" t="s">
        <v>458</v>
      </c>
      <c r="F36" s="1027" t="n">
        <v>500</v>
      </c>
      <c r="G36" s="1027" t="s">
        <v>1223</v>
      </c>
      <c r="H36" s="1027" t="n">
        <v>0.18</v>
      </c>
      <c r="I36" s="991" t="n">
        <v>0.31</v>
      </c>
      <c r="J36" s="991" t="s">
        <v>1224</v>
      </c>
      <c r="L36" s="272" t="e">
        <f aca="false">1.2*0.9056*Таблица26[[#This Row],[модуль пружності е, мпа]]^(-0.285)</f>
        <v>#N/A</v>
      </c>
    </row>
    <row r="37" customFormat="false" ht="60" hidden="false" customHeight="false" outlineLevel="0" collapsed="false">
      <c r="B37" s="1057" t="s">
        <v>459</v>
      </c>
      <c r="C37" s="1018"/>
      <c r="D37" s="1019"/>
      <c r="E37" s="1018" t="s">
        <v>460</v>
      </c>
      <c r="F37" s="1027" t="n">
        <v>300</v>
      </c>
      <c r="G37" s="1027" t="s">
        <v>1225</v>
      </c>
      <c r="H37" s="1027" t="n">
        <v>0.2</v>
      </c>
      <c r="I37" s="991" t="n">
        <v>0.2</v>
      </c>
      <c r="J37" s="991" t="s">
        <v>1226</v>
      </c>
      <c r="L37" s="272" t="e">
        <f aca="false">1.2*0.9056*Таблица26[[#This Row],[модуль пружності е, мпа]]^(-0.285)</f>
        <v>#N/A</v>
      </c>
    </row>
    <row r="38" customFormat="false" ht="60" hidden="false" customHeight="false" outlineLevel="0" collapsed="false">
      <c r="B38" s="1058" t="s">
        <v>461</v>
      </c>
      <c r="C38" s="990" t="n">
        <v>11</v>
      </c>
      <c r="D38" s="1037" t="s">
        <v>1227</v>
      </c>
      <c r="E38" s="1059" t="s">
        <v>462</v>
      </c>
      <c r="F38" s="1060" t="n">
        <v>350</v>
      </c>
      <c r="G38" s="1060" t="s">
        <v>1228</v>
      </c>
      <c r="H38" s="990" t="n">
        <v>0.2</v>
      </c>
      <c r="I38" s="1060" t="n">
        <v>0.35</v>
      </c>
      <c r="J38" s="1060" t="s">
        <v>1229</v>
      </c>
      <c r="L38" s="272" t="e">
        <f aca="false">1.2*0.9056*Таблица26[[#This Row],[модуль пружності е, мпа]]^(-0.285)</f>
        <v>#N/A</v>
      </c>
    </row>
    <row r="39" customFormat="false" ht="75" hidden="false" customHeight="false" outlineLevel="0" collapsed="false">
      <c r="B39" s="1047" t="s">
        <v>463</v>
      </c>
      <c r="C39" s="990" t="n">
        <v>12</v>
      </c>
      <c r="D39" s="1016" t="s">
        <v>1230</v>
      </c>
      <c r="E39" s="1015" t="s">
        <v>464</v>
      </c>
      <c r="F39" s="1050" t="n">
        <v>800</v>
      </c>
      <c r="G39" s="1050" t="s">
        <v>1231</v>
      </c>
      <c r="H39" s="1015" t="n">
        <v>0.16</v>
      </c>
      <c r="I39" s="1050" t="n">
        <v>0.5</v>
      </c>
      <c r="J39" s="1050" t="s">
        <v>1232</v>
      </c>
      <c r="L39" s="272" t="e">
        <f aca="false">1.2*0.9056*Таблица26[[#This Row],[модуль пружності е, мпа]]^(-0.285)</f>
        <v>#N/A</v>
      </c>
    </row>
    <row r="40" customFormat="false" ht="45" hidden="false" customHeight="false" outlineLevel="0" collapsed="false">
      <c r="B40" s="1051" t="s">
        <v>465</v>
      </c>
      <c r="C40" s="990"/>
      <c r="D40" s="1019"/>
      <c r="E40" s="1018" t="s">
        <v>466</v>
      </c>
      <c r="F40" s="991" t="n">
        <v>600</v>
      </c>
      <c r="G40" s="991" t="s">
        <v>1233</v>
      </c>
      <c r="H40" s="1018" t="n">
        <v>0.17</v>
      </c>
      <c r="I40" s="991" t="n">
        <v>0.4</v>
      </c>
      <c r="J40" s="991" t="s">
        <v>1222</v>
      </c>
      <c r="L40" s="272" t="e">
        <f aca="false">1.2*0.9056*Таблица26[[#This Row],[модуль пружності е, мпа]]^(-0.285)</f>
        <v>#N/A</v>
      </c>
    </row>
    <row r="41" customFormat="false" ht="45" hidden="false" customHeight="false" outlineLevel="0" collapsed="false">
      <c r="B41" s="1052" t="s">
        <v>467</v>
      </c>
      <c r="C41" s="990"/>
      <c r="D41" s="1053"/>
      <c r="E41" s="1054" t="s">
        <v>468</v>
      </c>
      <c r="F41" s="1000" t="n">
        <v>420</v>
      </c>
      <c r="G41" s="1000" t="s">
        <v>1234</v>
      </c>
      <c r="H41" s="1054" t="n">
        <v>0.19</v>
      </c>
      <c r="I41" s="1000" t="n">
        <v>0.31</v>
      </c>
      <c r="J41" s="1000" t="s">
        <v>1235</v>
      </c>
      <c r="L41" s="272" t="e">
        <f aca="false">1.2*0.9056*Таблица26[[#This Row],[модуль пружності е, мпа]]^(-0.285)</f>
        <v>#N/A</v>
      </c>
    </row>
    <row r="42" customFormat="false" ht="45" hidden="false" customHeight="false" outlineLevel="0" collapsed="false">
      <c r="B42" s="1047" t="s">
        <v>469</v>
      </c>
      <c r="C42" s="990" t="n">
        <v>13</v>
      </c>
      <c r="D42" s="1061" t="s">
        <v>1213</v>
      </c>
      <c r="E42" s="990" t="s">
        <v>470</v>
      </c>
      <c r="F42" s="1050" t="n">
        <v>700</v>
      </c>
      <c r="G42" s="1050" t="s">
        <v>1236</v>
      </c>
      <c r="H42" s="1015" t="n">
        <v>0.17</v>
      </c>
      <c r="I42" s="1050" t="n">
        <v>0.4</v>
      </c>
      <c r="J42" s="1050" t="s">
        <v>1237</v>
      </c>
      <c r="L42" s="272" t="e">
        <f aca="false">1.2*0.9056*Таблица26[[#This Row],[модуль пружності е, мпа]]^(-0.285)</f>
        <v>#N/A</v>
      </c>
    </row>
    <row r="43" customFormat="false" ht="45" hidden="false" customHeight="false" outlineLevel="0" collapsed="false">
      <c r="B43" s="1051" t="s">
        <v>471</v>
      </c>
      <c r="C43" s="990"/>
      <c r="D43" s="1027"/>
      <c r="E43" s="1027" t="s">
        <v>472</v>
      </c>
      <c r="F43" s="1019" t="n">
        <v>480</v>
      </c>
      <c r="G43" s="1019" t="s">
        <v>1238</v>
      </c>
      <c r="H43" s="1018" t="n">
        <v>0.18</v>
      </c>
      <c r="I43" s="991" t="n">
        <v>0.28</v>
      </c>
      <c r="J43" s="991" t="s">
        <v>1239</v>
      </c>
      <c r="L43" s="272" t="e">
        <f aca="false">1.2*0.9056*Таблица26[[#This Row],[модуль пружності е, мпа]]^(-0.285)</f>
        <v>#N/A</v>
      </c>
    </row>
    <row r="44" customFormat="false" ht="45" hidden="false" customHeight="false" outlineLevel="0" collapsed="false">
      <c r="B44" s="1052" t="s">
        <v>473</v>
      </c>
      <c r="C44" s="990"/>
      <c r="D44" s="999"/>
      <c r="E44" s="999" t="s">
        <v>474</v>
      </c>
      <c r="F44" s="1053" t="n">
        <v>300</v>
      </c>
      <c r="G44" s="1053" t="s">
        <v>1225</v>
      </c>
      <c r="H44" s="1054" t="n">
        <v>0.2</v>
      </c>
      <c r="I44" s="1000" t="n">
        <v>0.19</v>
      </c>
      <c r="J44" s="1000" t="s">
        <v>1240</v>
      </c>
      <c r="L44" s="272" t="e">
        <f aca="false">1.2*0.9056*Таблица26[[#This Row],[модуль пружності е, мпа]]^(-0.285)</f>
        <v>#N/A</v>
      </c>
    </row>
    <row r="45" customFormat="false" ht="75" hidden="false" customHeight="true" outlineLevel="0" collapsed="false">
      <c r="B45" s="1047" t="s">
        <v>475</v>
      </c>
      <c r="C45" s="990" t="n">
        <v>14</v>
      </c>
      <c r="D45" s="1048" t="s">
        <v>1220</v>
      </c>
      <c r="E45" s="1049" t="s">
        <v>476</v>
      </c>
      <c r="F45" s="1017" t="n">
        <v>450</v>
      </c>
      <c r="G45" s="1017" t="s">
        <v>1211</v>
      </c>
      <c r="H45" s="1015" t="n">
        <v>0.19</v>
      </c>
      <c r="I45" s="1050" t="n">
        <v>0.25</v>
      </c>
      <c r="J45" s="1050" t="s">
        <v>1241</v>
      </c>
      <c r="L45" s="272" t="e">
        <f aca="false">1.2*0.9056*Таблица26[[#This Row],[модуль пружності е, мпа]]^(-0.285)</f>
        <v>#N/A</v>
      </c>
    </row>
    <row r="46" customFormat="false" ht="75" hidden="false" customHeight="false" outlineLevel="0" collapsed="false">
      <c r="B46" s="1052" t="s">
        <v>477</v>
      </c>
      <c r="C46" s="990"/>
      <c r="D46" s="1048"/>
      <c r="E46" s="999" t="s">
        <v>478</v>
      </c>
      <c r="F46" s="1053" t="n">
        <v>280</v>
      </c>
      <c r="G46" s="1053" t="s">
        <v>1242</v>
      </c>
      <c r="H46" s="1054" t="n">
        <v>0.21</v>
      </c>
      <c r="I46" s="1000" t="n">
        <v>0.16</v>
      </c>
      <c r="J46" s="1000" t="s">
        <v>1243</v>
      </c>
      <c r="L46" s="272" t="e">
        <f aca="false">1.2*0.9056*Таблица26[[#This Row],[модуль пружності е, мпа]]^(-0.285)</f>
        <v>#N/A</v>
      </c>
    </row>
    <row r="47" customFormat="false" ht="45" hidden="false" customHeight="false" outlineLevel="0" collapsed="false">
      <c r="B47" s="1058" t="s">
        <v>479</v>
      </c>
      <c r="C47" s="990" t="n">
        <v>15</v>
      </c>
      <c r="D47" s="1036" t="s">
        <v>1244</v>
      </c>
      <c r="E47" s="990" t="s">
        <v>480</v>
      </c>
      <c r="F47" s="1062" t="n">
        <v>300</v>
      </c>
      <c r="G47" s="1062" t="s">
        <v>1245</v>
      </c>
      <c r="H47" s="990" t="n">
        <v>0.21</v>
      </c>
      <c r="I47" s="1060" t="n">
        <v>0.3</v>
      </c>
      <c r="J47" s="1060" t="s">
        <v>1246</v>
      </c>
      <c r="L47" s="272" t="e">
        <f aca="false">1.2*0.9056*Таблица26[[#This Row],[модуль пружності е, мпа]]^(-0.285)</f>
        <v>#N/A</v>
      </c>
    </row>
    <row r="48" customFormat="false" ht="30" hidden="false" customHeight="true" outlineLevel="0" collapsed="false">
      <c r="B48" s="1047" t="s">
        <v>481</v>
      </c>
      <c r="C48" s="990" t="n">
        <v>16</v>
      </c>
      <c r="D48" s="1048" t="s">
        <v>1247</v>
      </c>
      <c r="E48" s="1049" t="s">
        <v>482</v>
      </c>
      <c r="F48" s="1017" t="n">
        <v>750</v>
      </c>
      <c r="G48" s="1017" t="s">
        <v>1248</v>
      </c>
      <c r="H48" s="1015" t="n">
        <v>0.16</v>
      </c>
      <c r="I48" s="1050" t="n">
        <v>0.47</v>
      </c>
      <c r="J48" s="1050" t="s">
        <v>1249</v>
      </c>
      <c r="L48" s="272" t="e">
        <f aca="false">1.2*0.9056*Таблица26[[#This Row],[модуль пружності е, мпа]]^(-0.285)</f>
        <v>#N/A</v>
      </c>
    </row>
    <row r="49" customFormat="false" ht="30" hidden="false" customHeight="false" outlineLevel="0" collapsed="false">
      <c r="B49" s="1051" t="s">
        <v>483</v>
      </c>
      <c r="C49" s="990"/>
      <c r="D49" s="1048"/>
      <c r="E49" s="1027" t="s">
        <v>484</v>
      </c>
      <c r="F49" s="1019" t="n">
        <v>550</v>
      </c>
      <c r="G49" s="1019" t="s">
        <v>1250</v>
      </c>
      <c r="H49" s="1018" t="n">
        <v>0.18</v>
      </c>
      <c r="I49" s="991" t="n">
        <v>0.37</v>
      </c>
      <c r="J49" s="991" t="s">
        <v>1251</v>
      </c>
      <c r="L49" s="272" t="e">
        <f aca="false">1.2*0.9056*Таблица26[[#This Row],[модуль пружності е, мпа]]^(-0.285)</f>
        <v>#N/A</v>
      </c>
    </row>
    <row r="50" customFormat="false" ht="30" hidden="false" customHeight="false" outlineLevel="0" collapsed="false">
      <c r="B50" s="1052" t="s">
        <v>485</v>
      </c>
      <c r="C50" s="990"/>
      <c r="D50" s="1048"/>
      <c r="E50" s="999" t="s">
        <v>486</v>
      </c>
      <c r="F50" s="1053" t="n">
        <v>380</v>
      </c>
      <c r="G50" s="1053" t="s">
        <v>1252</v>
      </c>
      <c r="H50" s="1054" t="n">
        <v>0.2</v>
      </c>
      <c r="I50" s="1000" t="n">
        <v>0.28</v>
      </c>
      <c r="J50" s="1000" t="s">
        <v>1239</v>
      </c>
      <c r="L50" s="272" t="e">
        <f aca="false">1.2*0.9056*Таблица26[[#This Row],[модуль пружності е, мпа]]^(-0.285)</f>
        <v>#N/A</v>
      </c>
    </row>
    <row r="51" customFormat="false" ht="15.75" hidden="false" customHeight="false" outlineLevel="0" collapsed="false">
      <c r="B51" s="1047" t="s">
        <v>487</v>
      </c>
      <c r="C51" s="990" t="n">
        <v>17</v>
      </c>
      <c r="D51" s="997" t="s">
        <v>1253</v>
      </c>
      <c r="E51" s="1049" t="s">
        <v>488</v>
      </c>
      <c r="F51" s="1049" t="n">
        <v>650</v>
      </c>
      <c r="G51" s="1049" t="s">
        <v>1254</v>
      </c>
      <c r="H51" s="1049" t="n">
        <v>0.17</v>
      </c>
      <c r="I51" s="1050" t="n">
        <v>0.35</v>
      </c>
      <c r="J51" s="1050" t="s">
        <v>1255</v>
      </c>
      <c r="L51" s="272" t="e">
        <f aca="false">1.2*0.9056*Таблица26[[#This Row],[модуль пружності е, мпа]]^(-0.285)</f>
        <v>#N/A</v>
      </c>
    </row>
    <row r="52" customFormat="false" ht="15.75" hidden="false" customHeight="false" outlineLevel="0" collapsed="false">
      <c r="B52" s="1051" t="s">
        <v>489</v>
      </c>
      <c r="C52" s="990"/>
      <c r="D52" s="1027"/>
      <c r="E52" s="1027" t="s">
        <v>490</v>
      </c>
      <c r="F52" s="1027" t="n">
        <v>450</v>
      </c>
      <c r="G52" s="1027" t="s">
        <v>1211</v>
      </c>
      <c r="H52" s="1027" t="n">
        <v>0.19</v>
      </c>
      <c r="I52" s="991" t="n">
        <v>0.25</v>
      </c>
      <c r="J52" s="991" t="s">
        <v>1256</v>
      </c>
      <c r="L52" s="272" t="e">
        <f aca="false">1.2*0.9056*Таблица26[[#This Row],[модуль пружності е, мпа]]^(-0.285)</f>
        <v>#N/A</v>
      </c>
    </row>
    <row r="53" customFormat="false" ht="15.75" hidden="false" customHeight="false" outlineLevel="0" collapsed="false">
      <c r="B53" s="1052" t="s">
        <v>491</v>
      </c>
      <c r="C53" s="990"/>
      <c r="D53" s="999"/>
      <c r="E53" s="999" t="s">
        <v>492</v>
      </c>
      <c r="F53" s="999" t="n">
        <v>260</v>
      </c>
      <c r="G53" s="999" t="s">
        <v>1257</v>
      </c>
      <c r="H53" s="999" t="n">
        <v>0.21</v>
      </c>
      <c r="I53" s="1000" t="n">
        <v>0.16</v>
      </c>
      <c r="J53" s="1000" t="s">
        <v>1258</v>
      </c>
      <c r="L53" s="272" t="e">
        <f aca="false">1.2*0.9056*Таблица26[[#This Row],[модуль пружності е, мпа]]^(-0.285)</f>
        <v>#N/A</v>
      </c>
    </row>
    <row r="54" customFormat="false" ht="45" hidden="false" customHeight="true" outlineLevel="0" collapsed="false">
      <c r="B54" s="1047" t="s">
        <v>493</v>
      </c>
      <c r="C54" s="990" t="n">
        <v>18</v>
      </c>
      <c r="D54" s="1048" t="s">
        <v>1259</v>
      </c>
      <c r="E54" s="1049" t="s">
        <v>494</v>
      </c>
      <c r="F54" s="1049" t="n">
        <v>430</v>
      </c>
      <c r="G54" s="1049" t="s">
        <v>1260</v>
      </c>
      <c r="H54" s="1049" t="n">
        <v>0.19</v>
      </c>
      <c r="I54" s="1050" t="n">
        <v>0.22</v>
      </c>
      <c r="J54" s="1050" t="s">
        <v>1261</v>
      </c>
      <c r="L54" s="272" t="e">
        <f aca="false">1.2*0.9056*Таблица26[[#This Row],[модуль пружності е, мпа]]^(-0.285)</f>
        <v>#N/A</v>
      </c>
    </row>
    <row r="55" customFormat="false" ht="45" hidden="false" customHeight="false" outlineLevel="0" collapsed="false">
      <c r="B55" s="1052" t="s">
        <v>495</v>
      </c>
      <c r="C55" s="990"/>
      <c r="D55" s="1048"/>
      <c r="E55" s="999" t="s">
        <v>496</v>
      </c>
      <c r="F55" s="999" t="n">
        <v>230</v>
      </c>
      <c r="G55" s="999" t="s">
        <v>1262</v>
      </c>
      <c r="H55" s="999" t="n">
        <v>0.22</v>
      </c>
      <c r="I55" s="1000" t="n">
        <v>0.08</v>
      </c>
      <c r="J55" s="1000" t="s">
        <v>1263</v>
      </c>
      <c r="L55" s="272" t="e">
        <f aca="false">1.2*0.9056*Таблица26[[#This Row],[модуль пружності е, мпа]]^(-0.285)</f>
        <v>#N/A</v>
      </c>
    </row>
    <row r="56" customFormat="false" ht="30" hidden="false" customHeight="false" outlineLevel="0" collapsed="false">
      <c r="B56" s="1058" t="s">
        <v>497</v>
      </c>
      <c r="C56" s="990" t="n">
        <v>19</v>
      </c>
      <c r="D56" s="1036" t="s">
        <v>1264</v>
      </c>
      <c r="E56" s="496" t="s">
        <v>498</v>
      </c>
      <c r="F56" s="992" t="n">
        <v>300</v>
      </c>
      <c r="G56" s="992" t="s">
        <v>1265</v>
      </c>
      <c r="H56" s="992" t="n">
        <v>0.21</v>
      </c>
      <c r="I56" s="1060" t="n">
        <v>0.25</v>
      </c>
      <c r="J56" s="1060" t="s">
        <v>1266</v>
      </c>
      <c r="L56" s="272" t="e">
        <f aca="false">1.2*0.9056*Таблица26[[#This Row],[модуль пружності е, мпа]]^(-0.285)</f>
        <v>#N/A</v>
      </c>
    </row>
    <row r="57" customFormat="false" ht="45" hidden="false" customHeight="true" outlineLevel="0" collapsed="false">
      <c r="B57" s="1047" t="s">
        <v>499</v>
      </c>
      <c r="C57" s="990" t="n">
        <v>20</v>
      </c>
      <c r="D57" s="1048" t="s">
        <v>1267</v>
      </c>
      <c r="E57" s="1049" t="s">
        <v>500</v>
      </c>
      <c r="F57" s="1049" t="n">
        <v>700</v>
      </c>
      <c r="G57" s="1049" t="s">
        <v>1268</v>
      </c>
      <c r="H57" s="1049" t="n">
        <v>0.16</v>
      </c>
      <c r="I57" s="1050" t="n">
        <v>0.46</v>
      </c>
      <c r="J57" s="1050" t="s">
        <v>1269</v>
      </c>
      <c r="L57" s="272" t="e">
        <f aca="false">1.2*0.9056*Таблица26[[#This Row],[модуль пружності е, мпа]]^(-0.285)</f>
        <v>#N/A</v>
      </c>
    </row>
    <row r="58" customFormat="false" ht="45" hidden="false" customHeight="false" outlineLevel="0" collapsed="false">
      <c r="B58" s="1051" t="s">
        <v>501</v>
      </c>
      <c r="C58" s="990"/>
      <c r="D58" s="1048"/>
      <c r="E58" s="1027" t="s">
        <v>502</v>
      </c>
      <c r="F58" s="1027" t="n">
        <v>530</v>
      </c>
      <c r="G58" s="1027" t="s">
        <v>1216</v>
      </c>
      <c r="H58" s="1027" t="n">
        <v>0.18</v>
      </c>
      <c r="I58" s="991" t="n">
        <v>0.36</v>
      </c>
      <c r="J58" s="991" t="s">
        <v>1270</v>
      </c>
      <c r="L58" s="272" t="e">
        <f aca="false">1.2*0.9056*Таблица26[[#This Row],[модуль пружності е, мпа]]^(-0.285)</f>
        <v>#N/A</v>
      </c>
    </row>
    <row r="59" customFormat="false" ht="45" hidden="false" customHeight="false" outlineLevel="0" collapsed="false">
      <c r="B59" s="1052" t="s">
        <v>503</v>
      </c>
      <c r="C59" s="990"/>
      <c r="D59" s="1048"/>
      <c r="E59" s="999" t="s">
        <v>504</v>
      </c>
      <c r="F59" s="999" t="n">
        <v>320</v>
      </c>
      <c r="G59" s="999" t="s">
        <v>1271</v>
      </c>
      <c r="H59" s="999" t="n">
        <v>0.21</v>
      </c>
      <c r="I59" s="1000" t="n">
        <v>0.26</v>
      </c>
      <c r="J59" s="1000" t="s">
        <v>1272</v>
      </c>
      <c r="L59" s="272" t="e">
        <f aca="false">1.2*0.9056*Таблица26[[#This Row],[модуль пружності е, мпа]]^(-0.285)</f>
        <v>#N/A</v>
      </c>
    </row>
    <row r="60" customFormat="false" ht="45" hidden="false" customHeight="false" outlineLevel="0" collapsed="false">
      <c r="B60" s="1047" t="s">
        <v>505</v>
      </c>
      <c r="C60" s="990" t="n">
        <v>21</v>
      </c>
      <c r="D60" s="997" t="s">
        <v>1253</v>
      </c>
      <c r="E60" s="1049" t="s">
        <v>506</v>
      </c>
      <c r="F60" s="1049" t="n">
        <v>600</v>
      </c>
      <c r="G60" s="1049" t="s">
        <v>1273</v>
      </c>
      <c r="H60" s="1049" t="n">
        <v>0.17</v>
      </c>
      <c r="I60" s="1050" t="n">
        <v>0.3</v>
      </c>
      <c r="J60" s="1050" t="s">
        <v>1274</v>
      </c>
      <c r="L60" s="272" t="e">
        <f aca="false">1.2*0.9056*Таблица26[[#This Row],[модуль пружності е, мпа]]^(-0.285)</f>
        <v>#N/A</v>
      </c>
    </row>
    <row r="61" customFormat="false" ht="45" hidden="false" customHeight="false" outlineLevel="0" collapsed="false">
      <c r="B61" s="1051" t="s">
        <v>507</v>
      </c>
      <c r="C61" s="990"/>
      <c r="D61" s="1027"/>
      <c r="E61" s="1027" t="s">
        <v>508</v>
      </c>
      <c r="F61" s="1027" t="n">
        <v>400</v>
      </c>
      <c r="G61" s="1027" t="s">
        <v>1275</v>
      </c>
      <c r="H61" s="1027" t="n">
        <v>0.2</v>
      </c>
      <c r="I61" s="991" t="n">
        <v>0.2</v>
      </c>
      <c r="J61" s="991" t="s">
        <v>1276</v>
      </c>
      <c r="L61" s="272" t="e">
        <f aca="false">1.2*0.9056*Таблица26[[#This Row],[модуль пружності е, мпа]]^(-0.285)</f>
        <v>#N/A</v>
      </c>
    </row>
    <row r="62" customFormat="false" ht="45" hidden="false" customHeight="false" outlineLevel="0" collapsed="false">
      <c r="B62" s="1052" t="s">
        <v>509</v>
      </c>
      <c r="C62" s="990"/>
      <c r="D62" s="999"/>
      <c r="E62" s="999" t="s">
        <v>510</v>
      </c>
      <c r="F62" s="999" t="n">
        <v>220</v>
      </c>
      <c r="G62" s="999" t="s">
        <v>1277</v>
      </c>
      <c r="H62" s="999" t="n">
        <v>0.22</v>
      </c>
      <c r="I62" s="1000" t="n">
        <v>0.12</v>
      </c>
      <c r="J62" s="1000" t="s">
        <v>1278</v>
      </c>
      <c r="L62" s="272" t="e">
        <f aca="false">1.2*0.9056*Таблица26[[#This Row],[модуль пружності е, мпа]]^(-0.285)</f>
        <v>#N/A</v>
      </c>
    </row>
    <row r="63" customFormat="false" ht="15.75" hidden="false" customHeight="true" outlineLevel="0" collapsed="false">
      <c r="B63" s="1047" t="s">
        <v>511</v>
      </c>
      <c r="C63" s="990" t="n">
        <v>22</v>
      </c>
      <c r="D63" s="1048" t="s">
        <v>1279</v>
      </c>
      <c r="E63" s="1049" t="s">
        <v>512</v>
      </c>
      <c r="F63" s="1049" t="n">
        <v>600</v>
      </c>
      <c r="G63" s="1049" t="s">
        <v>1280</v>
      </c>
      <c r="H63" s="1049" t="n">
        <v>0.17</v>
      </c>
      <c r="I63" s="1050" t="n">
        <v>0.4</v>
      </c>
      <c r="J63" s="1050" t="s">
        <v>1281</v>
      </c>
      <c r="L63" s="272" t="e">
        <f aca="false">1.2*0.9056*Таблица26[[#This Row],[модуль пружності е, мпа]]^(-0.285)</f>
        <v>#N/A</v>
      </c>
    </row>
    <row r="64" customFormat="false" ht="15.75" hidden="false" customHeight="false" outlineLevel="0" collapsed="false">
      <c r="B64" s="1051" t="s">
        <v>513</v>
      </c>
      <c r="C64" s="990"/>
      <c r="D64" s="1048"/>
      <c r="E64" s="1027" t="s">
        <v>514</v>
      </c>
      <c r="F64" s="1027" t="n">
        <v>450</v>
      </c>
      <c r="G64" s="1027" t="s">
        <v>1211</v>
      </c>
      <c r="H64" s="1027" t="n">
        <v>0.19</v>
      </c>
      <c r="I64" s="991" t="n">
        <v>0.32</v>
      </c>
      <c r="J64" s="991" t="s">
        <v>1212</v>
      </c>
      <c r="L64" s="272" t="e">
        <f aca="false">1.2*0.9056*Таблица26[[#This Row],[модуль пружності е, мпа]]^(-0.285)</f>
        <v>#N/A</v>
      </c>
    </row>
    <row r="65" customFormat="false" ht="15.75" hidden="false" customHeight="false" outlineLevel="0" collapsed="false">
      <c r="B65" s="1052" t="s">
        <v>515</v>
      </c>
      <c r="C65" s="990"/>
      <c r="D65" s="1048"/>
      <c r="E65" s="999" t="s">
        <v>516</v>
      </c>
      <c r="F65" s="999" t="n">
        <v>280</v>
      </c>
      <c r="G65" s="999" t="s">
        <v>1282</v>
      </c>
      <c r="H65" s="999" t="n">
        <v>0.22</v>
      </c>
      <c r="I65" s="1000" t="n">
        <v>0.24</v>
      </c>
      <c r="J65" s="1000" t="s">
        <v>1283</v>
      </c>
      <c r="L65" s="272" t="e">
        <f aca="false">1.2*0.9056*Таблица26[[#This Row],[модуль пружності е, мпа]]^(-0.285)</f>
        <v>#N/A</v>
      </c>
    </row>
    <row r="66" customFormat="false" ht="15.75" hidden="false" customHeight="true" outlineLevel="0" collapsed="false">
      <c r="B66" s="1047" t="s">
        <v>517</v>
      </c>
      <c r="C66" s="990" t="n">
        <v>23</v>
      </c>
      <c r="D66" s="1048" t="s">
        <v>1253</v>
      </c>
      <c r="E66" s="1049" t="s">
        <v>518</v>
      </c>
      <c r="F66" s="1049" t="n">
        <v>500</v>
      </c>
      <c r="G66" s="1049" t="s">
        <v>1284</v>
      </c>
      <c r="H66" s="1049" t="n">
        <v>0.18</v>
      </c>
      <c r="I66" s="1050" t="n">
        <v>0.22</v>
      </c>
      <c r="J66" s="1050" t="s">
        <v>1285</v>
      </c>
      <c r="L66" s="272" t="e">
        <f aca="false">1.2*0.9056*Таблица26[[#This Row],[модуль пружності е, мпа]]^(-0.285)</f>
        <v>#N/A</v>
      </c>
    </row>
    <row r="67" customFormat="false" ht="15.75" hidden="false" customHeight="false" outlineLevel="0" collapsed="false">
      <c r="B67" s="1051" t="s">
        <v>519</v>
      </c>
      <c r="C67" s="990"/>
      <c r="D67" s="1048"/>
      <c r="E67" s="1027" t="s">
        <v>520</v>
      </c>
      <c r="F67" s="1027" t="n">
        <v>350</v>
      </c>
      <c r="G67" s="1027" t="s">
        <v>1286</v>
      </c>
      <c r="H67" s="1027" t="n">
        <v>0.2</v>
      </c>
      <c r="I67" s="991" t="n">
        <v>0.16</v>
      </c>
      <c r="J67" s="991" t="s">
        <v>1243</v>
      </c>
      <c r="L67" s="272" t="e">
        <f aca="false">1.2*0.9056*Таблица26[[#This Row],[модуль пружності е, мпа]]^(-0.285)</f>
        <v>#N/A</v>
      </c>
    </row>
    <row r="68" customFormat="false" ht="15.75" hidden="false" customHeight="false" outlineLevel="0" collapsed="false">
      <c r="B68" s="1052" t="s">
        <v>521</v>
      </c>
      <c r="C68" s="990"/>
      <c r="D68" s="1048"/>
      <c r="E68" s="999" t="s">
        <v>522</v>
      </c>
      <c r="F68" s="999" t="n">
        <v>200</v>
      </c>
      <c r="G68" s="999" t="s">
        <v>1287</v>
      </c>
      <c r="H68" s="999" t="n">
        <v>0.24</v>
      </c>
      <c r="I68" s="1000" t="n">
        <v>0.09</v>
      </c>
      <c r="J68" s="1000" t="s">
        <v>1288</v>
      </c>
      <c r="L68" s="272" t="e">
        <f aca="false">1.2*0.9056*Таблица26[[#This Row],[модуль пружності е, мпа]]^(-0.285)</f>
        <v>#N/A</v>
      </c>
    </row>
    <row r="69" customFormat="false" ht="45" hidden="false" customHeight="true" outlineLevel="0" collapsed="false">
      <c r="B69" s="1047" t="s">
        <v>523</v>
      </c>
      <c r="C69" s="990" t="n">
        <v>24</v>
      </c>
      <c r="D69" s="990" t="s">
        <v>1220</v>
      </c>
      <c r="E69" s="1049" t="s">
        <v>524</v>
      </c>
      <c r="F69" s="1049" t="n">
        <v>300</v>
      </c>
      <c r="G69" s="1049" t="s">
        <v>1245</v>
      </c>
      <c r="H69" s="1049" t="n">
        <v>0.21</v>
      </c>
      <c r="I69" s="1050" t="n">
        <v>0.12</v>
      </c>
      <c r="J69" s="1050" t="s">
        <v>1289</v>
      </c>
      <c r="L69" s="272" t="e">
        <f aca="false">1.2*0.9056*Таблица26[[#This Row],[модуль пружності е, мпа]]^(-0.285)</f>
        <v>#N/A</v>
      </c>
    </row>
    <row r="70" customFormat="false" ht="45" hidden="false" customHeight="false" outlineLevel="0" collapsed="false">
      <c r="B70" s="1052" t="s">
        <v>525</v>
      </c>
      <c r="C70" s="990"/>
      <c r="D70" s="990"/>
      <c r="E70" s="999" t="s">
        <v>526</v>
      </c>
      <c r="F70" s="999" t="n">
        <v>180</v>
      </c>
      <c r="G70" s="999" t="s">
        <v>1290</v>
      </c>
      <c r="H70" s="999" t="n">
        <v>0.24</v>
      </c>
      <c r="I70" s="1000" t="n">
        <v>0.06</v>
      </c>
      <c r="J70" s="1000" t="s">
        <v>1291</v>
      </c>
      <c r="L70" s="272" t="e">
        <f aca="false">1.2*0.9056*Таблица26[[#This Row],[модуль пружності е, мпа]]^(-0.285)</f>
        <v>#N/A</v>
      </c>
    </row>
    <row r="71" customFormat="false" ht="15.75" hidden="false" customHeight="false" outlineLevel="0" collapsed="false">
      <c r="B71" s="1058" t="s">
        <v>527</v>
      </c>
      <c r="C71" s="990" t="n">
        <v>25</v>
      </c>
      <c r="D71" s="1036" t="s">
        <v>1292</v>
      </c>
      <c r="E71" s="1063" t="s">
        <v>528</v>
      </c>
      <c r="F71" s="990" t="n">
        <v>250</v>
      </c>
      <c r="G71" s="990" t="s">
        <v>1293</v>
      </c>
      <c r="H71" s="992" t="n">
        <v>0.22</v>
      </c>
      <c r="I71" s="1060" t="n">
        <v>0.17</v>
      </c>
      <c r="J71" s="1060" t="s">
        <v>1294</v>
      </c>
      <c r="L71" s="272" t="e">
        <f aca="false">1.2*0.9056*Таблица26[[#This Row],[модуль пружності е, мпа]]^(-0.285)</f>
        <v>#N/A</v>
      </c>
    </row>
    <row r="72" customFormat="false" ht="30" hidden="false" customHeight="true" outlineLevel="0" collapsed="false">
      <c r="B72" s="1047" t="s">
        <v>529</v>
      </c>
      <c r="C72" s="990" t="n">
        <v>26</v>
      </c>
      <c r="D72" s="1048" t="s">
        <v>1295</v>
      </c>
      <c r="E72" s="1049" t="s">
        <v>530</v>
      </c>
      <c r="F72" s="1049" t="n">
        <v>330</v>
      </c>
      <c r="G72" s="1049" t="s">
        <v>1296</v>
      </c>
      <c r="H72" s="1049" t="n">
        <v>0.21</v>
      </c>
      <c r="I72" s="1050" t="n">
        <v>0.12</v>
      </c>
      <c r="J72" s="1050" t="s">
        <v>1289</v>
      </c>
      <c r="L72" s="272" t="e">
        <f aca="false">1.2*0.9056*Таблица26[[#This Row],[модуль пружності е, мпа]]^(-0.285)</f>
        <v>#N/A</v>
      </c>
    </row>
    <row r="73" customFormat="false" ht="30" hidden="false" customHeight="false" outlineLevel="0" collapsed="false">
      <c r="B73" s="1052" t="s">
        <v>531</v>
      </c>
      <c r="C73" s="990"/>
      <c r="D73" s="1048"/>
      <c r="E73" s="1027" t="s">
        <v>532</v>
      </c>
      <c r="F73" s="1027" t="n">
        <v>80</v>
      </c>
      <c r="G73" s="1027" t="s">
        <v>1297</v>
      </c>
      <c r="H73" s="1027" t="n">
        <v>0.25</v>
      </c>
      <c r="I73" s="991" t="n">
        <v>0.06</v>
      </c>
      <c r="J73" s="991" t="s">
        <v>1291</v>
      </c>
      <c r="L73" s="272" t="e">
        <f aca="false">1.2*0.9056*Таблица26[[#This Row],[модуль пружності е, мпа]]^(-0.285)</f>
        <v>#N/A</v>
      </c>
    </row>
    <row r="74" customFormat="false" ht="15.75" hidden="false" customHeight="false" outlineLevel="0" collapsed="false">
      <c r="B74" s="1052" t="s">
        <v>533</v>
      </c>
      <c r="C74" s="1019" t="n">
        <v>27</v>
      </c>
      <c r="D74" s="1064" t="s">
        <v>1298</v>
      </c>
      <c r="E74" s="1027" t="s">
        <v>534</v>
      </c>
      <c r="F74" s="991" t="n">
        <v>100</v>
      </c>
      <c r="G74" s="991" t="n">
        <v>100</v>
      </c>
      <c r="H74" s="1049" t="n">
        <v>0.25</v>
      </c>
      <c r="I74" s="1050" t="n">
        <v>0.05</v>
      </c>
      <c r="J74" s="1050" t="n">
        <v>0.05</v>
      </c>
    </row>
    <row r="75" customFormat="false" ht="15.75" hidden="false" customHeight="true" outlineLevel="0" collapsed="false">
      <c r="C75" s="1065" t="s">
        <v>1299</v>
      </c>
      <c r="D75" s="1065"/>
      <c r="E75" s="1065"/>
      <c r="F75" s="1065"/>
      <c r="G75" s="1065"/>
      <c r="H75" s="1065"/>
      <c r="I75" s="1065"/>
      <c r="J75" s="1065"/>
    </row>
    <row r="76" customFormat="false" ht="15.75" hidden="false" customHeight="true" outlineLevel="0" collapsed="false">
      <c r="C76" s="1065" t="s">
        <v>1300</v>
      </c>
      <c r="D76" s="1065"/>
      <c r="E76" s="1065"/>
      <c r="F76" s="1065"/>
      <c r="G76" s="1065"/>
      <c r="H76" s="1065"/>
      <c r="I76" s="1065"/>
      <c r="J76" s="1065"/>
    </row>
    <row r="77" customFormat="false" ht="15" hidden="false" customHeight="true" outlineLevel="0" collapsed="false">
      <c r="C77" s="1066" t="s">
        <v>1301</v>
      </c>
      <c r="D77" s="1066"/>
      <c r="E77" s="1066"/>
      <c r="F77" s="1066"/>
      <c r="G77" s="1066"/>
      <c r="H77" s="1066"/>
      <c r="I77" s="1066"/>
      <c r="J77" s="1066"/>
    </row>
    <row r="78" customFormat="false" ht="15" hidden="false" customHeight="true" outlineLevel="0" collapsed="false">
      <c r="C78" s="1066" t="s">
        <v>1302</v>
      </c>
      <c r="D78" s="1066"/>
      <c r="E78" s="1066"/>
      <c r="F78" s="1066"/>
      <c r="G78" s="1066"/>
      <c r="H78" s="1066"/>
      <c r="I78" s="1066"/>
      <c r="J78" s="1066"/>
    </row>
    <row r="79" customFormat="false" ht="15.75" hidden="false" customHeight="true" outlineLevel="0" collapsed="false">
      <c r="C79" s="1067" t="s">
        <v>1303</v>
      </c>
      <c r="D79" s="1067"/>
      <c r="E79" s="1067"/>
      <c r="F79" s="1067"/>
      <c r="G79" s="1067"/>
      <c r="H79" s="1067"/>
      <c r="I79" s="1067"/>
      <c r="J79" s="1067"/>
    </row>
  </sheetData>
  <sheetProtection sheet="true" objects="true" scenarios="true"/>
  <mergeCells count="46">
    <mergeCell ref="C3:J3"/>
    <mergeCell ref="B4:B5"/>
    <mergeCell ref="C4:C5"/>
    <mergeCell ref="F4:J4"/>
    <mergeCell ref="C6:C10"/>
    <mergeCell ref="D6:D10"/>
    <mergeCell ref="C11:C13"/>
    <mergeCell ref="D11:D13"/>
    <mergeCell ref="C14:C16"/>
    <mergeCell ref="D14:D16"/>
    <mergeCell ref="C17:C19"/>
    <mergeCell ref="D17:D19"/>
    <mergeCell ref="C20:C22"/>
    <mergeCell ref="D20:D22"/>
    <mergeCell ref="C23:C25"/>
    <mergeCell ref="D23:D25"/>
    <mergeCell ref="C26:C28"/>
    <mergeCell ref="C29:C31"/>
    <mergeCell ref="D29:D31"/>
    <mergeCell ref="C32:C34"/>
    <mergeCell ref="C35:C37"/>
    <mergeCell ref="C39:C41"/>
    <mergeCell ref="C42:C44"/>
    <mergeCell ref="C45:C46"/>
    <mergeCell ref="D45:D46"/>
    <mergeCell ref="C48:C50"/>
    <mergeCell ref="D48:D50"/>
    <mergeCell ref="C51:C53"/>
    <mergeCell ref="C54:C55"/>
    <mergeCell ref="D54:D55"/>
    <mergeCell ref="C57:C59"/>
    <mergeCell ref="D57:D59"/>
    <mergeCell ref="C60:C62"/>
    <mergeCell ref="C63:C65"/>
    <mergeCell ref="D63:D65"/>
    <mergeCell ref="C66:C68"/>
    <mergeCell ref="D66:D68"/>
    <mergeCell ref="C69:C70"/>
    <mergeCell ref="D69:D70"/>
    <mergeCell ref="C72:C73"/>
    <mergeCell ref="D72:D73"/>
    <mergeCell ref="C75:J75"/>
    <mergeCell ref="C76:J76"/>
    <mergeCell ref="C77:J77"/>
    <mergeCell ref="C78:J78"/>
    <mergeCell ref="C79:J7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8.xml><?xml version="1.0" encoding="utf-8"?>
<worksheet xmlns="http://schemas.openxmlformats.org/spreadsheetml/2006/main" xmlns:r="http://schemas.openxmlformats.org/officeDocument/2006/relationships">
  <sheetPr filterMode="false">
    <pageSetUpPr fitToPage="false"/>
  </sheetPr>
  <dimension ref="B2:J3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7.09278350515464"/>
    <col collapsed="false" hidden="false" max="3" min="3" style="0" width="46.6443298969072"/>
    <col collapsed="false" hidden="false" max="5" min="4" style="0" width="10.3659793814433"/>
    <col collapsed="false" hidden="false" max="6" min="6" style="0" width="9.81958762886598"/>
    <col collapsed="false" hidden="false" max="7" min="7" style="0" width="10.2268041237113"/>
    <col collapsed="false" hidden="false" max="9" min="8" style="0" width="7.63917525773196"/>
    <col collapsed="false" hidden="false" max="10" min="10" style="0" width="37.6443298969072"/>
    <col collapsed="false" hidden="false" max="1025" min="11" style="0" width="7.63917525773196"/>
  </cols>
  <sheetData>
    <row r="2" customFormat="false" ht="77.25" hidden="false" customHeight="true" outlineLevel="0" collapsed="false">
      <c r="C2" s="972" t="s">
        <v>1304</v>
      </c>
      <c r="D2" s="972"/>
      <c r="E2" s="972"/>
      <c r="F2" s="972"/>
      <c r="G2" s="972"/>
    </row>
    <row r="3" customFormat="false" ht="15.75" hidden="false" customHeight="true" outlineLevel="0" collapsed="false">
      <c r="D3" s="990" t="s">
        <v>1305</v>
      </c>
      <c r="E3" s="990"/>
      <c r="F3" s="990"/>
      <c r="G3" s="990"/>
    </row>
    <row r="4" customFormat="false" ht="215.25" hidden="false" customHeight="false" outlineLevel="0" collapsed="false">
      <c r="B4" s="1068" t="s">
        <v>1306</v>
      </c>
      <c r="C4" s="998" t="s">
        <v>1307</v>
      </c>
      <c r="D4" s="1069" t="s">
        <v>1308</v>
      </c>
      <c r="E4" s="1070" t="s">
        <v>1309</v>
      </c>
      <c r="F4" s="1045" t="s">
        <v>1310</v>
      </c>
      <c r="G4" s="1000" t="s">
        <v>1311</v>
      </c>
      <c r="H4" s="1069" t="s">
        <v>1312</v>
      </c>
      <c r="I4" s="1070" t="s">
        <v>1313</v>
      </c>
    </row>
    <row r="5" customFormat="false" ht="30" hidden="false" customHeight="false" outlineLevel="0" collapsed="false">
      <c r="B5" s="1071" t="s">
        <v>535</v>
      </c>
      <c r="C5" s="998" t="s">
        <v>536</v>
      </c>
      <c r="D5" s="999" t="n">
        <v>600</v>
      </c>
      <c r="E5" s="999" t="n">
        <v>900</v>
      </c>
      <c r="F5" s="999" t="s">
        <v>731</v>
      </c>
      <c r="G5" s="1000" t="s">
        <v>731</v>
      </c>
      <c r="H5" s="1072" t="e">
        <f aca="false">1*0.9056*Таблица27[[#This Row],[модуль пружності для основ е, мпа]]^(-0.285)</f>
        <v>#N/A</v>
      </c>
      <c r="I5" s="1072" t="e">
        <f aca="false">1*0.9056*Таблица27[[#This Row],[модуль пружності для покриттів е, мпа]]^(-0.285)</f>
        <v>#N/A</v>
      </c>
    </row>
    <row r="6" customFormat="false" ht="45" hidden="false" customHeight="false" outlineLevel="0" collapsed="false">
      <c r="B6" s="1073" t="s">
        <v>537</v>
      </c>
      <c r="C6" s="998" t="s">
        <v>538</v>
      </c>
      <c r="D6" s="1027" t="n">
        <v>400</v>
      </c>
      <c r="E6" s="1027" t="n">
        <v>600</v>
      </c>
      <c r="F6" s="1027" t="s">
        <v>731</v>
      </c>
      <c r="G6" s="991" t="s">
        <v>731</v>
      </c>
      <c r="H6" s="1072" t="e">
        <f aca="false">1*0.9056*Таблица27[[#This Row],[модуль пружності для основ е, мпа]]^(-0.285)</f>
        <v>#N/A</v>
      </c>
      <c r="I6" s="1072" t="e">
        <f aca="false">1.2*0.9056*Таблица27[[#This Row],[модуль пружності для покриттів е, мпа]]^(-0.285)</f>
        <v>#N/A</v>
      </c>
    </row>
    <row r="7" customFormat="false" ht="45" hidden="false" customHeight="false" outlineLevel="0" collapsed="false">
      <c r="B7" s="1071" t="s">
        <v>539</v>
      </c>
      <c r="C7" s="994" t="s">
        <v>540</v>
      </c>
      <c r="D7" s="1027" t="n">
        <v>350</v>
      </c>
      <c r="E7" s="1027" t="n">
        <v>450</v>
      </c>
      <c r="F7" s="1027" t="s">
        <v>731</v>
      </c>
      <c r="G7" s="991" t="s">
        <v>731</v>
      </c>
      <c r="H7" s="1072" t="e">
        <f aca="false">1*0.9056*Таблица27[[#This Row],[модуль пружності для основ е, мпа]]^(-0.285)</f>
        <v>#N/A</v>
      </c>
      <c r="I7" s="1072" t="e">
        <f aca="false">1.2*0.9056*Таблица27[[#This Row],[модуль пружності для покриттів е, мпа]]^(-0.285)</f>
        <v>#N/A</v>
      </c>
    </row>
    <row r="8" customFormat="false" ht="45" hidden="false" customHeight="false" outlineLevel="0" collapsed="false">
      <c r="B8" s="1074" t="s">
        <v>541</v>
      </c>
      <c r="C8" s="1003" t="s">
        <v>542</v>
      </c>
      <c r="D8" s="999" t="n">
        <v>250</v>
      </c>
      <c r="E8" s="999" t="n">
        <v>350</v>
      </c>
      <c r="F8" s="999" t="s">
        <v>731</v>
      </c>
      <c r="G8" s="1000" t="s">
        <v>731</v>
      </c>
      <c r="H8" s="1072" t="e">
        <f aca="false">1*0.9056*Таблица27[[#This Row],[модуль пружності для основ е, мпа]]^(-0.285)</f>
        <v>#N/A</v>
      </c>
      <c r="I8" s="1072" t="e">
        <f aca="false">1.2*0.9056*Таблица27[[#This Row],[модуль пружності для покриттів е, мпа]]^(-0.285)</f>
        <v>#N/A</v>
      </c>
    </row>
    <row r="9" customFormat="false" ht="15.75" hidden="false" customHeight="false" outlineLevel="0" collapsed="false">
      <c r="B9" s="1074" t="s">
        <v>543</v>
      </c>
      <c r="C9" s="1003" t="s">
        <v>544</v>
      </c>
      <c r="D9" s="999" t="n">
        <v>150</v>
      </c>
      <c r="E9" s="999" t="n">
        <v>200</v>
      </c>
      <c r="F9" s="999" t="s">
        <v>731</v>
      </c>
      <c r="G9" s="1000" t="s">
        <v>731</v>
      </c>
      <c r="H9" s="1072" t="e">
        <f aca="false">1*0.9056*Таблица27[[#This Row],[модуль пружності для основ е, мпа]]^(-0.285)</f>
        <v>#N/A</v>
      </c>
      <c r="I9" s="1072" t="e">
        <f aca="false">1.2*0.9056*Таблица27[[#This Row],[модуль пружності для покриттів е, мпа]]^(-0.285)</f>
        <v>#N/A</v>
      </c>
    </row>
    <row r="10" customFormat="false" ht="31.5" hidden="false" customHeight="false" outlineLevel="0" collapsed="false">
      <c r="B10" s="1074" t="s">
        <v>545</v>
      </c>
      <c r="C10" s="1075" t="s">
        <v>546</v>
      </c>
      <c r="D10" s="1076" t="n">
        <v>1200</v>
      </c>
      <c r="E10" s="330" t="n">
        <v>1600</v>
      </c>
      <c r="F10" s="999" t="s">
        <v>731</v>
      </c>
      <c r="G10" s="1000" t="s">
        <v>731</v>
      </c>
      <c r="H10" s="1072" t="e">
        <f aca="false">1*0.9056*Таблица27[[#This Row],[модуль пружності для основ е, мпа]]^(-0.285)</f>
        <v>#N/A</v>
      </c>
      <c r="I10" s="1072" t="e">
        <f aca="false">1.2*0.9056*Таблица27[[#This Row],[модуль пружності для покриттів е, мпа]]^(-0.285)</f>
        <v>#N/A</v>
      </c>
    </row>
    <row r="11" customFormat="false" ht="31.5" hidden="false" customHeight="false" outlineLevel="0" collapsed="false">
      <c r="B11" s="1071" t="s">
        <v>547</v>
      </c>
      <c r="C11" s="332" t="s">
        <v>1314</v>
      </c>
      <c r="D11" s="330" t="n">
        <v>900</v>
      </c>
      <c r="E11" s="330" t="n">
        <v>1200</v>
      </c>
      <c r="F11" s="999" t="s">
        <v>731</v>
      </c>
      <c r="G11" s="1000" t="s">
        <v>731</v>
      </c>
      <c r="H11" s="1072" t="e">
        <f aca="false">1*0.9056*Таблица27[[#This Row],[модуль пружності для основ е, мпа]]^(-0.285)</f>
        <v>#N/A</v>
      </c>
      <c r="I11" s="1072" t="e">
        <f aca="false">1.2*0.9056*Таблица27[[#This Row],[модуль пружності для покриттів е, мпа]]^(-0.285)</f>
        <v>#N/A</v>
      </c>
    </row>
    <row r="12" customFormat="false" ht="30" hidden="false" customHeight="false" outlineLevel="0" collapsed="false">
      <c r="B12" s="1074" t="s">
        <v>549</v>
      </c>
      <c r="C12" s="1003" t="s">
        <v>550</v>
      </c>
      <c r="D12" s="999" t="n">
        <v>700</v>
      </c>
      <c r="E12" s="999" t="n">
        <v>900</v>
      </c>
      <c r="F12" s="999" t="s">
        <v>731</v>
      </c>
      <c r="G12" s="1000" t="s">
        <v>731</v>
      </c>
      <c r="H12" s="1072" t="e">
        <f aca="false">1*0.9056*Таблица27[[#This Row],[модуль пружності для основ е, мпа]]^(-0.285)</f>
        <v>#N/A</v>
      </c>
      <c r="I12" s="1072" t="e">
        <f aca="false">1.2*0.9056*Таблица27[[#This Row],[модуль пружності для покриттів е, мпа]]^(-0.285)</f>
        <v>#N/A</v>
      </c>
    </row>
    <row r="13" customFormat="false" ht="30" hidden="false" customHeight="false" outlineLevel="0" collapsed="false">
      <c r="B13" s="1071" t="s">
        <v>551</v>
      </c>
      <c r="C13" s="1003" t="s">
        <v>552</v>
      </c>
      <c r="D13" s="999" t="n">
        <v>550</v>
      </c>
      <c r="E13" s="999" t="n">
        <v>650</v>
      </c>
      <c r="F13" s="999" t="s">
        <v>731</v>
      </c>
      <c r="G13" s="1000" t="s">
        <v>731</v>
      </c>
      <c r="H13" s="1072" t="e">
        <f aca="false">1*0.9056*Таблица27[[#This Row],[модуль пружності для основ е, мпа]]^(-0.285)</f>
        <v>#N/A</v>
      </c>
      <c r="I13" s="1072" t="e">
        <f aca="false">1.2*0.9056*Таблица27[[#This Row],[модуль пружності для покриттів е, мпа]]^(-0.285)</f>
        <v>#N/A</v>
      </c>
    </row>
    <row r="14" customFormat="false" ht="30" hidden="false" customHeight="false" outlineLevel="0" collapsed="false">
      <c r="B14" s="1074" t="s">
        <v>553</v>
      </c>
      <c r="C14" s="1003" t="s">
        <v>554</v>
      </c>
      <c r="D14" s="999" t="n">
        <v>700</v>
      </c>
      <c r="E14" s="999" t="n">
        <v>900</v>
      </c>
      <c r="F14" s="999" t="s">
        <v>731</v>
      </c>
      <c r="G14" s="1000" t="s">
        <v>731</v>
      </c>
      <c r="H14" s="1072" t="e">
        <f aca="false">1*0.9056*Таблица27[[#This Row],[модуль пружності для основ е, мпа]]^(-0.285)</f>
        <v>#N/A</v>
      </c>
      <c r="I14" s="1072" t="e">
        <f aca="false">1.2*0.9056*Таблица27[[#This Row],[модуль пружності для покриттів е, мпа]]^(-0.285)</f>
        <v>#N/A</v>
      </c>
    </row>
    <row r="15" customFormat="false" ht="15.75" hidden="false" customHeight="false" outlineLevel="0" collapsed="false">
      <c r="B15" s="1071" t="s">
        <v>555</v>
      </c>
      <c r="C15" s="1003" t="s">
        <v>556</v>
      </c>
      <c r="D15" s="999" t="n">
        <v>400</v>
      </c>
      <c r="E15" s="999" t="n">
        <v>500</v>
      </c>
      <c r="F15" s="999" t="s">
        <v>731</v>
      </c>
      <c r="G15" s="1000" t="s">
        <v>731</v>
      </c>
      <c r="H15" s="1072" t="e">
        <f aca="false">1*0.9056*Таблица27[[#This Row],[модуль пружності для основ е, мпа]]^(-0.285)</f>
        <v>#N/A</v>
      </c>
      <c r="I15" s="1072" t="e">
        <f aca="false">1.2*0.9056*Таблица27[[#This Row],[модуль пружності для покриттів е, мпа]]^(-0.285)</f>
        <v>#N/A</v>
      </c>
    </row>
    <row r="16" customFormat="false" ht="15.75" hidden="false" customHeight="false" outlineLevel="0" collapsed="false">
      <c r="B16" s="1074" t="s">
        <v>557</v>
      </c>
      <c r="C16" s="994" t="s">
        <v>1315</v>
      </c>
      <c r="D16" s="1027" t="n">
        <v>180</v>
      </c>
      <c r="E16" s="1027" t="n">
        <v>180</v>
      </c>
      <c r="F16" s="1027" t="n">
        <v>45</v>
      </c>
      <c r="G16" s="991" t="n">
        <v>0.03</v>
      </c>
      <c r="H16" s="1072" t="e">
        <f aca="false">1*0.9056*Таблица27[[#This Row],[модуль пружності для основ е, мпа]]^(-0.285)</f>
        <v>#N/A</v>
      </c>
      <c r="I16" s="1072" t="e">
        <f aca="false">1.2*0.9056*Таблица27[[#This Row],[модуль пружності для покриттів е, мпа]]^(-0.285)</f>
        <v>#N/A</v>
      </c>
    </row>
    <row r="17" customFormat="false" ht="30" hidden="false" customHeight="false" outlineLevel="0" collapsed="false">
      <c r="B17" s="1077" t="s">
        <v>559</v>
      </c>
      <c r="C17" s="1078" t="s">
        <v>558</v>
      </c>
      <c r="D17" s="1013" t="n">
        <v>250</v>
      </c>
      <c r="E17" s="1013" t="n">
        <v>300</v>
      </c>
      <c r="F17" s="1013" t="s">
        <v>731</v>
      </c>
      <c r="G17" s="477" t="s">
        <v>731</v>
      </c>
      <c r="H17" s="1072" t="e">
        <f aca="false">1*0.9056*Таблица27[[#This Row],[модуль пружності для основ е, мпа]]^(-0.285)</f>
        <v>#N/A</v>
      </c>
      <c r="I17" s="1072" t="e">
        <f aca="false">1.2*0.9056*Таблица27[[#This Row],[модуль пружності для покриттів е, мпа]]^(-0.285)</f>
        <v>#N/A</v>
      </c>
    </row>
    <row r="18" customFormat="false" ht="30" hidden="false" customHeight="false" outlineLevel="0" collapsed="false">
      <c r="B18" s="1079" t="s">
        <v>561</v>
      </c>
      <c r="C18" s="1078" t="s">
        <v>560</v>
      </c>
      <c r="D18" s="1013" t="n">
        <v>240</v>
      </c>
      <c r="E18" s="1013" t="n">
        <v>290</v>
      </c>
      <c r="F18" s="1013" t="s">
        <v>731</v>
      </c>
      <c r="G18" s="477" t="s">
        <v>731</v>
      </c>
      <c r="H18" s="1072" t="e">
        <f aca="false">1*0.9056*Таблица27[[#This Row],[модуль пружності для основ е, мпа]]^(-0.285)</f>
        <v>#N/A</v>
      </c>
      <c r="I18" s="1072" t="e">
        <f aca="false">1.2*0.9056*Таблица27[[#This Row],[модуль пружності для покриттів е, мпа]]^(-0.285)</f>
        <v>#N/A</v>
      </c>
    </row>
    <row r="19" customFormat="false" ht="30" hidden="false" customHeight="false" outlineLevel="0" collapsed="false">
      <c r="B19" s="1077" t="s">
        <v>563</v>
      </c>
      <c r="C19" s="1080" t="s">
        <v>562</v>
      </c>
      <c r="D19" s="1031" t="n">
        <v>200</v>
      </c>
      <c r="E19" s="1031" t="n">
        <v>250</v>
      </c>
      <c r="F19" s="1031" t="s">
        <v>731</v>
      </c>
      <c r="G19" s="486" t="s">
        <v>731</v>
      </c>
      <c r="H19" s="1072" t="e">
        <f aca="false">1*0.9056*Таблица27[[#This Row],[модуль пружності для основ е, мпа]]^(-0.285)</f>
        <v>#N/A</v>
      </c>
      <c r="I19" s="1072" t="e">
        <f aca="false">1.2*0.9056*Таблица27[[#This Row],[модуль пружності для покриттів е, мпа]]^(-0.285)</f>
        <v>#N/A</v>
      </c>
    </row>
    <row r="20" customFormat="false" ht="30" hidden="false" customHeight="false" outlineLevel="0" collapsed="false">
      <c r="B20" s="1079" t="s">
        <v>565</v>
      </c>
      <c r="C20" s="1078" t="s">
        <v>564</v>
      </c>
      <c r="D20" s="1013" t="n">
        <v>280</v>
      </c>
      <c r="E20" s="1013" t="n">
        <v>350</v>
      </c>
      <c r="F20" s="1013" t="s">
        <v>731</v>
      </c>
      <c r="G20" s="477" t="s">
        <v>731</v>
      </c>
      <c r="H20" s="1072" t="e">
        <f aca="false">1*0.9056*Таблица27[[#This Row],[модуль пружності для основ е, мпа]]^(-0.285)</f>
        <v>#N/A</v>
      </c>
      <c r="I20" s="1072" t="e">
        <f aca="false">1.2*0.9056*Таблица27[[#This Row],[модуль пружності для покриттів е, мпа]]^(-0.285)</f>
        <v>#N/A</v>
      </c>
    </row>
    <row r="21" customFormat="false" ht="30" hidden="false" customHeight="false" outlineLevel="0" collapsed="false">
      <c r="B21" s="1077" t="s">
        <v>566</v>
      </c>
      <c r="C21" s="1078" t="s">
        <v>34</v>
      </c>
      <c r="D21" s="1013" t="n">
        <v>240</v>
      </c>
      <c r="E21" s="1013" t="n">
        <v>280</v>
      </c>
      <c r="F21" s="1013" t="s">
        <v>731</v>
      </c>
      <c r="G21" s="477" t="s">
        <v>731</v>
      </c>
      <c r="H21" s="1072" t="e">
        <f aca="false">1*0.9056*Таблица27[[#This Row],[модуль пружності для основ е, мпа]]^(-0.285)</f>
        <v>#N/A</v>
      </c>
      <c r="I21" s="1072" t="e">
        <f aca="false">1.2*0.9056*Таблица27[[#This Row],[модуль пружності для покриттів е, мпа]]^(-0.285)</f>
        <v>#N/A</v>
      </c>
    </row>
    <row r="22" customFormat="false" ht="30" hidden="false" customHeight="false" outlineLevel="0" collapsed="false">
      <c r="B22" s="1079" t="s">
        <v>568</v>
      </c>
      <c r="C22" s="1078" t="s">
        <v>567</v>
      </c>
      <c r="D22" s="1013" t="n">
        <v>240</v>
      </c>
      <c r="E22" s="1013" t="n">
        <v>280</v>
      </c>
      <c r="F22" s="1013" t="s">
        <v>731</v>
      </c>
      <c r="G22" s="477" t="s">
        <v>731</v>
      </c>
      <c r="H22" s="1072" t="e">
        <f aca="false">1*0.9056*Таблица27[[#This Row],[модуль пружності для основ е, мпа]]^(-0.285)</f>
        <v>#N/A</v>
      </c>
      <c r="I22" s="1072" t="e">
        <f aca="false">1.2*0.9056*Таблица27[[#This Row],[модуль пружності для покриттів е, мпа]]^(-0.285)</f>
        <v>#N/A</v>
      </c>
    </row>
    <row r="23" customFormat="false" ht="30" hidden="false" customHeight="false" outlineLevel="0" collapsed="false">
      <c r="B23" s="1077" t="s">
        <v>570</v>
      </c>
      <c r="C23" s="1078" t="s">
        <v>569</v>
      </c>
      <c r="D23" s="1013" t="n">
        <v>220</v>
      </c>
      <c r="E23" s="1013" t="n">
        <v>260</v>
      </c>
      <c r="F23" s="1013" t="s">
        <v>731</v>
      </c>
      <c r="G23" s="477" t="s">
        <v>731</v>
      </c>
      <c r="H23" s="1072" t="e">
        <f aca="false">1*0.9056*Таблица27[[#This Row],[модуль пружності для основ е, мпа]]^(-0.285)</f>
        <v>#N/A</v>
      </c>
      <c r="I23" s="1072" t="e">
        <f aca="false">1.2*0.9056*Таблица27[[#This Row],[модуль пружності для покриттів е, мпа]]^(-0.285)</f>
        <v>#N/A</v>
      </c>
    </row>
    <row r="24" customFormat="false" ht="30" hidden="false" customHeight="false" outlineLevel="0" collapsed="false">
      <c r="B24" s="1079" t="s">
        <v>572</v>
      </c>
      <c r="C24" s="1078" t="s">
        <v>571</v>
      </c>
      <c r="D24" s="1013" t="n">
        <v>200</v>
      </c>
      <c r="E24" s="1013" t="n">
        <v>240</v>
      </c>
      <c r="F24" s="1013" t="s">
        <v>731</v>
      </c>
      <c r="G24" s="477" t="s">
        <v>731</v>
      </c>
      <c r="H24" s="1072" t="e">
        <f aca="false">1*0.9056*Таблица27[[#This Row],[модуль пружності для основ е, мпа]]^(-0.285)</f>
        <v>#N/A</v>
      </c>
      <c r="I24" s="1072" t="e">
        <f aca="false">1.2*0.9056*Таблица27[[#This Row],[модуль пружності для покриттів е, мпа]]^(-0.285)</f>
        <v>#N/A</v>
      </c>
    </row>
    <row r="25" customFormat="false" ht="30" hidden="false" customHeight="false" outlineLevel="0" collapsed="false">
      <c r="B25" s="1077" t="s">
        <v>573</v>
      </c>
      <c r="C25" s="1078" t="s">
        <v>36</v>
      </c>
      <c r="D25" s="1013" t="n">
        <v>180</v>
      </c>
      <c r="E25" s="1013" t="n">
        <v>220</v>
      </c>
      <c r="F25" s="1013" t="s">
        <v>731</v>
      </c>
      <c r="G25" s="477" t="s">
        <v>731</v>
      </c>
      <c r="H25" s="1072" t="e">
        <f aca="false">1*0.9056*Таблица27[[#This Row],[модуль пружності для основ е, мпа]]^(-0.285)</f>
        <v>#N/A</v>
      </c>
      <c r="I25" s="1072" t="e">
        <f aca="false">1.2*0.9056*Таблица27[[#This Row],[модуль пружності для покриттів е, мпа]]^(-0.285)</f>
        <v>#N/A</v>
      </c>
    </row>
    <row r="26" customFormat="false" ht="30" hidden="false" customHeight="false" outlineLevel="0" collapsed="false">
      <c r="B26" s="1081" t="s">
        <v>575</v>
      </c>
      <c r="C26" s="1080" t="s">
        <v>574</v>
      </c>
      <c r="D26" s="1031" t="n">
        <v>180</v>
      </c>
      <c r="E26" s="1031" t="n">
        <v>220</v>
      </c>
      <c r="F26" s="1031" t="s">
        <v>731</v>
      </c>
      <c r="G26" s="486" t="s">
        <v>731</v>
      </c>
      <c r="H26" s="1072" t="e">
        <f aca="false">1*0.9056*Таблица27[[#This Row],[модуль пружності для основ е, мпа]]^(-0.285)</f>
        <v>#N/A</v>
      </c>
      <c r="I26" s="1072" t="e">
        <f aca="false">1.2*0.9056*Таблица27[[#This Row],[модуль пружності для покриттів е, мпа]]^(-0.285)</f>
        <v>#N/A</v>
      </c>
    </row>
    <row r="27" customFormat="false" ht="30" hidden="false" customHeight="false" outlineLevel="0" collapsed="false">
      <c r="B27" s="1081" t="s">
        <v>577</v>
      </c>
      <c r="C27" s="1080" t="s">
        <v>576</v>
      </c>
      <c r="D27" s="1031" t="n">
        <v>220</v>
      </c>
      <c r="E27" s="1031" t="n">
        <v>250</v>
      </c>
      <c r="F27" s="1031" t="s">
        <v>731</v>
      </c>
      <c r="G27" s="486" t="s">
        <v>731</v>
      </c>
      <c r="H27" s="1072" t="e">
        <f aca="false">1*0.9056*Таблица27[[#This Row],[модуль пружності для основ е, мпа]]^(-0.285)</f>
        <v>#N/A</v>
      </c>
      <c r="I27" s="1072" t="e">
        <f aca="false">1.2*0.9056*Таблица27[[#This Row],[модуль пружності для покриттів е, мпа]]^(-0.285)</f>
        <v>#N/A</v>
      </c>
    </row>
    <row r="28" customFormat="false" ht="30" hidden="false" customHeight="false" outlineLevel="0" collapsed="false">
      <c r="B28" s="1082" t="s">
        <v>533</v>
      </c>
      <c r="C28" s="992" t="s">
        <v>1316</v>
      </c>
      <c r="D28" s="992" t="n">
        <v>100</v>
      </c>
      <c r="E28" s="1060" t="n">
        <v>100</v>
      </c>
      <c r="F28" s="1083" t="s">
        <v>731</v>
      </c>
      <c r="G28" s="1084" t="s">
        <v>731</v>
      </c>
      <c r="H28" s="1085" t="n">
        <f aca="false">1*0.9056*D28^(-0.285)</f>
        <v>0.243745391843621</v>
      </c>
      <c r="I28" s="1085" t="n">
        <f aca="false">1*0.9056*E28^(-0.285)</f>
        <v>0.243745391843621</v>
      </c>
    </row>
    <row r="31" customFormat="false" ht="114" hidden="false" customHeight="false" outlineLevel="0" collapsed="false">
      <c r="C31" s="1086" t="s">
        <v>1317</v>
      </c>
      <c r="D31" s="1087"/>
      <c r="E31" s="1087"/>
      <c r="F31" s="1087"/>
      <c r="J31" s="1088" t="s">
        <v>1318</v>
      </c>
    </row>
    <row r="32" customFormat="false" ht="37.5" hidden="false" customHeight="false" outlineLevel="0" collapsed="false">
      <c r="C32" s="1089" t="s">
        <v>1319</v>
      </c>
      <c r="D32" s="659" t="n">
        <v>130</v>
      </c>
      <c r="E32" s="659" t="n">
        <v>42</v>
      </c>
      <c r="F32" s="659" t="n">
        <v>0.007</v>
      </c>
      <c r="J32" s="1090" t="s">
        <v>1320</v>
      </c>
    </row>
    <row r="33" customFormat="false" ht="18.75" hidden="false" customHeight="false" outlineLevel="0" collapsed="false">
      <c r="C33" s="1089" t="s">
        <v>1321</v>
      </c>
      <c r="D33" s="659" t="n">
        <v>120</v>
      </c>
      <c r="E33" s="659" t="n">
        <v>40</v>
      </c>
      <c r="F33" s="659" t="n">
        <v>0.006</v>
      </c>
      <c r="G33" s="1091"/>
    </row>
    <row r="34" customFormat="false" ht="18.75" hidden="false" customHeight="false" outlineLevel="0" collapsed="false">
      <c r="C34" s="1089" t="s">
        <v>1322</v>
      </c>
      <c r="D34" s="660" t="n">
        <v>100</v>
      </c>
      <c r="E34" s="660" t="n">
        <v>38</v>
      </c>
      <c r="F34" s="660" t="n">
        <v>0.005</v>
      </c>
      <c r="G34" s="1092"/>
    </row>
  </sheetData>
  <sheetProtection sheet="true" objects="true" scenarios="true"/>
  <mergeCells count="2">
    <mergeCell ref="C2:G2"/>
    <mergeCell ref="D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9.xml><?xml version="1.0" encoding="utf-8"?>
<worksheet xmlns="http://schemas.openxmlformats.org/spreadsheetml/2006/main" xmlns:r="http://schemas.openxmlformats.org/officeDocument/2006/relationships">
  <sheetPr filterMode="false">
    <tabColor rgb="FF00B050"/>
    <pageSetUpPr fitToPage="false"/>
  </sheetPr>
  <dimension ref="B1:M9"/>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4" activeCellId="0" sqref="K4"/>
    </sheetView>
  </sheetViews>
  <sheetFormatPr defaultRowHeight="15"/>
  <cols>
    <col collapsed="false" hidden="false" max="1" min="1" style="0" width="7.63917525773196"/>
    <col collapsed="false" hidden="false" max="2" min="2" style="0" width="13.5"/>
    <col collapsed="false" hidden="false" max="3" min="3" style="0" width="15.5463917525773"/>
    <col collapsed="false" hidden="false" max="4" min="4" style="0" width="16.9123711340206"/>
    <col collapsed="false" hidden="false" max="5" min="5" style="0" width="21.5463917525773"/>
    <col collapsed="false" hidden="false" max="6" min="6" style="0" width="19.5051546391753"/>
    <col collapsed="false" hidden="false" max="7" min="7" style="0" width="28.5051546391753"/>
    <col collapsed="false" hidden="false" max="8" min="8" style="0" width="22.5051546391753"/>
    <col collapsed="false" hidden="false" max="9" min="9" style="0" width="22.9123711340206"/>
    <col collapsed="false" hidden="false" max="10" min="10" style="0" width="25.5051546391753"/>
    <col collapsed="false" hidden="false" max="1025" min="11" style="0" width="7.63917525773196"/>
  </cols>
  <sheetData>
    <row r="1" customFormat="false" ht="15" hidden="false" customHeight="false" outlineLevel="0" collapsed="false">
      <c r="H1" s="0" t="s">
        <v>1323</v>
      </c>
    </row>
    <row r="2" customFormat="false" ht="58.7" hidden="false" customHeight="true" outlineLevel="0" collapsed="false">
      <c r="B2" s="1093" t="s">
        <v>1324</v>
      </c>
      <c r="C2" s="1093"/>
      <c r="D2" s="1093"/>
      <c r="E2" s="1093"/>
      <c r="F2" s="1093"/>
      <c r="G2" s="1093"/>
      <c r="H2" s="28" t="s">
        <v>1325</v>
      </c>
      <c r="I2" s="28"/>
      <c r="J2" s="28"/>
      <c r="K2" s="28" t="s">
        <v>1326</v>
      </c>
      <c r="L2" s="28"/>
      <c r="M2" s="28"/>
    </row>
    <row r="3" customFormat="false" ht="87.75" hidden="false" customHeight="true" outlineLevel="0" collapsed="false">
      <c r="B3" s="1094" t="s">
        <v>1327</v>
      </c>
      <c r="C3" s="1095" t="s">
        <v>68</v>
      </c>
      <c r="D3" s="1095" t="s">
        <v>1328</v>
      </c>
      <c r="E3" s="1095" t="s">
        <v>71</v>
      </c>
      <c r="F3" s="1095" t="s">
        <v>73</v>
      </c>
      <c r="G3" s="1096" t="s">
        <v>74</v>
      </c>
      <c r="H3" s="1097" t="s">
        <v>1329</v>
      </c>
      <c r="I3" s="1097" t="s">
        <v>1330</v>
      </c>
      <c r="J3" s="1097" t="s">
        <v>302</v>
      </c>
      <c r="K3" s="330" t="s">
        <v>1331</v>
      </c>
      <c r="L3" s="330" t="s">
        <v>1332</v>
      </c>
      <c r="M3" s="330" t="s">
        <v>1333</v>
      </c>
    </row>
    <row r="4" customFormat="false" ht="18.75" hidden="false" customHeight="false" outlineLevel="0" collapsed="false">
      <c r="B4" s="1098" t="s">
        <v>7</v>
      </c>
      <c r="C4" s="1099" t="n">
        <v>0.97</v>
      </c>
      <c r="D4" s="1099" t="n">
        <v>1.875</v>
      </c>
      <c r="E4" s="1099" t="n">
        <v>1.39</v>
      </c>
      <c r="F4" s="1099" t="n">
        <v>1.5</v>
      </c>
      <c r="G4" s="1100" t="n">
        <v>1.51</v>
      </c>
      <c r="H4" s="1101" t="n">
        <v>0.12</v>
      </c>
      <c r="I4" s="1101" t="n">
        <v>0.17</v>
      </c>
      <c r="J4" s="1101" t="n">
        <v>0.16</v>
      </c>
      <c r="K4" s="330" t="n">
        <v>0.12</v>
      </c>
      <c r="L4" s="330" t="n">
        <v>0.08</v>
      </c>
      <c r="M4" s="330" t="n">
        <v>0.12</v>
      </c>
    </row>
    <row r="5" customFormat="false" ht="18.75" hidden="false" customHeight="false" outlineLevel="0" collapsed="false">
      <c r="B5" s="1098" t="s">
        <v>953</v>
      </c>
      <c r="C5" s="1099" t="n">
        <v>0.95</v>
      </c>
      <c r="D5" s="1099" t="n">
        <v>1.645</v>
      </c>
      <c r="E5" s="1099" t="n">
        <v>1.35</v>
      </c>
      <c r="F5" s="1099" t="n">
        <v>1.43</v>
      </c>
      <c r="G5" s="1100" t="n">
        <v>1.48</v>
      </c>
      <c r="H5" s="1102" t="n">
        <v>0.12</v>
      </c>
      <c r="I5" s="1101" t="n">
        <v>0.17</v>
      </c>
      <c r="J5" s="1101" t="n">
        <v>0.18</v>
      </c>
      <c r="K5" s="330" t="n">
        <v>0.14</v>
      </c>
      <c r="L5" s="330" t="n">
        <v>0.1</v>
      </c>
      <c r="M5" s="330" t="n">
        <v>0.12</v>
      </c>
    </row>
    <row r="6" customFormat="false" ht="18.75" hidden="false" customHeight="false" outlineLevel="0" collapsed="false">
      <c r="B6" s="1098" t="s">
        <v>51</v>
      </c>
      <c r="C6" s="1099" t="n">
        <v>0.95</v>
      </c>
      <c r="D6" s="1099" t="n">
        <v>1.645</v>
      </c>
      <c r="E6" s="1099" t="n">
        <v>1.35</v>
      </c>
      <c r="F6" s="1099" t="n">
        <v>1.43</v>
      </c>
      <c r="G6" s="1100" t="n">
        <v>1.48</v>
      </c>
      <c r="H6" s="1102" t="n">
        <v>0.12</v>
      </c>
      <c r="I6" s="1101" t="n">
        <v>0.17</v>
      </c>
      <c r="J6" s="1101" t="n">
        <v>0.18</v>
      </c>
      <c r="K6" s="330" t="n">
        <v>0.14</v>
      </c>
      <c r="L6" s="330" t="n">
        <v>0.1</v>
      </c>
      <c r="M6" s="330" t="n">
        <v>0.12</v>
      </c>
    </row>
    <row r="7" customFormat="false" ht="18.75" hidden="false" customHeight="false" outlineLevel="0" collapsed="false">
      <c r="B7" s="1098" t="s">
        <v>52</v>
      </c>
      <c r="C7" s="1103" t="n">
        <v>0.9</v>
      </c>
      <c r="D7" s="1099" t="n">
        <v>1.28</v>
      </c>
      <c r="E7" s="1099" t="n">
        <v>1.29</v>
      </c>
      <c r="F7" s="1099" t="n">
        <v>1.33</v>
      </c>
      <c r="G7" s="1100" t="n">
        <v>1.4</v>
      </c>
      <c r="H7" s="1102" t="n">
        <v>0.14</v>
      </c>
      <c r="I7" s="1101" t="n">
        <v>0.18</v>
      </c>
      <c r="J7" s="1101" t="n">
        <v>0.2</v>
      </c>
      <c r="K7" s="330" t="n">
        <v>0.14</v>
      </c>
      <c r="L7" s="330" t="n">
        <v>0.1</v>
      </c>
      <c r="M7" s="330" t="n">
        <v>0.14</v>
      </c>
    </row>
    <row r="8" customFormat="false" ht="18.75" hidden="false" customHeight="false" outlineLevel="0" collapsed="false">
      <c r="B8" s="1098" t="s">
        <v>53</v>
      </c>
      <c r="C8" s="1099" t="n">
        <v>0.85</v>
      </c>
      <c r="D8" s="1099" t="n">
        <v>1.035</v>
      </c>
      <c r="E8" s="1099" t="n">
        <v>1.27</v>
      </c>
      <c r="F8" s="1099" t="n">
        <v>1.29</v>
      </c>
      <c r="G8" s="1100" t="n">
        <v>1.38</v>
      </c>
      <c r="H8" s="1102" t="n">
        <v>0.16</v>
      </c>
      <c r="I8" s="1101" t="n">
        <v>0.2</v>
      </c>
      <c r="J8" s="1101" t="n">
        <v>0.24</v>
      </c>
      <c r="K8" s="330" t="n">
        <v>0.16</v>
      </c>
      <c r="L8" s="330" t="n">
        <v>0.1</v>
      </c>
      <c r="M8" s="330" t="n">
        <v>0.16</v>
      </c>
    </row>
    <row r="9" customFormat="false" ht="18.75" hidden="false" customHeight="false" outlineLevel="0" collapsed="false">
      <c r="B9" s="1104" t="s">
        <v>54</v>
      </c>
      <c r="C9" s="1105" t="n">
        <v>0.75</v>
      </c>
      <c r="D9" s="1105" t="n">
        <v>0.68</v>
      </c>
      <c r="E9" s="1105" t="n">
        <v>1.19</v>
      </c>
      <c r="F9" s="1105" t="n">
        <v>1.23</v>
      </c>
      <c r="G9" s="1106" t="n">
        <v>1.25</v>
      </c>
      <c r="H9" s="1102" t="n">
        <v>0.18</v>
      </c>
      <c r="I9" s="1101" t="n">
        <v>0.26</v>
      </c>
      <c r="J9" s="1101" t="n">
        <v>0.26</v>
      </c>
      <c r="K9" s="330" t="n">
        <v>0.18</v>
      </c>
      <c r="L9" s="330" t="n">
        <v>0.1</v>
      </c>
      <c r="M9" s="330" t="n">
        <v>0.18</v>
      </c>
    </row>
  </sheetData>
  <mergeCells count="3">
    <mergeCell ref="B2:G2"/>
    <mergeCell ref="H2:J2"/>
    <mergeCell ref="K2:M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2:R70"/>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16.9123711340206"/>
    <col collapsed="false" hidden="false" max="4" min="3" style="0" width="7.3659793814433"/>
    <col collapsed="false" hidden="false" max="5" min="5" style="0" width="4.3659793814433"/>
    <col collapsed="false" hidden="false" max="6" min="6" style="0" width="3.13917525773196"/>
    <col collapsed="false" hidden="false" max="7" min="7" style="0" width="7.3659793814433"/>
    <col collapsed="false" hidden="false" max="8" min="8" style="0" width="7.09278350515464"/>
    <col collapsed="false" hidden="false" max="10" min="9" style="0" width="7.3659793814433"/>
    <col collapsed="false" hidden="false" max="11" min="11" style="0" width="13.3659793814433"/>
    <col collapsed="false" hidden="false" max="12" min="12" style="0" width="7.63917525773196"/>
    <col collapsed="false" hidden="false" max="13" min="13" style="0" width="7.77319587628866"/>
    <col collapsed="false" hidden="false" max="1025" min="14" style="0" width="7.63917525773196"/>
  </cols>
  <sheetData>
    <row r="2" customFormat="false" ht="15.75" hidden="false" customHeight="false" outlineLevel="0" collapsed="false">
      <c r="B2" s="155" t="s">
        <v>134</v>
      </c>
      <c r="C2" s="156"/>
      <c r="D2" s="156"/>
      <c r="E2" s="156"/>
      <c r="F2" s="156"/>
      <c r="G2" s="156"/>
      <c r="H2" s="156"/>
      <c r="I2" s="156"/>
      <c r="J2" s="156"/>
      <c r="K2" s="157"/>
      <c r="M2" s="158" t="str">
        <f aca="false">РозрахДопПружПрогин!J24</f>
        <v>Умова міцності:</v>
      </c>
      <c r="N2" s="158"/>
      <c r="O2" s="158"/>
      <c r="P2" s="158"/>
      <c r="Q2" s="158"/>
      <c r="R2" s="158"/>
    </row>
    <row r="3" customFormat="false" ht="15.75" hidden="false" customHeight="false" outlineLevel="0" collapsed="false">
      <c r="B3" s="110" t="s">
        <v>135</v>
      </c>
      <c r="C3" s="110"/>
      <c r="D3" s="110"/>
      <c r="E3" s="110"/>
      <c r="F3" s="110"/>
      <c r="G3" s="110"/>
      <c r="H3" s="110"/>
      <c r="I3" s="110"/>
      <c r="J3" s="110"/>
      <c r="K3" s="159" t="n">
        <f aca="false">(H4-E4)/E4</f>
        <v>0.276407094893382</v>
      </c>
      <c r="M3" s="160"/>
      <c r="N3" s="161" t="n">
        <f aca="false">РозрахДопПружПрогин!K25</f>
        <v>0.97</v>
      </c>
      <c r="O3" s="160" t="str">
        <f aca="false">РозрахДопПружПрогин!L25</f>
        <v>&lt;</v>
      </c>
      <c r="P3" s="161" t="n">
        <f aca="false">РозрахДопПружПрогин!M25</f>
        <v>0.996735904184109</v>
      </c>
      <c r="Q3" s="158" t="str">
        <f aca="false">РозрахДопПружПрогин!N25</f>
        <v>виконується.</v>
      </c>
      <c r="R3" s="158"/>
    </row>
    <row r="4" customFormat="false" ht="18.75" hidden="false" customHeight="true" outlineLevel="0" collapsed="false">
      <c r="B4" s="162" t="str">
        <f aca="false">РозрахДопПружПрогин!B24</f>
        <v>Умова міцності:</v>
      </c>
      <c r="C4" s="163"/>
      <c r="D4" s="164" t="s">
        <v>136</v>
      </c>
      <c r="E4" s="165" t="n">
        <f aca="false">РозрахДопПружПрогин!C25</f>
        <v>1.5</v>
      </c>
      <c r="F4" s="166" t="str">
        <f aca="false">РозрахДопПружПрогин!D25</f>
        <v>&lt;</v>
      </c>
      <c r="G4" s="167" t="s">
        <v>137</v>
      </c>
      <c r="H4" s="168" t="n">
        <f aca="false">РозрахДопПружПрогин!E25</f>
        <v>1.91461064234007</v>
      </c>
      <c r="I4" s="134" t="str">
        <f aca="false">РозрахДопПружПрогин!F25</f>
        <v>виконується.</v>
      </c>
      <c r="J4" s="134"/>
      <c r="K4" s="169"/>
      <c r="M4" s="170" t="str">
        <f aca="false">РозрахДопПружПрогин!J26</f>
        <v>Відповідно, вибрана конструкція задовольняє умову надійності за допустимим пружним прогином.</v>
      </c>
      <c r="N4" s="170"/>
      <c r="O4" s="170"/>
      <c r="P4" s="170"/>
      <c r="Q4" s="170"/>
      <c r="R4" s="170"/>
    </row>
    <row r="5" customFormat="false" ht="32.25" hidden="false" customHeight="true" outlineLevel="0" collapsed="false">
      <c r="B5" s="171" t="str">
        <f aca="false">РозрахДопПружПрогин!B26</f>
        <v>Відповідно, вибрана конструкція задовольняє умову міцності за допустимим пружним прогином.</v>
      </c>
      <c r="C5" s="171"/>
      <c r="D5" s="171"/>
      <c r="E5" s="171"/>
      <c r="F5" s="171"/>
      <c r="G5" s="171"/>
      <c r="H5" s="171"/>
      <c r="I5" s="171"/>
      <c r="J5" s="171"/>
      <c r="K5" s="171"/>
      <c r="M5" s="170"/>
      <c r="N5" s="170"/>
      <c r="O5" s="170"/>
      <c r="P5" s="170"/>
      <c r="Q5" s="170"/>
      <c r="R5" s="170"/>
    </row>
    <row r="6" customFormat="false" ht="15.75" hidden="false" customHeight="false" outlineLevel="0" collapsed="false">
      <c r="B6" s="78"/>
      <c r="C6" s="78"/>
      <c r="D6" s="78"/>
      <c r="E6" s="78"/>
      <c r="F6" s="78"/>
      <c r="G6" s="78"/>
      <c r="H6" s="78"/>
      <c r="I6" s="78"/>
      <c r="J6" s="78"/>
      <c r="K6" s="78"/>
      <c r="M6" s="172"/>
      <c r="N6" s="172"/>
      <c r="O6" s="172"/>
      <c r="P6" s="172"/>
      <c r="Q6" s="172"/>
      <c r="R6" s="172"/>
    </row>
    <row r="7" customFormat="false" ht="15.75" hidden="false" customHeight="false" outlineLevel="0" collapsed="false">
      <c r="B7" s="173" t="s">
        <v>138</v>
      </c>
      <c r="C7" s="173"/>
      <c r="D7" s="173"/>
      <c r="E7" s="173"/>
      <c r="F7" s="173"/>
      <c r="G7" s="173"/>
      <c r="H7" s="173"/>
      <c r="I7" s="173"/>
      <c r="J7" s="173"/>
      <c r="K7" s="173"/>
      <c r="M7" s="174" t="str">
        <f aca="false">РозрахУмовЗсувЗемлПолот!J35</f>
        <v>Умова міцності:</v>
      </c>
      <c r="N7" s="174"/>
      <c r="O7" s="174"/>
      <c r="P7" s="174"/>
      <c r="Q7" s="174"/>
      <c r="R7" s="174"/>
    </row>
    <row r="8" customFormat="false" ht="15.75" hidden="false" customHeight="false" outlineLevel="0" collapsed="false">
      <c r="B8" s="102" t="s">
        <v>139</v>
      </c>
      <c r="C8" s="102"/>
      <c r="D8" s="102"/>
      <c r="E8" s="102"/>
      <c r="F8" s="102"/>
      <c r="G8" s="102"/>
      <c r="H8" s="102"/>
      <c r="I8" s="102"/>
      <c r="J8" s="102"/>
      <c r="K8" s="159" t="n">
        <f aca="false">(H9-E9)/E9</f>
        <v>0.0551469671238855</v>
      </c>
      <c r="M8" s="175"/>
      <c r="N8" s="176" t="n">
        <f aca="false">РозрахУмовЗсувЗемлПолот!K36</f>
        <v>0.97</v>
      </c>
      <c r="O8" s="176" t="str">
        <f aca="false">РозрахУмовЗсувЗемлПолот!L36</f>
        <v>&lt;</v>
      </c>
      <c r="P8" s="176" t="n">
        <f aca="false">РозрахУмовЗсувЗемлПолот!M36</f>
        <v>0.982135579437183</v>
      </c>
      <c r="Q8" s="177" t="str">
        <f aca="false">РозрахУмовЗсувЗемлПолот!N36</f>
        <v>виконується.</v>
      </c>
      <c r="R8" s="177"/>
    </row>
    <row r="9" customFormat="false" ht="15" hidden="false" customHeight="true" outlineLevel="0" collapsed="false">
      <c r="B9" s="178" t="s">
        <v>140</v>
      </c>
      <c r="C9" s="145"/>
      <c r="D9" s="179" t="s">
        <v>136</v>
      </c>
      <c r="E9" s="180" t="n">
        <f aca="false">РозрахУмовЗсувЗемлПолот!H3</f>
        <v>1.51</v>
      </c>
      <c r="F9" s="181" t="s">
        <v>141</v>
      </c>
      <c r="G9" s="167" t="s">
        <v>137</v>
      </c>
      <c r="H9" s="182" t="n">
        <f aca="false">РозрахУмовЗсувЗемлПолот!H14</f>
        <v>1.59327192035707</v>
      </c>
      <c r="I9" s="183" t="str">
        <f aca="false">РозрахУмовЗсувЗемлПолот!F16</f>
        <v>виконується.</v>
      </c>
      <c r="J9" s="183"/>
      <c r="K9" s="184"/>
      <c r="M9" s="185" t="str">
        <f aca="false">РозрахУмовЗсувЗемлПолот!J37</f>
        <v>Відповідно, вибрана конструкція задовольняє умову надійності за критерієм опору зсуву земляного полотна.</v>
      </c>
      <c r="N9" s="185"/>
      <c r="O9" s="185"/>
      <c r="P9" s="185"/>
      <c r="Q9" s="185"/>
      <c r="R9" s="185"/>
    </row>
    <row r="10" customFormat="false" ht="33" hidden="false" customHeight="true" outlineLevel="0" collapsed="false">
      <c r="B10" s="171" t="str">
        <f aca="false">РозрахУмовЗсувЗемлПолот!B17</f>
        <v>Відповідно, вибрана конструкція задовольняє умову міцності за критерієм опору зсуву земляного полотна.</v>
      </c>
      <c r="C10" s="171"/>
      <c r="D10" s="171"/>
      <c r="E10" s="171"/>
      <c r="F10" s="171"/>
      <c r="G10" s="171"/>
      <c r="H10" s="171"/>
      <c r="I10" s="171"/>
      <c r="J10" s="171"/>
      <c r="K10" s="171"/>
      <c r="M10" s="185"/>
      <c r="N10" s="185"/>
      <c r="O10" s="185"/>
      <c r="P10" s="185"/>
      <c r="Q10" s="185"/>
      <c r="R10" s="185"/>
    </row>
    <row r="11" customFormat="false" ht="16.5" hidden="false" customHeight="true" outlineLevel="0" collapsed="false">
      <c r="B11" s="186"/>
      <c r="C11" s="186"/>
      <c r="D11" s="186"/>
      <c r="E11" s="186"/>
      <c r="F11" s="186"/>
      <c r="G11" s="186"/>
      <c r="H11" s="186"/>
      <c r="I11" s="186"/>
      <c r="J11" s="186"/>
      <c r="K11" s="186"/>
      <c r="M11" s="147"/>
      <c r="N11" s="147"/>
      <c r="O11" s="187"/>
      <c r="P11" s="187"/>
      <c r="Q11" s="187"/>
      <c r="R11" s="187"/>
    </row>
    <row r="12" customFormat="false" ht="16.5" hidden="false" customHeight="true" outlineLevel="0" collapsed="false">
      <c r="B12" s="173" t="s">
        <v>142</v>
      </c>
      <c r="C12" s="173"/>
      <c r="D12" s="173"/>
      <c r="E12" s="173"/>
      <c r="F12" s="173"/>
      <c r="G12" s="173"/>
      <c r="H12" s="173"/>
      <c r="I12" s="173"/>
      <c r="J12" s="173"/>
      <c r="K12" s="173"/>
      <c r="M12" s="188" t="str">
        <f aca="false">РозрахУмовЗсувуНевязких!J35</f>
        <v>Умова міцності:</v>
      </c>
      <c r="N12" s="188"/>
      <c r="O12" s="188"/>
      <c r="P12" s="188"/>
      <c r="Q12" s="188"/>
      <c r="R12" s="188"/>
    </row>
    <row r="13" customFormat="false" ht="31.5" hidden="false" customHeight="true" outlineLevel="0" collapsed="false">
      <c r="B13" s="106" t="s">
        <v>143</v>
      </c>
      <c r="C13" s="106"/>
      <c r="D13" s="106"/>
      <c r="E13" s="106"/>
      <c r="F13" s="106"/>
      <c r="G13" s="106"/>
      <c r="H13" s="106"/>
      <c r="I13" s="106"/>
      <c r="J13" s="106"/>
      <c r="K13" s="159" t="n">
        <f aca="false">(H14-E14)/E14</f>
        <v>0.383492292021845</v>
      </c>
      <c r="M13" s="189"/>
      <c r="N13" s="190" t="n">
        <f aca="false">РозрахУмовЗсувуНевязких!K36</f>
        <v>0.97</v>
      </c>
      <c r="O13" s="190" t="str">
        <f aca="false">РозрахУмовЗсувуНевязких!L36</f>
        <v>&lt;</v>
      </c>
      <c r="P13" s="190" t="n">
        <f aca="false">РозрахУмовЗсувуНевязких!M36</f>
        <v>0.998893315042591</v>
      </c>
      <c r="Q13" s="191" t="str">
        <f aca="false">РозрахУмовЗсувуНевязких!N36</f>
        <v>виконується.</v>
      </c>
      <c r="R13" s="191"/>
    </row>
    <row r="14" customFormat="false" ht="16.5" hidden="false" customHeight="true" outlineLevel="0" collapsed="false">
      <c r="B14" s="178" t="s">
        <v>140</v>
      </c>
      <c r="C14" s="145"/>
      <c r="D14" s="179" t="s">
        <v>136</v>
      </c>
      <c r="E14" s="180" t="n">
        <f aca="false">РозрахУмовЗсувуНевязких!H3</f>
        <v>1.51</v>
      </c>
      <c r="F14" s="181" t="s">
        <v>141</v>
      </c>
      <c r="G14" s="167" t="s">
        <v>137</v>
      </c>
      <c r="H14" s="182" t="n">
        <f aca="false">РозрахУмовЗсувуНевязких!H14</f>
        <v>2.08907336095299</v>
      </c>
      <c r="I14" s="183" t="str">
        <f aca="false">РозрахУмовЗсувуНевязких!F16</f>
        <v>виконується.</v>
      </c>
      <c r="J14" s="183"/>
      <c r="K14" s="184"/>
      <c r="M14" s="192" t="str">
        <f aca="false">РозрахУмовЗсувуНевязких!J37</f>
        <v>Відповідно, вибрана конструкція задовольняє умову надійності за критерієм опору зсуву в нев’язких матеріалах земляного полотна.</v>
      </c>
      <c r="N14" s="192"/>
      <c r="O14" s="192"/>
      <c r="P14" s="192"/>
      <c r="Q14" s="192"/>
      <c r="R14" s="192"/>
    </row>
    <row r="15" customFormat="false" ht="16.5" hidden="false" customHeight="true" outlineLevel="0" collapsed="false">
      <c r="B15" s="171" t="str">
        <f aca="false">РозрахУмовЗсувуНевязких!B17</f>
        <v>Відповідно, вибрана конструкція задовольняє умову міцності за критерієм опору зсуву піску.</v>
      </c>
      <c r="C15" s="171"/>
      <c r="D15" s="171"/>
      <c r="E15" s="171"/>
      <c r="F15" s="171"/>
      <c r="G15" s="171"/>
      <c r="H15" s="171"/>
      <c r="I15" s="171"/>
      <c r="J15" s="171"/>
      <c r="K15" s="171"/>
      <c r="M15" s="192"/>
      <c r="N15" s="192"/>
      <c r="O15" s="192"/>
      <c r="P15" s="192"/>
      <c r="Q15" s="192"/>
      <c r="R15" s="192"/>
    </row>
    <row r="16" customFormat="false" ht="16.5" hidden="false" customHeight="true" outlineLevel="0" collapsed="false">
      <c r="B16" s="186"/>
      <c r="C16" s="186"/>
      <c r="D16" s="186"/>
      <c r="E16" s="186"/>
      <c r="F16" s="186"/>
      <c r="G16" s="186"/>
      <c r="H16" s="186"/>
      <c r="I16" s="186"/>
      <c r="J16" s="186"/>
      <c r="K16" s="186"/>
      <c r="M16" s="147"/>
      <c r="N16" s="147"/>
      <c r="O16" s="187"/>
      <c r="P16" s="187"/>
      <c r="Q16" s="187"/>
      <c r="R16" s="187"/>
    </row>
    <row r="17" customFormat="false" ht="15" hidden="false" customHeight="false" outlineLevel="0" collapsed="false">
      <c r="B17" s="173" t="s">
        <v>144</v>
      </c>
      <c r="C17" s="173"/>
      <c r="D17" s="173"/>
      <c r="E17" s="173"/>
      <c r="F17" s="173"/>
      <c r="G17" s="173"/>
      <c r="H17" s="173"/>
      <c r="I17" s="173"/>
      <c r="J17" s="173"/>
      <c r="K17" s="173"/>
      <c r="M17" s="188" t="str">
        <f aca="false">РозрахНаРозтПриЗгин!M21</f>
        <v>Умова міцності:</v>
      </c>
      <c r="N17" s="188"/>
      <c r="O17" s="188"/>
      <c r="P17" s="188"/>
      <c r="Q17" s="188"/>
      <c r="R17" s="188"/>
    </row>
    <row r="18" customFormat="false" ht="15" hidden="false" customHeight="false" outlineLevel="0" collapsed="false">
      <c r="B18" s="102" t="s">
        <v>145</v>
      </c>
      <c r="C18" s="102"/>
      <c r="D18" s="102"/>
      <c r="E18" s="102"/>
      <c r="F18" s="102"/>
      <c r="G18" s="102"/>
      <c r="H18" s="102"/>
      <c r="I18" s="102"/>
      <c r="J18" s="102"/>
      <c r="K18" s="159" t="n">
        <f aca="false">(H19-E19)/E19</f>
        <v>0.214295269833056</v>
      </c>
      <c r="M18" s="189"/>
      <c r="N18" s="190" t="n">
        <f aca="false">РозрахНаРозтПриЗгин!N22</f>
        <v>0.97</v>
      </c>
      <c r="O18" s="190" t="str">
        <f aca="false">РозрахНаРозтПриЗгин!O22</f>
        <v>&lt;</v>
      </c>
      <c r="P18" s="190" t="n">
        <f aca="false">РозрахНаРозтПриЗгин!P22</f>
        <v>0.99865010196837</v>
      </c>
      <c r="Q18" s="191" t="str">
        <f aca="false">РозрахНаРозтПриЗгин!Q22</f>
        <v>виконується.</v>
      </c>
      <c r="R18" s="191"/>
    </row>
    <row r="19" customFormat="false" ht="15" hidden="false" customHeight="true" outlineLevel="0" collapsed="false">
      <c r="B19" s="178" t="s">
        <v>140</v>
      </c>
      <c r="C19" s="145"/>
      <c r="D19" s="179" t="s">
        <v>136</v>
      </c>
      <c r="E19" s="193" t="n">
        <f aca="false">РозрахНаРозтПриЗгин!H2</f>
        <v>1.39</v>
      </c>
      <c r="F19" s="181" t="s">
        <v>141</v>
      </c>
      <c r="G19" s="167" t="s">
        <v>137</v>
      </c>
      <c r="H19" s="194" t="n">
        <f aca="false">РозрахНаРозтПриЗгин!H17</f>
        <v>1.68787042506795</v>
      </c>
      <c r="I19" s="181" t="str">
        <f aca="false">РозрахНаРозтПриЗгин!F20</f>
        <v>виконується.</v>
      </c>
      <c r="J19" s="181"/>
      <c r="K19" s="184"/>
      <c r="M19" s="192" t="str">
        <f aca="false">РозрахНаРозтПриЗгин!M23</f>
        <v>Відповідно, вибрана конструкція задовольняє вимоги надійності за критерієм опору шарів з монолітних матеріалів розтягу при згині.</v>
      </c>
      <c r="N19" s="192"/>
      <c r="O19" s="192"/>
      <c r="P19" s="192"/>
      <c r="Q19" s="192"/>
      <c r="R19" s="192"/>
    </row>
    <row r="20" customFormat="false" ht="30" hidden="false" customHeight="true" outlineLevel="0" collapsed="false">
      <c r="B20" s="171" t="str">
        <f aca="false">РозрахНаРозтПриЗгин!B21</f>
        <v>Відповідно, вибрана конструкція задовольняє умову міцності за критерієм опору шарів з монолітних матеріалів розтягу при згині.</v>
      </c>
      <c r="C20" s="171"/>
      <c r="D20" s="171"/>
      <c r="E20" s="171"/>
      <c r="F20" s="171"/>
      <c r="G20" s="171"/>
      <c r="H20" s="171"/>
      <c r="I20" s="171"/>
      <c r="J20" s="171"/>
      <c r="K20" s="171"/>
      <c r="M20" s="192"/>
      <c r="N20" s="192"/>
      <c r="O20" s="192"/>
      <c r="P20" s="192"/>
      <c r="Q20" s="192"/>
      <c r="R20" s="192"/>
    </row>
    <row r="52" customFormat="false" ht="15" hidden="false" customHeight="false" outlineLevel="0" collapsed="false">
      <c r="A52" s="195"/>
      <c r="B52" s="195"/>
      <c r="C52" s="195"/>
      <c r="D52" s="195"/>
      <c r="E52" s="195"/>
      <c r="F52" s="196"/>
      <c r="G52" s="196"/>
      <c r="H52" s="196"/>
      <c r="I52" s="196"/>
      <c r="J52" s="196"/>
    </row>
    <row r="53" customFormat="false" ht="15" hidden="false" customHeight="false" outlineLevel="0" collapsed="false">
      <c r="A53" s="195"/>
      <c r="B53" s="195"/>
      <c r="C53" s="195"/>
      <c r="D53" s="195"/>
      <c r="E53" s="195"/>
      <c r="F53" s="196"/>
      <c r="G53" s="196"/>
      <c r="H53" s="196"/>
      <c r="I53" s="196"/>
      <c r="J53" s="196"/>
    </row>
    <row r="54" customFormat="false" ht="15" hidden="false" customHeight="false" outlineLevel="0" collapsed="false">
      <c r="A54" s="195"/>
      <c r="B54" s="195"/>
      <c r="C54" s="195"/>
      <c r="D54" s="195"/>
      <c r="E54" s="195"/>
      <c r="F54" s="196"/>
      <c r="G54" s="196"/>
      <c r="H54" s="196"/>
      <c r="I54" s="196"/>
      <c r="J54" s="196"/>
    </row>
    <row r="55" customFormat="false" ht="15" hidden="false" customHeight="false" outlineLevel="0" collapsed="false">
      <c r="A55" s="195"/>
      <c r="B55" s="195"/>
      <c r="C55" s="195"/>
      <c r="D55" s="195"/>
      <c r="E55" s="195"/>
      <c r="F55" s="196"/>
      <c r="G55" s="196"/>
      <c r="H55" s="196"/>
      <c r="I55" s="196"/>
      <c r="J55" s="196"/>
    </row>
    <row r="56" customFormat="false" ht="15" hidden="false" customHeight="false" outlineLevel="0" collapsed="false">
      <c r="A56" s="195"/>
      <c r="B56" s="195"/>
      <c r="C56" s="195"/>
      <c r="D56" s="195"/>
      <c r="E56" s="195"/>
      <c r="F56" s="196"/>
      <c r="G56" s="196"/>
      <c r="H56" s="196"/>
      <c r="I56" s="196"/>
      <c r="J56" s="196"/>
    </row>
    <row r="57" customFormat="false" ht="15" hidden="false" customHeight="false" outlineLevel="0" collapsed="false">
      <c r="A57" s="195"/>
      <c r="B57" s="195"/>
      <c r="C57" s="195"/>
      <c r="D57" s="195"/>
      <c r="E57" s="195"/>
      <c r="F57" s="196"/>
      <c r="G57" s="196"/>
      <c r="H57" s="196"/>
      <c r="I57" s="196"/>
      <c r="J57" s="196"/>
    </row>
    <row r="58" customFormat="false" ht="15" hidden="false" customHeight="false" outlineLevel="0" collapsed="false">
      <c r="A58" s="195"/>
      <c r="B58" s="195"/>
      <c r="C58" s="195"/>
      <c r="D58" s="195"/>
      <c r="E58" s="195"/>
      <c r="F58" s="196"/>
      <c r="G58" s="196"/>
      <c r="H58" s="196"/>
      <c r="I58" s="196"/>
      <c r="J58" s="196"/>
    </row>
    <row r="59" customFormat="false" ht="15" hidden="false" customHeight="false" outlineLevel="0" collapsed="false">
      <c r="A59" s="195" t="s">
        <v>146</v>
      </c>
      <c r="B59" s="195"/>
      <c r="C59" s="195"/>
      <c r="D59" s="195"/>
      <c r="E59" s="195"/>
      <c r="F59" s="196"/>
      <c r="G59" s="196"/>
      <c r="H59" s="196"/>
      <c r="I59" s="196"/>
      <c r="J59" s="196"/>
    </row>
    <row r="61" customFormat="false" ht="15" hidden="false" customHeight="false" outlineLevel="0" collapsed="false">
      <c r="B61" s="0" t="s">
        <v>147</v>
      </c>
    </row>
    <row r="62" customFormat="false" ht="15" hidden="false" customHeight="false" outlineLevel="0" collapsed="false">
      <c r="A62" s="68" t="s">
        <v>148</v>
      </c>
      <c r="B62" s="68"/>
      <c r="C62" s="68"/>
      <c r="D62" s="68"/>
      <c r="E62" s="68"/>
      <c r="F62" s="197"/>
      <c r="G62" s="197"/>
      <c r="H62" s="197"/>
      <c r="I62" s="197"/>
      <c r="J62" s="197"/>
    </row>
    <row r="63" customFormat="false" ht="15" hidden="false" customHeight="false" outlineLevel="0" collapsed="false">
      <c r="A63" s="68" t="s">
        <v>149</v>
      </c>
      <c r="B63" s="68"/>
      <c r="C63" s="68"/>
      <c r="D63" s="68"/>
      <c r="E63" s="68"/>
      <c r="F63" s="197"/>
      <c r="G63" s="197"/>
      <c r="H63" s="197"/>
      <c r="I63" s="197"/>
      <c r="J63" s="197"/>
    </row>
    <row r="64" customFormat="false" ht="15" hidden="false" customHeight="false" outlineLevel="0" collapsed="false">
      <c r="A64" s="68" t="s">
        <v>150</v>
      </c>
      <c r="B64" s="68"/>
      <c r="C64" s="68"/>
      <c r="D64" s="68"/>
      <c r="E64" s="68"/>
      <c r="F64" s="197"/>
      <c r="G64" s="197"/>
      <c r="H64" s="197"/>
      <c r="I64" s="197"/>
      <c r="J64" s="197"/>
    </row>
    <row r="65" customFormat="false" ht="15" hidden="false" customHeight="false" outlineLevel="0" collapsed="false">
      <c r="A65" s="68" t="s">
        <v>151</v>
      </c>
      <c r="B65" s="68"/>
      <c r="C65" s="68"/>
      <c r="D65" s="68"/>
      <c r="E65" s="68"/>
      <c r="F65" s="197"/>
      <c r="G65" s="197"/>
      <c r="H65" s="197"/>
      <c r="I65" s="197"/>
      <c r="J65" s="197"/>
    </row>
    <row r="66" customFormat="false" ht="15" hidden="false" customHeight="false" outlineLevel="0" collapsed="false">
      <c r="A66" s="68" t="s">
        <v>152</v>
      </c>
      <c r="B66" s="68"/>
      <c r="C66" s="68"/>
      <c r="D66" s="68"/>
      <c r="E66" s="68"/>
      <c r="F66" s="68" t="n">
        <f aca="false">'Розрахункові параметриПеревірка'!H24</f>
        <v>57.5</v>
      </c>
      <c r="G66" s="68"/>
      <c r="H66" s="68"/>
      <c r="I66" s="68"/>
      <c r="J66" s="68"/>
    </row>
    <row r="67" customFormat="false" ht="15" hidden="false" customHeight="false" outlineLevel="0" collapsed="false">
      <c r="A67" s="68" t="s">
        <v>153</v>
      </c>
      <c r="B67" s="68"/>
      <c r="C67" s="68"/>
      <c r="D67" s="68"/>
      <c r="E67" s="68"/>
      <c r="F67" s="68" t="n">
        <f aca="false">'Розрахункові параметриПеревірка'!H25</f>
        <v>0.8</v>
      </c>
      <c r="G67" s="68"/>
      <c r="H67" s="68"/>
      <c r="I67" s="68"/>
      <c r="J67" s="68"/>
    </row>
    <row r="68" customFormat="false" ht="15" hidden="false" customHeight="false" outlineLevel="0" collapsed="false">
      <c r="A68" s="68" t="s">
        <v>154</v>
      </c>
      <c r="B68" s="68"/>
      <c r="C68" s="68"/>
      <c r="D68" s="68"/>
      <c r="E68" s="68"/>
      <c r="F68" s="68" t="n">
        <f aca="false">'Розрахункові параметриПеревірка'!H26</f>
        <v>0.303</v>
      </c>
      <c r="G68" s="68"/>
      <c r="H68" s="68"/>
      <c r="I68" s="68"/>
      <c r="J68" s="68"/>
    </row>
    <row r="69" customFormat="false" ht="15" hidden="false" customHeight="false" outlineLevel="0" collapsed="false">
      <c r="A69" s="198"/>
      <c r="B69" s="198"/>
      <c r="C69" s="198"/>
      <c r="D69" s="198"/>
      <c r="E69" s="198"/>
      <c r="F69" s="198"/>
      <c r="G69" s="198"/>
      <c r="H69" s="198"/>
      <c r="I69" s="198"/>
      <c r="J69" s="198"/>
    </row>
    <row r="70" customFormat="false" ht="15" hidden="false" customHeight="false" outlineLevel="0" collapsed="false">
      <c r="A70" s="199"/>
      <c r="B70" s="200" t="s">
        <v>155</v>
      </c>
      <c r="C70" s="200"/>
      <c r="D70" s="200"/>
      <c r="E70" s="200"/>
      <c r="F70" s="200"/>
      <c r="G70" s="200"/>
      <c r="H70" s="199"/>
      <c r="I70" s="199"/>
      <c r="J70" s="199"/>
    </row>
  </sheetData>
  <mergeCells count="44">
    <mergeCell ref="M2:R2"/>
    <mergeCell ref="B3:J3"/>
    <mergeCell ref="Q3:R3"/>
    <mergeCell ref="I4:J4"/>
    <mergeCell ref="M4:R5"/>
    <mergeCell ref="B5:K5"/>
    <mergeCell ref="B7:K7"/>
    <mergeCell ref="M7:R7"/>
    <mergeCell ref="B8:J8"/>
    <mergeCell ref="Q8:R8"/>
    <mergeCell ref="I9:J9"/>
    <mergeCell ref="M9:R10"/>
    <mergeCell ref="B10:K10"/>
    <mergeCell ref="B12:K12"/>
    <mergeCell ref="M12:R12"/>
    <mergeCell ref="B13:J13"/>
    <mergeCell ref="Q13:R13"/>
    <mergeCell ref="I14:J14"/>
    <mergeCell ref="M14:R15"/>
    <mergeCell ref="B15:K15"/>
    <mergeCell ref="B17:K17"/>
    <mergeCell ref="M17:R17"/>
    <mergeCell ref="B18:J18"/>
    <mergeCell ref="Q18:R18"/>
    <mergeCell ref="I19:J19"/>
    <mergeCell ref="M19:R20"/>
    <mergeCell ref="B20:K20"/>
    <mergeCell ref="A62:E62"/>
    <mergeCell ref="F62:J62"/>
    <mergeCell ref="A63:E63"/>
    <mergeCell ref="F63:J63"/>
    <mergeCell ref="A64:E64"/>
    <mergeCell ref="F64:J64"/>
    <mergeCell ref="A65:E65"/>
    <mergeCell ref="F65:J65"/>
    <mergeCell ref="A66:E66"/>
    <mergeCell ref="F66:J66"/>
    <mergeCell ref="A67:E67"/>
    <mergeCell ref="F67:J67"/>
    <mergeCell ref="A68:E68"/>
    <mergeCell ref="F68:J68"/>
    <mergeCell ref="A69:E69"/>
    <mergeCell ref="F69:J69"/>
    <mergeCell ref="B70:G70"/>
  </mergeCells>
  <conditionalFormatting sqref="K4">
    <cfRule type="expression" priority="2" aboveAverage="0" equalAverage="0" bottom="0" percent="0" rank="0" text="" dxfId="0">
      <formula>$H$4&lt;$E$4</formula>
    </cfRule>
    <cfRule type="expression" priority="3" aboveAverage="0" equalAverage="0" bottom="0" percent="0" rank="0" text="" dxfId="1">
      <formula>$H$4&gt;$E$4</formula>
    </cfRule>
    <cfRule type="colorScale" priority="4">
      <colorScale>
        <cfvo type="min" val="0"/>
        <cfvo type="percentile" val="50"/>
        <cfvo type="max" val="0"/>
        <color rgb="FFF8696B"/>
        <color rgb="FFFFEB84"/>
        <color rgb="FF63BE7B"/>
      </colorScale>
    </cfRule>
    <cfRule type="cellIs" priority="5" operator="greaterThan" aboveAverage="0" equalAverage="0" bottom="0" percent="0" rank="0" text="" dxfId="2">
      <formula>$H$4&gt;$E$4</formula>
    </cfRule>
  </conditionalFormatting>
  <conditionalFormatting sqref="K9">
    <cfRule type="expression" priority="6" aboveAverage="0" equalAverage="0" bottom="0" percent="0" rank="0" text="" dxfId="3">
      <formula>$H$9&lt;$E$9</formula>
    </cfRule>
    <cfRule type="expression" priority="7" aboveAverage="0" equalAverage="0" bottom="0" percent="0" rank="0" text="" dxfId="4">
      <formula>$H$9&gt;$E$9</formula>
    </cfRule>
    <cfRule type="colorScale" priority="8">
      <colorScale>
        <cfvo type="min" val="0"/>
        <cfvo type="percentile" val="50"/>
        <cfvo type="max" val="0"/>
        <color rgb="FFF8696B"/>
        <color rgb="FFFFEB84"/>
        <color rgb="FF63BE7B"/>
      </colorScale>
    </cfRule>
    <cfRule type="cellIs" priority="9" operator="greaterThan" aboveAverage="0" equalAverage="0" bottom="0" percent="0" rank="0" text="" dxfId="5">
      <formula>$H$4&gt;$E$4</formula>
    </cfRule>
  </conditionalFormatting>
  <conditionalFormatting sqref="K19">
    <cfRule type="expression" priority="10" aboveAverage="0" equalAverage="0" bottom="0" percent="0" rank="0" text="" dxfId="6">
      <formula>$H$19&lt;$E$19</formula>
    </cfRule>
    <cfRule type="expression" priority="11" aboveAverage="0" equalAverage="0" bottom="0" percent="0" rank="0" text="" dxfId="7">
      <formula>$H$19&gt;$E$19</formula>
    </cfRule>
    <cfRule type="colorScale" priority="12">
      <colorScale>
        <cfvo type="min" val="0"/>
        <cfvo type="percentile" val="50"/>
        <cfvo type="max" val="0"/>
        <color rgb="FFF8696B"/>
        <color rgb="FFFFEB84"/>
        <color rgb="FF63BE7B"/>
      </colorScale>
    </cfRule>
    <cfRule type="cellIs" priority="13" operator="greaterThan" aboveAverage="0" equalAverage="0" bottom="0" percent="0" rank="0" text="" dxfId="8">
      <formula>$H$4&gt;$E$4</formula>
    </cfRule>
  </conditionalFormatting>
  <conditionalFormatting sqref="K14">
    <cfRule type="expression" priority="14" aboveAverage="0" equalAverage="0" bottom="0" percent="0" rank="0" text="" dxfId="9">
      <formula>$E$14&gt;$H$14</formula>
    </cfRule>
    <cfRule type="expression" priority="15" aboveAverage="0" equalAverage="0" bottom="0" percent="0" rank="0" text="" dxfId="10">
      <formula>$H$14&gt;$E$14</formula>
    </cfRule>
    <cfRule type="colorScale" priority="16">
      <colorScale>
        <cfvo type="min" val="0"/>
        <cfvo type="percentile" val="50"/>
        <cfvo type="max" val="0"/>
        <color rgb="FFF8696B"/>
        <color rgb="FFFFEB84"/>
        <color rgb="FF63BE7B"/>
      </colorScale>
    </cfRule>
    <cfRule type="cellIs" priority="17" operator="greaterThan" aboveAverage="0" equalAverage="0" bottom="0" percent="0" rank="0" text="" dxfId="11">
      <formula>$H$4&gt;$E$4</formula>
    </cfRule>
  </conditionalFormatting>
  <conditionalFormatting sqref="M3">
    <cfRule type="expression" priority="18" aboveAverage="0" equalAverage="0" bottom="0" percent="0" rank="0" text="" dxfId="12">
      <formula>$N$3&gt;$P$3</formula>
    </cfRule>
    <cfRule type="expression" priority="19" aboveAverage="0" equalAverage="0" bottom="0" percent="0" rank="0" text="" dxfId="13">
      <formula>$P$3&gt;$N$3</formula>
    </cfRule>
  </conditionalFormatting>
  <conditionalFormatting sqref="M18">
    <cfRule type="expression" priority="20" aboveAverage="0" equalAverage="0" bottom="0" percent="0" rank="0" text="" dxfId="14">
      <formula>$P$18&lt;$N$18</formula>
    </cfRule>
    <cfRule type="expression" priority="21" aboveAverage="0" equalAverage="0" bottom="0" percent="0" rank="0" text="" dxfId="15">
      <formula>$N$18&lt;$P$18</formula>
    </cfRule>
  </conditionalFormatting>
  <conditionalFormatting sqref="M8">
    <cfRule type="expression" priority="22" aboveAverage="0" equalAverage="0" bottom="0" percent="0" rank="0" text="" dxfId="16">
      <formula>$P$8&lt;$N$8</formula>
    </cfRule>
    <cfRule type="expression" priority="23" aboveAverage="0" equalAverage="0" bottom="0" percent="0" rank="0" text="" dxfId="17">
      <formula>$N$8&lt;$P$8</formula>
    </cfRule>
  </conditionalFormatting>
  <conditionalFormatting sqref="M13">
    <cfRule type="expression" priority="24" aboveAverage="0" equalAverage="0" bottom="0" percent="0" rank="0" text="" dxfId="18">
      <formula>$P$13&lt;$N$13</formula>
    </cfRule>
    <cfRule type="expression" priority="25" aboveAverage="0" equalAverage="0" bottom="0" percent="0" rank="0" text="" dxfId="19">
      <formula>$N$13&lt;$P$13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B2:C7"/>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U25" activeCellId="0" sqref="U25"/>
    </sheetView>
  </sheetViews>
  <sheetFormatPr defaultRowHeight="15"/>
  <cols>
    <col collapsed="false" hidden="false" max="1025" min="1" style="0" width="7.63917525773196"/>
  </cols>
  <sheetData>
    <row r="2" customFormat="false" ht="20.25" hidden="false" customHeight="false" outlineLevel="0" collapsed="false">
      <c r="B2" s="1107" t="s">
        <v>1334</v>
      </c>
      <c r="C2" s="1108" t="s">
        <v>1335</v>
      </c>
    </row>
    <row r="3" customFormat="false" ht="18" hidden="false" customHeight="false" outlineLevel="0" collapsed="false">
      <c r="B3" s="1109" t="n">
        <v>0.75</v>
      </c>
      <c r="C3" s="979" t="n">
        <v>0.86</v>
      </c>
    </row>
    <row r="4" customFormat="false" ht="18" hidden="false" customHeight="false" outlineLevel="0" collapsed="false">
      <c r="B4" s="1109" t="n">
        <v>0.85</v>
      </c>
      <c r="C4" s="979" t="n">
        <v>1.06</v>
      </c>
    </row>
    <row r="5" customFormat="false" ht="18" hidden="false" customHeight="false" outlineLevel="0" collapsed="false">
      <c r="B5" s="1109" t="n">
        <v>0.9</v>
      </c>
      <c r="C5" s="979" t="n">
        <v>1.32</v>
      </c>
    </row>
    <row r="6" customFormat="false" ht="18" hidden="false" customHeight="false" outlineLevel="0" collapsed="false">
      <c r="B6" s="1109" t="n">
        <v>0.95</v>
      </c>
      <c r="C6" s="979" t="n">
        <v>1.71</v>
      </c>
    </row>
    <row r="7" customFormat="false" ht="18" hidden="false" customHeight="false" outlineLevel="0" collapsed="false">
      <c r="B7" s="974" t="n">
        <v>0.97</v>
      </c>
      <c r="C7" s="1110" t="n">
        <v>1.97</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1.xml><?xml version="1.0" encoding="utf-8"?>
<worksheet xmlns="http://schemas.openxmlformats.org/spreadsheetml/2006/main" xmlns:r="http://schemas.openxmlformats.org/officeDocument/2006/relationships">
  <sheetPr filterMode="false">
    <pageSetUpPr fitToPage="false"/>
  </sheetPr>
  <dimension ref="B2:G14"/>
  <sheetViews>
    <sheetView windowProtection="false" showFormulas="false" showGridLines="true" showRowColHeaders="true" showZeros="true" rightToLeft="false" tabSelected="false" showOutlineSymbols="true" defaultGridColor="true" view="normal" topLeftCell="AW1" colorId="64" zoomScale="65" zoomScaleNormal="65" zoomScalePageLayoutView="100" workbookViewId="0">
      <selection pane="topLeft" activeCell="X18" activeCellId="0" sqref="X18"/>
    </sheetView>
  </sheetViews>
  <sheetFormatPr defaultRowHeight="15"/>
  <cols>
    <col collapsed="false" hidden="false" max="1025" min="1" style="0" width="7.63917525773196"/>
  </cols>
  <sheetData>
    <row r="2" customFormat="false" ht="20.25" hidden="false" customHeight="false" outlineLevel="0" collapsed="false">
      <c r="B2" s="1111" t="s">
        <v>1336</v>
      </c>
      <c r="C2" s="1111"/>
      <c r="D2" s="1111"/>
      <c r="E2" s="1111"/>
      <c r="F2" s="1111"/>
      <c r="G2" s="1111"/>
    </row>
    <row r="3" customFormat="false" ht="15" hidden="false" customHeight="false" outlineLevel="0" collapsed="false">
      <c r="C3" s="1112"/>
    </row>
    <row r="4" customFormat="false" ht="50.25" hidden="false" customHeight="true" outlineLevel="0" collapsed="false">
      <c r="C4" s="1113" t="s">
        <v>1337</v>
      </c>
      <c r="D4" s="1113"/>
      <c r="E4" s="1113"/>
      <c r="F4" s="1113"/>
      <c r="G4" s="1113"/>
    </row>
    <row r="5" customFormat="false" ht="72" hidden="false" customHeight="false" outlineLevel="0" collapsed="false">
      <c r="C5" s="1114" t="s">
        <v>18</v>
      </c>
      <c r="D5" s="980" t="s">
        <v>1338</v>
      </c>
      <c r="E5" s="980" t="s">
        <v>1339</v>
      </c>
      <c r="F5" s="980" t="s">
        <v>1340</v>
      </c>
      <c r="G5" s="979" t="s">
        <v>1341</v>
      </c>
    </row>
    <row r="6" customFormat="false" ht="18" hidden="false" customHeight="false" outlineLevel="0" collapsed="false">
      <c r="B6" s="1115" t="n">
        <v>1</v>
      </c>
      <c r="C6" s="980" t="n">
        <v>1</v>
      </c>
      <c r="D6" s="980" t="n">
        <v>1</v>
      </c>
      <c r="E6" s="980" t="s">
        <v>731</v>
      </c>
      <c r="F6" s="980" t="s">
        <v>731</v>
      </c>
      <c r="G6" s="979" t="s">
        <v>731</v>
      </c>
    </row>
    <row r="7" customFormat="false" ht="18" hidden="false" customHeight="false" outlineLevel="0" collapsed="false">
      <c r="B7" s="1116" t="n">
        <v>2</v>
      </c>
      <c r="C7" s="980" t="n">
        <v>2</v>
      </c>
      <c r="D7" s="980" t="n">
        <v>0.55</v>
      </c>
      <c r="E7" s="980" t="s">
        <v>731</v>
      </c>
      <c r="F7" s="980" t="s">
        <v>731</v>
      </c>
      <c r="G7" s="979" t="s">
        <v>731</v>
      </c>
    </row>
    <row r="8" customFormat="false" ht="18" hidden="false" customHeight="false" outlineLevel="0" collapsed="false">
      <c r="B8" s="1117" t="n">
        <v>3</v>
      </c>
      <c r="C8" s="980" t="n">
        <v>3</v>
      </c>
      <c r="D8" s="980" t="n">
        <v>0.5</v>
      </c>
      <c r="E8" s="980" t="n">
        <v>0.35</v>
      </c>
      <c r="F8" s="980" t="s">
        <v>731</v>
      </c>
      <c r="G8" s="979" t="s">
        <v>731</v>
      </c>
    </row>
    <row r="9" customFormat="false" ht="18" hidden="false" customHeight="false" outlineLevel="0" collapsed="false">
      <c r="B9" s="1116" t="n">
        <v>4</v>
      </c>
      <c r="C9" s="980" t="n">
        <v>4</v>
      </c>
      <c r="D9" s="980" t="n">
        <v>0.35</v>
      </c>
      <c r="E9" s="980" t="n">
        <v>0.2</v>
      </c>
      <c r="F9" s="980" t="s">
        <v>731</v>
      </c>
      <c r="G9" s="979" t="s">
        <v>731</v>
      </c>
    </row>
    <row r="10" customFormat="false" ht="18" hidden="false" customHeight="false" outlineLevel="0" collapsed="false">
      <c r="B10" s="1117" t="n">
        <v>6</v>
      </c>
      <c r="C10" s="980" t="n">
        <v>6</v>
      </c>
      <c r="D10" s="980" t="n">
        <v>0.35</v>
      </c>
      <c r="E10" s="980" t="n">
        <v>0.2</v>
      </c>
      <c r="F10" s="980" t="n">
        <v>0.05</v>
      </c>
      <c r="G10" s="979" t="s">
        <v>731</v>
      </c>
    </row>
    <row r="11" customFormat="false" ht="18" hidden="false" customHeight="false" outlineLevel="0" collapsed="false">
      <c r="B11" s="1116" t="n">
        <v>8</v>
      </c>
      <c r="C11" s="977" t="n">
        <v>8</v>
      </c>
      <c r="D11" s="977" t="n">
        <v>0.3</v>
      </c>
      <c r="E11" s="977" t="n">
        <v>0.2</v>
      </c>
      <c r="F11" s="977" t="n">
        <v>0.05</v>
      </c>
      <c r="G11" s="1110" t="n">
        <v>0.01</v>
      </c>
    </row>
    <row r="12" customFormat="false" ht="15.75" hidden="false" customHeight="true" outlineLevel="0" collapsed="false">
      <c r="C12" s="1065" t="s">
        <v>1342</v>
      </c>
      <c r="D12" s="1065"/>
      <c r="E12" s="1065"/>
      <c r="F12" s="1065"/>
      <c r="G12" s="1065"/>
    </row>
    <row r="13" customFormat="false" ht="15.75" hidden="false" customHeight="true" outlineLevel="0" collapsed="false">
      <c r="C13" s="1065" t="s">
        <v>1343</v>
      </c>
      <c r="D13" s="1065"/>
      <c r="E13" s="1065"/>
      <c r="F13" s="1065"/>
      <c r="G13" s="1065"/>
    </row>
    <row r="14" customFormat="false" ht="16.5" hidden="false" customHeight="true" outlineLevel="0" collapsed="false">
      <c r="C14" s="1043" t="s">
        <v>1344</v>
      </c>
      <c r="D14" s="1043"/>
      <c r="E14" s="1043"/>
      <c r="F14" s="1043"/>
      <c r="G14" s="1043"/>
    </row>
  </sheetData>
  <sheetProtection sheet="true" objects="true" scenarios="true"/>
  <mergeCells count="5">
    <mergeCell ref="B2:G2"/>
    <mergeCell ref="C4:G4"/>
    <mergeCell ref="C12:G12"/>
    <mergeCell ref="C13:G13"/>
    <mergeCell ref="C14:G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2.xml><?xml version="1.0" encoding="utf-8"?>
<worksheet xmlns="http://schemas.openxmlformats.org/spreadsheetml/2006/main" xmlns:r="http://schemas.openxmlformats.org/officeDocument/2006/relationships">
  <sheetPr filterMode="false">
    <pageSetUpPr fitToPage="false"/>
  </sheetPr>
  <dimension ref="B2:C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H34" activeCellId="0" sqref="H34"/>
    </sheetView>
  </sheetViews>
  <sheetFormatPr defaultRowHeight="15"/>
  <cols>
    <col collapsed="false" hidden="false" max="1" min="1" style="0" width="7.63917525773196"/>
    <col collapsed="false" hidden="false" max="2" min="2" style="0" width="36.8247422680412"/>
    <col collapsed="false" hidden="false" max="3" min="3" style="0" width="54.6907216494845"/>
    <col collapsed="false" hidden="false" max="1025" min="4" style="0" width="7.63917525773196"/>
  </cols>
  <sheetData>
    <row r="2" customFormat="false" ht="18.75" hidden="false" customHeight="true" outlineLevel="0" collapsed="false">
      <c r="B2" s="1118" t="s">
        <v>1345</v>
      </c>
      <c r="C2" s="1118"/>
    </row>
    <row r="3" customFormat="false" ht="53.25" hidden="false" customHeight="true" outlineLevel="0" collapsed="false">
      <c r="B3" s="1119" t="s">
        <v>161</v>
      </c>
      <c r="C3" s="1113" t="s">
        <v>1346</v>
      </c>
    </row>
    <row r="4" customFormat="false" ht="18" hidden="false" customHeight="false" outlineLevel="0" collapsed="false">
      <c r="B4" s="1113" t="s">
        <v>113</v>
      </c>
      <c r="C4" s="1109" t="n">
        <v>145</v>
      </c>
    </row>
    <row r="5" customFormat="false" ht="18" hidden="false" customHeight="false" outlineLevel="0" collapsed="false">
      <c r="B5" s="1113" t="s">
        <v>5</v>
      </c>
      <c r="C5" s="980" t="n">
        <v>135</v>
      </c>
    </row>
    <row r="6" customFormat="false" ht="18" hidden="false" customHeight="false" outlineLevel="0" collapsed="false">
      <c r="B6" s="1113" t="s">
        <v>115</v>
      </c>
      <c r="C6" s="980" t="n">
        <v>130</v>
      </c>
    </row>
    <row r="7" customFormat="false" ht="18" hidden="false" customHeight="false" outlineLevel="0" collapsed="false">
      <c r="B7" s="1113" t="s">
        <v>1347</v>
      </c>
      <c r="C7" s="980" t="n">
        <v>140</v>
      </c>
    </row>
    <row r="8" customFormat="false" ht="18" hidden="false" customHeight="false" outlineLevel="0" collapsed="false">
      <c r="B8" s="1113" t="s">
        <v>1348</v>
      </c>
      <c r="C8" s="980" t="n">
        <v>120</v>
      </c>
    </row>
  </sheetData>
  <sheetProtection sheet="true" objects="true" scenarios="true"/>
  <mergeCells count="1">
    <mergeCell ref="B2:C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3.xml><?xml version="1.0" encoding="utf-8"?>
<worksheet xmlns="http://schemas.openxmlformats.org/spreadsheetml/2006/main" xmlns:r="http://schemas.openxmlformats.org/officeDocument/2006/relationships">
  <sheetPr filterMode="false">
    <tabColor rgb="FF00B050"/>
    <pageSetUpPr fitToPage="false"/>
  </sheetPr>
  <dimension ref="C2:D7"/>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45" activeCellId="0" sqref="D45"/>
    </sheetView>
  </sheetViews>
  <sheetFormatPr defaultRowHeight="15"/>
  <cols>
    <col collapsed="false" hidden="false" max="2" min="1" style="0" width="7.63917525773196"/>
    <col collapsed="false" hidden="false" max="3" min="3" style="0" width="36.8247422680412"/>
    <col collapsed="false" hidden="false" max="4" min="4" style="0" width="40.6443298969072"/>
    <col collapsed="false" hidden="false" max="1025" min="5" style="0" width="7.63917525773196"/>
  </cols>
  <sheetData>
    <row r="2" customFormat="false" ht="42.75" hidden="false" customHeight="true" outlineLevel="0" collapsed="false">
      <c r="C2" s="1120" t="s">
        <v>161</v>
      </c>
      <c r="D2" s="1121" t="s">
        <v>1349</v>
      </c>
    </row>
    <row r="3" customFormat="false" ht="18" hidden="false" customHeight="false" outlineLevel="0" collapsed="false">
      <c r="C3" s="1113" t="s">
        <v>113</v>
      </c>
      <c r="D3" s="979" t="n">
        <v>20</v>
      </c>
    </row>
    <row r="4" customFormat="false" ht="18" hidden="false" customHeight="false" outlineLevel="0" collapsed="false">
      <c r="C4" s="1113" t="s">
        <v>5</v>
      </c>
      <c r="D4" s="979" t="n">
        <v>25</v>
      </c>
    </row>
    <row r="5" customFormat="false" ht="18" hidden="false" customHeight="false" outlineLevel="0" collapsed="false">
      <c r="C5" s="1113" t="s">
        <v>115</v>
      </c>
      <c r="D5" s="979" t="n">
        <v>30</v>
      </c>
    </row>
    <row r="6" customFormat="false" ht="18" hidden="false" customHeight="false" outlineLevel="0" collapsed="false">
      <c r="C6" s="1113" t="s">
        <v>1347</v>
      </c>
      <c r="D6" s="1110" t="n">
        <v>35</v>
      </c>
    </row>
    <row r="7" customFormat="false" ht="18" hidden="false" customHeight="false" outlineLevel="0" collapsed="false">
      <c r="C7" s="1113" t="s">
        <v>1348</v>
      </c>
      <c r="D7" s="979" t="n">
        <v>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4.xml><?xml version="1.0" encoding="utf-8"?>
<worksheet xmlns="http://schemas.openxmlformats.org/spreadsheetml/2006/main" xmlns:r="http://schemas.openxmlformats.org/officeDocument/2006/relationships">
  <sheetPr filterMode="false">
    <pageSetUpPr fitToPage="false"/>
  </sheetPr>
  <dimension ref="B2:K12"/>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M12" activeCellId="0" sqref="M12"/>
    </sheetView>
  </sheetViews>
  <sheetFormatPr defaultRowHeight="15"/>
  <cols>
    <col collapsed="false" hidden="false" max="1" min="1" style="0" width="7.63917525773196"/>
    <col collapsed="false" hidden="false" max="2" min="2" style="0" width="13.3659793814433"/>
    <col collapsed="false" hidden="false" max="5" min="3" style="0" width="15.5463917525773"/>
    <col collapsed="false" hidden="false" max="6" min="6" style="0" width="16.7731958762887"/>
    <col collapsed="false" hidden="false" max="1025" min="7" style="0" width="7.63917525773196"/>
  </cols>
  <sheetData>
    <row r="2" customFormat="false" ht="18" hidden="false" customHeight="false" outlineLevel="0" collapsed="false">
      <c r="B2" s="1122" t="s">
        <v>1350</v>
      </c>
      <c r="C2" s="1122"/>
      <c r="D2" s="1122"/>
      <c r="E2" s="1122"/>
      <c r="F2" s="1122"/>
      <c r="G2" s="1122"/>
      <c r="H2" s="1122"/>
      <c r="I2" s="1122"/>
      <c r="J2" s="1122"/>
      <c r="K2" s="1122"/>
    </row>
    <row r="3" customFormat="false" ht="15" hidden="false" customHeight="false" outlineLevel="0" collapsed="false">
      <c r="B3" s="1112"/>
    </row>
    <row r="4" customFormat="false" ht="66.7" hidden="false" customHeight="true" outlineLevel="0" collapsed="false">
      <c r="B4" s="1113" t="s">
        <v>6</v>
      </c>
      <c r="C4" s="1113" t="s">
        <v>1351</v>
      </c>
      <c r="D4" s="1113"/>
      <c r="E4" s="1113"/>
      <c r="F4" s="1123" t="s">
        <v>1352</v>
      </c>
      <c r="G4" s="413"/>
    </row>
    <row r="5" customFormat="false" ht="72" hidden="false" customHeight="false" outlineLevel="0" collapsed="false">
      <c r="B5" s="1113"/>
      <c r="C5" s="980" t="s">
        <v>1353</v>
      </c>
      <c r="D5" s="980" t="s">
        <v>1354</v>
      </c>
      <c r="E5" s="980" t="s">
        <v>1355</v>
      </c>
      <c r="F5" s="1123"/>
      <c r="G5" s="881"/>
    </row>
    <row r="6" customFormat="false" ht="18" hidden="false" customHeight="false" outlineLevel="0" collapsed="false">
      <c r="B6" s="1116" t="s">
        <v>1048</v>
      </c>
      <c r="C6" s="980" t="s">
        <v>1049</v>
      </c>
      <c r="D6" s="980" t="s">
        <v>1050</v>
      </c>
      <c r="E6" s="980" t="s">
        <v>1051</v>
      </c>
      <c r="F6" s="976" t="s">
        <v>1052</v>
      </c>
      <c r="G6" s="977" t="s">
        <v>1356</v>
      </c>
    </row>
    <row r="7" customFormat="false" ht="18.75" hidden="false" customHeight="false" outlineLevel="0" collapsed="false">
      <c r="B7" s="1124" t="s">
        <v>7</v>
      </c>
      <c r="C7" s="977" t="n">
        <v>260</v>
      </c>
      <c r="D7" s="977" t="s">
        <v>731</v>
      </c>
      <c r="E7" s="977" t="s">
        <v>731</v>
      </c>
      <c r="F7" s="976" t="n">
        <v>150</v>
      </c>
      <c r="G7" s="977" t="n">
        <v>1.51</v>
      </c>
    </row>
    <row r="8" customFormat="false" ht="18.75" hidden="false" customHeight="false" outlineLevel="0" collapsed="false">
      <c r="B8" s="1124" t="s">
        <v>953</v>
      </c>
      <c r="C8" s="1109" t="n">
        <v>250</v>
      </c>
      <c r="D8" s="1109" t="s">
        <v>731</v>
      </c>
      <c r="E8" s="1109" t="s">
        <v>731</v>
      </c>
      <c r="F8" s="1125" t="n">
        <v>150</v>
      </c>
      <c r="G8" s="1109" t="n">
        <v>1.57</v>
      </c>
    </row>
    <row r="9" customFormat="false" ht="18.75" hidden="false" customHeight="false" outlineLevel="0" collapsed="false">
      <c r="B9" s="1124" t="s">
        <v>51</v>
      </c>
      <c r="C9" s="977" t="n">
        <v>235</v>
      </c>
      <c r="D9" s="977" t="s">
        <v>811</v>
      </c>
      <c r="E9" s="977" t="s">
        <v>731</v>
      </c>
      <c r="F9" s="976" t="n">
        <v>120</v>
      </c>
      <c r="G9" s="977" t="n">
        <v>1.57</v>
      </c>
    </row>
    <row r="10" customFormat="false" ht="18.75" hidden="false" customHeight="false" outlineLevel="0" collapsed="false">
      <c r="B10" s="1124" t="s">
        <v>52</v>
      </c>
      <c r="C10" s="1109" t="n">
        <v>225</v>
      </c>
      <c r="D10" s="1109" t="n">
        <v>190</v>
      </c>
      <c r="E10" s="1109" t="s">
        <v>731</v>
      </c>
      <c r="F10" s="1125" t="n">
        <v>120</v>
      </c>
      <c r="G10" s="1109" t="n">
        <v>1.57</v>
      </c>
    </row>
    <row r="11" customFormat="false" ht="18.75" hidden="false" customHeight="false" outlineLevel="0" collapsed="false">
      <c r="B11" s="1124" t="s">
        <v>53</v>
      </c>
      <c r="C11" s="977" t="n">
        <v>190</v>
      </c>
      <c r="D11" s="977" t="n">
        <v>150</v>
      </c>
      <c r="E11" s="977" t="s">
        <v>811</v>
      </c>
      <c r="F11" s="1126" t="n">
        <v>80</v>
      </c>
      <c r="G11" s="977" t="n">
        <v>1.57</v>
      </c>
    </row>
    <row r="12" customFormat="false" ht="18.75" hidden="false" customHeight="false" outlineLevel="0" collapsed="false">
      <c r="B12" s="1124" t="s">
        <v>54</v>
      </c>
      <c r="C12" s="1109" t="s">
        <v>811</v>
      </c>
      <c r="D12" s="1109" t="n">
        <v>100</v>
      </c>
      <c r="E12" s="1109" t="n">
        <v>50</v>
      </c>
      <c r="F12" s="1125" t="s">
        <v>811</v>
      </c>
      <c r="G12" s="1109" t="n">
        <v>1.98</v>
      </c>
    </row>
  </sheetData>
  <mergeCells count="4">
    <mergeCell ref="B2:K2"/>
    <mergeCell ref="B4:B5"/>
    <mergeCell ref="C4:E4"/>
    <mergeCell ref="F4:F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5.xml><?xml version="1.0" encoding="utf-8"?>
<worksheet xmlns="http://schemas.openxmlformats.org/spreadsheetml/2006/main" xmlns:r="http://schemas.openxmlformats.org/officeDocument/2006/relationships">
  <sheetPr filterMode="false">
    <pageSetUpPr fitToPage="false"/>
  </sheetPr>
  <dimension ref="B2:E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7.3659793814433"/>
    <col collapsed="false" hidden="false" max="3" min="3" style="0" width="46.7783505154639"/>
    <col collapsed="false" hidden="false" max="4" min="4" style="0" width="7.3659793814433"/>
    <col collapsed="false" hidden="false" max="5" min="5" style="0" width="6.68041237113402"/>
    <col collapsed="false" hidden="false" max="1025" min="6" style="0" width="7.63917525773196"/>
  </cols>
  <sheetData>
    <row r="2" customFormat="false" ht="20.25" hidden="false" customHeight="false" outlineLevel="0" collapsed="false">
      <c r="B2" s="980" t="s">
        <v>1159</v>
      </c>
      <c r="C2" s="980" t="s">
        <v>1357</v>
      </c>
      <c r="D2" s="1127" t="s">
        <v>1358</v>
      </c>
      <c r="E2" s="1128" t="s">
        <v>1359</v>
      </c>
    </row>
    <row r="3" customFormat="false" ht="18" hidden="false" customHeight="false" outlineLevel="0" collapsed="false">
      <c r="B3" s="1129" t="n">
        <v>1</v>
      </c>
      <c r="C3" s="1129" t="s">
        <v>1360</v>
      </c>
      <c r="D3" s="1109" t="n">
        <v>1</v>
      </c>
      <c r="E3" s="1130" t="n">
        <v>0.9</v>
      </c>
    </row>
    <row r="4" customFormat="false" ht="18" hidden="false" customHeight="false" outlineLevel="0" collapsed="false">
      <c r="B4" s="977" t="n">
        <v>2</v>
      </c>
      <c r="C4" s="1131" t="s">
        <v>1361</v>
      </c>
      <c r="D4" s="977" t="n">
        <v>0.95</v>
      </c>
      <c r="E4" s="1110" t="n">
        <v>0.85</v>
      </c>
    </row>
    <row r="5" customFormat="false" ht="18" hidden="false" customHeight="false" outlineLevel="0" collapsed="false">
      <c r="B5" s="980" t="n">
        <v>2</v>
      </c>
      <c r="C5" s="1132" t="s">
        <v>1362</v>
      </c>
      <c r="D5" s="980" t="n">
        <v>0.9</v>
      </c>
      <c r="E5" s="979" t="n">
        <v>0.8</v>
      </c>
    </row>
    <row r="6" customFormat="false" ht="36" hidden="false" customHeight="false" outlineLevel="0" collapsed="false">
      <c r="B6" s="1132" t="n">
        <v>3</v>
      </c>
      <c r="C6" s="1132" t="s">
        <v>1363</v>
      </c>
      <c r="D6" s="980" t="n">
        <v>0.85</v>
      </c>
      <c r="E6" s="979" t="n">
        <v>0.85</v>
      </c>
    </row>
    <row r="7" customFormat="false" ht="18" hidden="false" customHeight="false" outlineLevel="0" collapsed="false">
      <c r="B7" s="1132" t="n">
        <v>4</v>
      </c>
      <c r="C7" s="1132" t="s">
        <v>1364</v>
      </c>
      <c r="D7" s="980" t="n">
        <v>0.75</v>
      </c>
      <c r="E7" s="979" t="n">
        <v>0.8</v>
      </c>
    </row>
    <row r="8" customFormat="false" ht="18" hidden="false" customHeight="false" outlineLevel="0" collapsed="false">
      <c r="B8" s="1131" t="n">
        <v>5</v>
      </c>
      <c r="C8" s="1131" t="s">
        <v>1365</v>
      </c>
      <c r="D8" s="977" t="n">
        <v>0.7</v>
      </c>
      <c r="E8" s="1110" t="n">
        <v>0.75</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6.xml><?xml version="1.0" encoding="utf-8"?>
<worksheet xmlns="http://schemas.openxmlformats.org/spreadsheetml/2006/main" xmlns:r="http://schemas.openxmlformats.org/officeDocument/2006/relationships">
  <sheetPr filterMode="false">
    <tabColor rgb="FF006600"/>
    <pageSetUpPr fitToPage="false"/>
  </sheetPr>
  <dimension ref="B2:K1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Y18" activeCellId="0" sqref="Y18"/>
    </sheetView>
  </sheetViews>
  <sheetFormatPr defaultRowHeight="15"/>
  <cols>
    <col collapsed="false" hidden="false" max="1" min="1" style="0" width="7.63917525773196"/>
    <col collapsed="false" hidden="false" max="2" min="2" style="0" width="6.54639175257732"/>
    <col collapsed="false" hidden="false" max="3" min="3" style="0" width="10.3659793814433"/>
    <col collapsed="false" hidden="false" max="4" min="4" style="0" width="16.3659793814433"/>
    <col collapsed="false" hidden="false" max="5" min="5" style="0" width="10.3659793814433"/>
    <col collapsed="false" hidden="false" max="6" min="6" style="0" width="15.9587628865979"/>
    <col collapsed="false" hidden="false" max="7" min="7" style="0" width="31.5051546391753"/>
    <col collapsed="false" hidden="false" max="8" min="8" style="0" width="10.3659793814433"/>
    <col collapsed="false" hidden="false" max="9" min="9" style="0" width="12.9587628865979"/>
    <col collapsed="false" hidden="false" max="10" min="10" style="0" width="21.2783505154639"/>
    <col collapsed="false" hidden="false" max="1025" min="11" style="0" width="7.63917525773196"/>
  </cols>
  <sheetData>
    <row r="2" customFormat="false" ht="18.75" hidden="false" customHeight="false" outlineLevel="0" collapsed="false">
      <c r="B2" s="207"/>
      <c r="C2" s="207"/>
      <c r="D2" s="207"/>
      <c r="E2" s="207"/>
      <c r="F2" s="207"/>
      <c r="G2" s="207"/>
      <c r="H2" s="207"/>
      <c r="I2" s="207"/>
      <c r="J2" s="207"/>
      <c r="K2" s="219"/>
    </row>
    <row r="3" customFormat="false" ht="97.5" hidden="false" customHeight="true" outlineLevel="0" collapsed="false">
      <c r="B3" s="1133" t="s">
        <v>325</v>
      </c>
      <c r="C3" s="1133" t="s">
        <v>6</v>
      </c>
      <c r="D3" s="1133" t="s">
        <v>14</v>
      </c>
      <c r="E3" s="1133" t="s">
        <v>16</v>
      </c>
      <c r="F3" s="1133" t="s">
        <v>90</v>
      </c>
      <c r="G3" s="1133" t="s">
        <v>91</v>
      </c>
      <c r="H3" s="1133" t="s">
        <v>92</v>
      </c>
      <c r="I3" s="1133" t="s">
        <v>1366</v>
      </c>
      <c r="J3" s="1133" t="s">
        <v>94</v>
      </c>
      <c r="K3" s="219"/>
    </row>
    <row r="4" customFormat="false" ht="18.75" hidden="false" customHeight="false" outlineLevel="0" collapsed="false">
      <c r="B4" s="1133" t="n">
        <v>1</v>
      </c>
      <c r="C4" s="1133" t="s">
        <v>1367</v>
      </c>
      <c r="D4" s="1133" t="s">
        <v>15</v>
      </c>
      <c r="E4" s="357" t="s">
        <v>1368</v>
      </c>
      <c r="F4" s="357" t="n">
        <v>130</v>
      </c>
      <c r="G4" s="357" t="n">
        <v>65</v>
      </c>
      <c r="H4" s="357" t="n">
        <v>0.9</v>
      </c>
      <c r="I4" s="357" t="n">
        <v>0.303</v>
      </c>
      <c r="J4" s="357" t="n">
        <v>0.346</v>
      </c>
      <c r="K4" s="219"/>
    </row>
    <row r="5" customFormat="false" ht="18.75" hidden="false" customHeight="false" outlineLevel="0" collapsed="false">
      <c r="B5" s="1133" t="n">
        <v>1</v>
      </c>
      <c r="C5" s="1133" t="s">
        <v>1367</v>
      </c>
      <c r="D5" s="1133" t="s">
        <v>15</v>
      </c>
      <c r="E5" s="357" t="s">
        <v>17</v>
      </c>
      <c r="F5" s="357" t="n">
        <v>115</v>
      </c>
      <c r="G5" s="357" t="n">
        <v>57.5</v>
      </c>
      <c r="H5" s="357" t="n">
        <v>0.8</v>
      </c>
      <c r="I5" s="357" t="n">
        <v>0.303</v>
      </c>
      <c r="J5" s="357" t="n">
        <v>0.345</v>
      </c>
      <c r="K5" s="219"/>
    </row>
    <row r="6" customFormat="false" ht="18.75" hidden="false" customHeight="false" outlineLevel="0" collapsed="false">
      <c r="B6" s="1133" t="n">
        <v>2</v>
      </c>
      <c r="C6" s="1133" t="s">
        <v>52</v>
      </c>
      <c r="D6" s="1133" t="s">
        <v>15</v>
      </c>
      <c r="E6" s="357" t="s">
        <v>17</v>
      </c>
      <c r="F6" s="357" t="n">
        <v>115</v>
      </c>
      <c r="G6" s="357" t="n">
        <v>57.5</v>
      </c>
      <c r="H6" s="357" t="n">
        <v>0.8</v>
      </c>
      <c r="I6" s="357" t="n">
        <v>0.303</v>
      </c>
      <c r="J6" s="357" t="n">
        <v>0.345</v>
      </c>
      <c r="K6" s="219"/>
    </row>
    <row r="7" customFormat="false" ht="56.25" hidden="false" customHeight="false" outlineLevel="0" collapsed="false">
      <c r="B7" s="1133" t="n">
        <v>2</v>
      </c>
      <c r="C7" s="1133" t="s">
        <v>52</v>
      </c>
      <c r="D7" s="1133" t="s">
        <v>1354</v>
      </c>
      <c r="E7" s="357" t="s">
        <v>1369</v>
      </c>
      <c r="F7" s="357" t="n">
        <v>100</v>
      </c>
      <c r="G7" s="357" t="n">
        <v>50</v>
      </c>
      <c r="H7" s="357" t="n">
        <v>0.6</v>
      </c>
      <c r="I7" s="357" t="n">
        <v>0.326</v>
      </c>
      <c r="J7" s="357" t="n">
        <v>0.371</v>
      </c>
      <c r="K7" s="219"/>
    </row>
    <row r="8" customFormat="false" ht="18.75" hidden="false" customHeight="false" outlineLevel="0" collapsed="false">
      <c r="B8" s="1133" t="n">
        <v>3</v>
      </c>
      <c r="C8" s="1133" t="s">
        <v>648</v>
      </c>
      <c r="D8" s="1133" t="s">
        <v>15</v>
      </c>
      <c r="E8" s="357" t="s">
        <v>1369</v>
      </c>
      <c r="F8" s="357" t="n">
        <v>100</v>
      </c>
      <c r="G8" s="357" t="n">
        <v>50</v>
      </c>
      <c r="H8" s="357" t="n">
        <v>0.6</v>
      </c>
      <c r="I8" s="357" t="n">
        <v>0.326</v>
      </c>
      <c r="J8" s="357" t="n">
        <v>0.371</v>
      </c>
      <c r="K8" s="219"/>
    </row>
    <row r="9" customFormat="false" ht="56.25" hidden="false" customHeight="false" outlineLevel="0" collapsed="false">
      <c r="B9" s="1133" t="n">
        <v>3</v>
      </c>
      <c r="C9" s="1133" t="s">
        <v>648</v>
      </c>
      <c r="D9" s="1133" t="s">
        <v>1354</v>
      </c>
      <c r="E9" s="357" t="s">
        <v>1369</v>
      </c>
      <c r="F9" s="357" t="n">
        <v>100</v>
      </c>
      <c r="G9" s="357" t="n">
        <v>50</v>
      </c>
      <c r="H9" s="357" t="n">
        <v>0.6</v>
      </c>
      <c r="I9" s="357" t="n">
        <v>0.326</v>
      </c>
      <c r="J9" s="357" t="n">
        <v>0.371</v>
      </c>
      <c r="K9" s="219"/>
    </row>
    <row r="10" customFormat="false" ht="18.75" hidden="false" customHeight="false" outlineLevel="0" collapsed="false">
      <c r="B10" s="1133" t="n">
        <v>4</v>
      </c>
      <c r="C10" s="1133" t="s">
        <v>54</v>
      </c>
      <c r="D10" s="1133" t="s">
        <v>1355</v>
      </c>
      <c r="E10" s="357" t="s">
        <v>1370</v>
      </c>
      <c r="F10" s="357" t="n">
        <v>60</v>
      </c>
      <c r="G10" s="357" t="n">
        <v>30</v>
      </c>
      <c r="H10" s="357" t="n">
        <v>0.5</v>
      </c>
      <c r="I10" s="357" t="n">
        <v>0.276</v>
      </c>
      <c r="J10" s="357" t="n">
        <v>0.315</v>
      </c>
      <c r="K10" s="219"/>
    </row>
    <row r="11" customFormat="false" ht="18.75" hidden="false" customHeight="false" outlineLevel="0" collapsed="false">
      <c r="B11" s="207"/>
      <c r="C11" s="207"/>
      <c r="D11" s="207"/>
      <c r="E11" s="207"/>
      <c r="F11" s="207"/>
      <c r="G11" s="207"/>
      <c r="H11" s="207"/>
      <c r="I11" s="207"/>
      <c r="J11" s="207"/>
      <c r="K11" s="219"/>
    </row>
    <row r="12" customFormat="false" ht="103.5" hidden="false" customHeight="true" outlineLevel="0" collapsed="false">
      <c r="B12" s="1134"/>
      <c r="C12" s="1135"/>
      <c r="D12" s="1135"/>
      <c r="E12" s="1135" t="s">
        <v>16</v>
      </c>
      <c r="F12" s="1135" t="s">
        <v>90</v>
      </c>
      <c r="G12" s="1135" t="s">
        <v>91</v>
      </c>
      <c r="H12" s="1135" t="s">
        <v>92</v>
      </c>
      <c r="I12" s="1135" t="s">
        <v>1366</v>
      </c>
      <c r="J12" s="1136" t="s">
        <v>94</v>
      </c>
      <c r="K12" s="219"/>
    </row>
    <row r="13" customFormat="false" ht="18.75" hidden="false" customHeight="false" outlineLevel="0" collapsed="false">
      <c r="B13" s="1137"/>
      <c r="C13" s="1133" t="s">
        <v>1367</v>
      </c>
      <c r="D13" s="1138" t="s">
        <v>15</v>
      </c>
      <c r="E13" s="1139" t="s">
        <v>1368</v>
      </c>
      <c r="F13" s="1139" t="n">
        <v>130</v>
      </c>
      <c r="G13" s="1139" t="n">
        <v>65</v>
      </c>
      <c r="H13" s="1139" t="n">
        <v>0.9</v>
      </c>
      <c r="I13" s="1139" t="n">
        <v>0.303</v>
      </c>
      <c r="J13" s="1140" t="n">
        <v>0.346</v>
      </c>
      <c r="K13" s="219"/>
    </row>
    <row r="14" customFormat="false" ht="18.75" hidden="false" customHeight="false" outlineLevel="0" collapsed="false">
      <c r="B14" s="1141"/>
      <c r="C14" s="1133" t="s">
        <v>1371</v>
      </c>
      <c r="D14" s="1133" t="s">
        <v>15</v>
      </c>
      <c r="E14" s="1142" t="s">
        <v>17</v>
      </c>
      <c r="F14" s="1142" t="n">
        <v>115</v>
      </c>
      <c r="G14" s="1142" t="n">
        <v>57.5</v>
      </c>
      <c r="H14" s="1142" t="n">
        <v>0.8</v>
      </c>
      <c r="I14" s="1142" t="n">
        <v>0.303</v>
      </c>
      <c r="J14" s="1143" t="n">
        <v>0.345</v>
      </c>
      <c r="K14" s="219"/>
    </row>
    <row r="15" customFormat="false" ht="56.25" hidden="false" customHeight="false" outlineLevel="0" collapsed="false">
      <c r="B15" s="1144"/>
      <c r="C15" s="1133" t="s">
        <v>1372</v>
      </c>
      <c r="D15" s="1133" t="s">
        <v>1354</v>
      </c>
      <c r="E15" s="357" t="s">
        <v>1369</v>
      </c>
      <c r="F15" s="357" t="n">
        <v>100</v>
      </c>
      <c r="G15" s="357" t="n">
        <v>50</v>
      </c>
      <c r="H15" s="357" t="n">
        <v>0.6</v>
      </c>
      <c r="I15" s="357" t="n">
        <v>0.326</v>
      </c>
      <c r="J15" s="1145" t="n">
        <v>0.371</v>
      </c>
      <c r="K15" s="219"/>
    </row>
    <row r="16" customFormat="false" ht="18.75" hidden="false" customHeight="false" outlineLevel="0" collapsed="false">
      <c r="B16" s="1146"/>
      <c r="C16" s="1133" t="s">
        <v>54</v>
      </c>
      <c r="D16" s="1147" t="s">
        <v>1355</v>
      </c>
      <c r="E16" s="1148" t="s">
        <v>1370</v>
      </c>
      <c r="F16" s="1148" t="n">
        <v>60</v>
      </c>
      <c r="G16" s="1148" t="n">
        <v>30</v>
      </c>
      <c r="H16" s="1148" t="n">
        <v>0.5</v>
      </c>
      <c r="I16" s="1148" t="n">
        <v>0.276</v>
      </c>
      <c r="J16" s="1149" t="n">
        <v>0.315</v>
      </c>
      <c r="K16" s="21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xl/worksheets/sheet37.xml><?xml version="1.0" encoding="utf-8"?>
<worksheet xmlns="http://schemas.openxmlformats.org/spreadsheetml/2006/main" xmlns:r="http://schemas.openxmlformats.org/officeDocument/2006/relationships">
  <sheetPr filterMode="false">
    <pageSetUpPr fitToPage="false"/>
  </sheetPr>
  <dimension ref="B1:U9"/>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4.3659793814433"/>
    <col collapsed="false" hidden="false" max="3" min="3" style="0" width="23.1855670103093"/>
    <col collapsed="false" hidden="false" max="4" min="4" style="0" width="12.5463917525773"/>
    <col collapsed="false" hidden="false" max="5" min="5" style="0" width="7.3659793814433"/>
    <col collapsed="false" hidden="false" max="10" min="6" style="0" width="4.63917525773196"/>
    <col collapsed="false" hidden="false" max="12" min="11" style="0" width="7.63917525773196"/>
    <col collapsed="false" hidden="false" max="13" min="13" style="0" width="6.54639175257732"/>
    <col collapsed="false" hidden="false" max="14" min="14" style="0" width="15.4123711340206"/>
    <col collapsed="false" hidden="false" max="15" min="15" style="0" width="12.5463917525773"/>
    <col collapsed="false" hidden="false" max="16" min="16" style="0" width="10.3659793814433"/>
    <col collapsed="false" hidden="false" max="17" min="17" style="0" width="16.2319587628866"/>
    <col collapsed="false" hidden="false" max="18" min="18" style="0" width="19.5051546391753"/>
    <col collapsed="false" hidden="false" max="19" min="19" style="0" width="15.819587628866"/>
    <col collapsed="false" hidden="false" max="20" min="20" style="0" width="16.3659793814433"/>
    <col collapsed="false" hidden="false" max="21" min="21" style="0" width="19.5051546391753"/>
    <col collapsed="false" hidden="false" max="1025" min="22" style="0" width="7.63917525773196"/>
  </cols>
  <sheetData>
    <row r="1" customFormat="false" ht="18.75" hidden="false" customHeight="false" outlineLevel="0" collapsed="false">
      <c r="B1" s="201"/>
      <c r="C1" s="201"/>
      <c r="D1" s="201"/>
      <c r="E1" s="1150" t="s">
        <v>6</v>
      </c>
      <c r="F1" s="1150"/>
      <c r="G1" s="1150"/>
      <c r="H1" s="1150"/>
      <c r="I1" s="1150"/>
      <c r="J1" s="1150"/>
    </row>
    <row r="2" customFormat="false" ht="69.75" hidden="false" customHeight="true" outlineLevel="0" collapsed="false">
      <c r="B2" s="1151" t="s">
        <v>325</v>
      </c>
      <c r="C2" s="1152" t="s">
        <v>1373</v>
      </c>
      <c r="D2" s="1153" t="s">
        <v>1374</v>
      </c>
      <c r="E2" s="1152" t="s">
        <v>7</v>
      </c>
      <c r="F2" s="1152" t="s">
        <v>953</v>
      </c>
      <c r="G2" s="1152" t="s">
        <v>51</v>
      </c>
      <c r="H2" s="1152" t="s">
        <v>52</v>
      </c>
      <c r="I2" s="1152" t="s">
        <v>53</v>
      </c>
      <c r="J2" s="1154" t="s">
        <v>54</v>
      </c>
      <c r="L2" s="1155" t="s">
        <v>1375</v>
      </c>
      <c r="N2" s="1156" t="s">
        <v>6</v>
      </c>
      <c r="O2" s="1157" t="s">
        <v>18</v>
      </c>
      <c r="P2" s="1157" t="s">
        <v>1376</v>
      </c>
      <c r="Q2" s="1157" t="s">
        <v>1377</v>
      </c>
      <c r="R2" s="1157" t="s">
        <v>1378</v>
      </c>
      <c r="S2" s="1157" t="s">
        <v>1379</v>
      </c>
      <c r="T2" s="1157" t="s">
        <v>1380</v>
      </c>
      <c r="U2" s="1158" t="s">
        <v>1381</v>
      </c>
    </row>
    <row r="3" customFormat="false" ht="37.5" hidden="false" customHeight="false" outlineLevel="0" collapsed="false">
      <c r="B3" s="1159" t="n">
        <v>1</v>
      </c>
      <c r="C3" s="1160" t="s">
        <v>18</v>
      </c>
      <c r="D3" s="1161" t="s">
        <v>1382</v>
      </c>
      <c r="E3" s="1161" t="s">
        <v>1383</v>
      </c>
      <c r="F3" s="1161" t="s">
        <v>1384</v>
      </c>
      <c r="G3" s="1161" t="n">
        <v>2</v>
      </c>
      <c r="H3" s="1161" t="n">
        <v>2</v>
      </c>
      <c r="I3" s="1161" t="n">
        <v>2</v>
      </c>
      <c r="J3" s="1162" t="n">
        <v>1</v>
      </c>
      <c r="L3" s="1163" t="n">
        <v>1</v>
      </c>
      <c r="N3" s="1164" t="s">
        <v>7</v>
      </c>
      <c r="O3" s="190" t="s">
        <v>1383</v>
      </c>
      <c r="P3" s="190" t="n">
        <v>3.75</v>
      </c>
      <c r="Q3" s="190" t="n">
        <v>3.75</v>
      </c>
      <c r="R3" s="190" t="n">
        <v>2.5</v>
      </c>
      <c r="S3" s="190" t="n">
        <v>0.75</v>
      </c>
      <c r="T3" s="190" t="n">
        <v>6</v>
      </c>
      <c r="U3" s="1165" t="n">
        <v>0.75</v>
      </c>
    </row>
    <row r="4" customFormat="false" ht="37.5" hidden="false" customHeight="false" outlineLevel="0" collapsed="false">
      <c r="B4" s="1159" t="n">
        <v>2</v>
      </c>
      <c r="C4" s="1160" t="s">
        <v>1376</v>
      </c>
      <c r="D4" s="1161" t="s">
        <v>1385</v>
      </c>
      <c r="E4" s="1161" t="n">
        <v>3.75</v>
      </c>
      <c r="F4" s="1161" t="n">
        <v>3.75</v>
      </c>
      <c r="G4" s="1161" t="n">
        <v>3.75</v>
      </c>
      <c r="H4" s="1161" t="n">
        <v>3.5</v>
      </c>
      <c r="I4" s="1161" t="n">
        <v>3</v>
      </c>
      <c r="J4" s="1162" t="n">
        <v>4.5</v>
      </c>
      <c r="L4" s="1163" t="n">
        <v>2</v>
      </c>
      <c r="N4" s="1164" t="s">
        <v>953</v>
      </c>
      <c r="O4" s="190" t="s">
        <v>1384</v>
      </c>
      <c r="P4" s="190" t="n">
        <v>3.75</v>
      </c>
      <c r="Q4" s="190" t="n">
        <v>3.75</v>
      </c>
      <c r="R4" s="190" t="n">
        <v>2.5</v>
      </c>
      <c r="S4" s="190" t="n">
        <v>0.5</v>
      </c>
      <c r="T4" s="190" t="n">
        <v>3</v>
      </c>
      <c r="U4" s="1165" t="n">
        <v>0.5</v>
      </c>
    </row>
    <row r="5" customFormat="false" ht="37.5" hidden="false" customHeight="false" outlineLevel="0" collapsed="false">
      <c r="B5" s="1166" t="n">
        <v>3</v>
      </c>
      <c r="C5" s="1160" t="s">
        <v>1377</v>
      </c>
      <c r="D5" s="1161" t="s">
        <v>1385</v>
      </c>
      <c r="E5" s="1161" t="n">
        <v>3.75</v>
      </c>
      <c r="F5" s="1161" t="n">
        <v>3.75</v>
      </c>
      <c r="G5" s="1161" t="n">
        <v>3.75</v>
      </c>
      <c r="H5" s="1161" t="n">
        <v>2.5</v>
      </c>
      <c r="I5" s="1161" t="n">
        <v>2</v>
      </c>
      <c r="J5" s="1162" t="n">
        <v>1.75</v>
      </c>
      <c r="L5" s="1163" t="n">
        <v>3</v>
      </c>
      <c r="N5" s="1164" t="s">
        <v>51</v>
      </c>
      <c r="O5" s="190" t="n">
        <v>2</v>
      </c>
      <c r="P5" s="190" t="n">
        <v>3.75</v>
      </c>
      <c r="Q5" s="190" t="n">
        <v>3.75</v>
      </c>
      <c r="R5" s="190" t="n">
        <v>2.5</v>
      </c>
      <c r="S5" s="190" t="n">
        <v>0.5</v>
      </c>
      <c r="T5" s="190" t="s">
        <v>811</v>
      </c>
      <c r="U5" s="1167" t="s">
        <v>811</v>
      </c>
    </row>
    <row r="6" customFormat="false" ht="93.75" hidden="false" customHeight="false" outlineLevel="0" collapsed="false">
      <c r="B6" s="1166"/>
      <c r="C6" s="1160" t="s">
        <v>1378</v>
      </c>
      <c r="D6" s="1161" t="s">
        <v>1385</v>
      </c>
      <c r="E6" s="1161" t="n">
        <v>2.5</v>
      </c>
      <c r="F6" s="1161" t="n">
        <v>2.5</v>
      </c>
      <c r="G6" s="1161" t="n">
        <v>2.5</v>
      </c>
      <c r="H6" s="1161" t="s">
        <v>811</v>
      </c>
      <c r="I6" s="1161" t="s">
        <v>811</v>
      </c>
      <c r="J6" s="1162" t="s">
        <v>811</v>
      </c>
      <c r="L6" s="1163" t="n">
        <v>4</v>
      </c>
      <c r="N6" s="1164" t="s">
        <v>52</v>
      </c>
      <c r="O6" s="190" t="n">
        <v>2</v>
      </c>
      <c r="P6" s="190" t="n">
        <v>3.5</v>
      </c>
      <c r="Q6" s="190" t="n">
        <v>2.5</v>
      </c>
      <c r="R6" s="190" t="s">
        <v>811</v>
      </c>
      <c r="S6" s="190" t="n">
        <v>0.5</v>
      </c>
      <c r="T6" s="190" t="s">
        <v>811</v>
      </c>
      <c r="U6" s="1167" t="s">
        <v>811</v>
      </c>
    </row>
    <row r="7" customFormat="false" ht="37.5" hidden="false" customHeight="false" outlineLevel="0" collapsed="false">
      <c r="B7" s="1166"/>
      <c r="C7" s="1160" t="s">
        <v>1379</v>
      </c>
      <c r="D7" s="1161" t="s">
        <v>1385</v>
      </c>
      <c r="E7" s="1161" t="n">
        <v>0.75</v>
      </c>
      <c r="F7" s="1161" t="n">
        <v>0.5</v>
      </c>
      <c r="G7" s="1161" t="n">
        <v>0.5</v>
      </c>
      <c r="H7" s="1161" t="n">
        <v>0.5</v>
      </c>
      <c r="I7" s="1161" t="n">
        <v>0.5</v>
      </c>
      <c r="J7" s="1162" t="s">
        <v>811</v>
      </c>
      <c r="L7" s="1163" t="n">
        <v>6</v>
      </c>
      <c r="N7" s="1164" t="s">
        <v>53</v>
      </c>
      <c r="O7" s="190" t="n">
        <v>2</v>
      </c>
      <c r="P7" s="190" t="n">
        <v>3</v>
      </c>
      <c r="Q7" s="190" t="n">
        <v>2</v>
      </c>
      <c r="R7" s="190" t="s">
        <v>811</v>
      </c>
      <c r="S7" s="190" t="n">
        <v>0.5</v>
      </c>
      <c r="T7" s="190" t="s">
        <v>811</v>
      </c>
      <c r="U7" s="1167" t="s">
        <v>811</v>
      </c>
    </row>
    <row r="8" customFormat="false" ht="56.25" hidden="false" customHeight="false" outlineLevel="0" collapsed="false">
      <c r="B8" s="1159" t="n">
        <v>4</v>
      </c>
      <c r="C8" s="1160" t="s">
        <v>1380</v>
      </c>
      <c r="D8" s="1161" t="s">
        <v>1385</v>
      </c>
      <c r="E8" s="1161" t="n">
        <v>6</v>
      </c>
      <c r="F8" s="1161" t="n">
        <v>3</v>
      </c>
      <c r="G8" s="1161" t="s">
        <v>811</v>
      </c>
      <c r="H8" s="1161" t="s">
        <v>811</v>
      </c>
      <c r="I8" s="1161" t="s">
        <v>811</v>
      </c>
      <c r="J8" s="1162" t="s">
        <v>811</v>
      </c>
      <c r="L8" s="1168" t="n">
        <v>8</v>
      </c>
      <c r="N8" s="1169" t="s">
        <v>54</v>
      </c>
      <c r="O8" s="1170" t="n">
        <v>1</v>
      </c>
      <c r="P8" s="1170" t="n">
        <v>4.5</v>
      </c>
      <c r="Q8" s="1170" t="n">
        <v>1.75</v>
      </c>
      <c r="R8" s="1171" t="s">
        <v>811</v>
      </c>
      <c r="S8" s="1170" t="s">
        <v>811</v>
      </c>
      <c r="T8" s="1171" t="s">
        <v>811</v>
      </c>
      <c r="U8" s="1172" t="s">
        <v>811</v>
      </c>
    </row>
    <row r="9" customFormat="false" ht="75" hidden="false" customHeight="false" outlineLevel="0" collapsed="false">
      <c r="B9" s="1173" t="n">
        <v>5</v>
      </c>
      <c r="C9" s="1174" t="s">
        <v>1381</v>
      </c>
      <c r="D9" s="1175" t="s">
        <v>1385</v>
      </c>
      <c r="E9" s="1175" t="n">
        <v>0.75</v>
      </c>
      <c r="F9" s="1175" t="n">
        <v>0.5</v>
      </c>
      <c r="G9" s="1175" t="s">
        <v>811</v>
      </c>
      <c r="H9" s="1175" t="s">
        <v>811</v>
      </c>
      <c r="I9" s="1175" t="s">
        <v>811</v>
      </c>
      <c r="J9" s="1176" t="s">
        <v>811</v>
      </c>
    </row>
  </sheetData>
  <sheetProtection sheet="true" objects="true" scenarios="true"/>
  <mergeCells count="2">
    <mergeCell ref="E1:J1"/>
    <mergeCell ref="B5:B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8.xml><?xml version="1.0" encoding="utf-8"?>
<worksheet xmlns="http://schemas.openxmlformats.org/spreadsheetml/2006/main" xmlns:r="http://schemas.openxmlformats.org/officeDocument/2006/relationships">
  <sheetPr filterMode="false">
    <pageSetUpPr fitToPage="false"/>
  </sheetPr>
  <dimension ref="B2:D4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J34" activeCellId="0" sqref="AJ34"/>
    </sheetView>
  </sheetViews>
  <sheetFormatPr defaultRowHeight="15"/>
  <cols>
    <col collapsed="false" hidden="false" max="1" min="1" style="0" width="7.63917525773196"/>
    <col collapsed="false" hidden="false" max="2" min="2" style="0" width="6.27319587628866"/>
    <col collapsed="false" hidden="false" max="3" min="3" style="0" width="52.5051546391753"/>
    <col collapsed="false" hidden="false" max="4" min="4" style="0" width="12.6855670103093"/>
    <col collapsed="false" hidden="false" max="5" min="5" style="0" width="27.4123711340206"/>
    <col collapsed="false" hidden="false" max="1025" min="6" style="0" width="7.63917525773196"/>
  </cols>
  <sheetData>
    <row r="2" customFormat="false" ht="15.75" hidden="false" customHeight="false" outlineLevel="0" collapsed="false">
      <c r="B2" s="463" t="s">
        <v>322</v>
      </c>
    </row>
    <row r="3" customFormat="false" ht="47.25" hidden="false" customHeight="false" outlineLevel="0" collapsed="false">
      <c r="B3" s="466" t="s">
        <v>325</v>
      </c>
      <c r="C3" s="467" t="s">
        <v>326</v>
      </c>
      <c r="D3" s="467" t="s">
        <v>327</v>
      </c>
    </row>
    <row r="4" customFormat="false" ht="15.75" hidden="false" customHeight="false" outlineLevel="0" collapsed="false">
      <c r="B4" s="468" t="n">
        <v>1</v>
      </c>
      <c r="C4" s="469" t="n">
        <v>2</v>
      </c>
      <c r="D4" s="469" t="n">
        <v>3</v>
      </c>
    </row>
    <row r="5" customFormat="false" ht="15.75" hidden="false" customHeight="false" outlineLevel="0" collapsed="false">
      <c r="B5" s="468" t="n">
        <v>1</v>
      </c>
      <c r="C5" s="470" t="s">
        <v>331</v>
      </c>
      <c r="D5" s="469"/>
    </row>
    <row r="6" customFormat="false" ht="15.75" hidden="false" customHeight="false" outlineLevel="0" collapsed="false">
      <c r="B6" s="468"/>
      <c r="C6" s="470" t="s">
        <v>334</v>
      </c>
      <c r="D6" s="469" t="n">
        <v>8</v>
      </c>
    </row>
    <row r="7" customFormat="false" ht="15.75" hidden="false" customHeight="true" outlineLevel="0" collapsed="false">
      <c r="B7" s="468"/>
      <c r="C7" s="470" t="s">
        <v>337</v>
      </c>
      <c r="D7" s="469"/>
    </row>
    <row r="8" customFormat="false" ht="15.75" hidden="false" customHeight="false" outlineLevel="0" collapsed="false">
      <c r="B8" s="468"/>
      <c r="C8" s="471" t="s">
        <v>339</v>
      </c>
      <c r="D8" s="469" t="n">
        <v>5</v>
      </c>
    </row>
    <row r="9" customFormat="false" ht="15.75" hidden="false" customHeight="false" outlineLevel="0" collapsed="false">
      <c r="B9" s="468"/>
      <c r="C9" s="471" t="s">
        <v>342</v>
      </c>
      <c r="D9" s="469" t="n">
        <v>4</v>
      </c>
    </row>
    <row r="10" customFormat="false" ht="15.75" hidden="false" customHeight="false" outlineLevel="0" collapsed="false">
      <c r="B10" s="468"/>
      <c r="C10" s="471" t="s">
        <v>345</v>
      </c>
      <c r="D10" s="469" t="n">
        <v>3</v>
      </c>
    </row>
    <row r="11" customFormat="false" ht="15.75" hidden="false" customHeight="false" outlineLevel="0" collapsed="false">
      <c r="B11" s="468"/>
      <c r="C11" s="470" t="s">
        <v>348</v>
      </c>
      <c r="D11" s="469" t="n">
        <v>3</v>
      </c>
    </row>
    <row r="12" customFormat="false" ht="15.75" hidden="false" customHeight="false" outlineLevel="0" collapsed="false">
      <c r="B12" s="468"/>
      <c r="C12" s="470" t="s">
        <v>351</v>
      </c>
      <c r="D12" s="469" t="n">
        <v>5</v>
      </c>
    </row>
    <row r="13" customFormat="false" ht="15.75" hidden="false" customHeight="false" outlineLevel="0" collapsed="false">
      <c r="B13" s="468"/>
      <c r="C13" s="470" t="s">
        <v>354</v>
      </c>
      <c r="D13" s="469" t="n">
        <v>3</v>
      </c>
    </row>
    <row r="14" customFormat="false" ht="31.5" hidden="false" customHeight="false" outlineLevel="0" collapsed="false">
      <c r="B14" s="468" t="n">
        <v>2</v>
      </c>
      <c r="C14" s="470" t="s">
        <v>357</v>
      </c>
      <c r="D14" s="469"/>
    </row>
    <row r="15" customFormat="false" ht="15.75" hidden="false" customHeight="false" outlineLevel="0" collapsed="false">
      <c r="B15" s="468"/>
      <c r="C15" s="471" t="s">
        <v>360</v>
      </c>
      <c r="D15" s="469" t="n">
        <v>5</v>
      </c>
    </row>
    <row r="16" customFormat="false" ht="15.75" hidden="false" customHeight="false" outlineLevel="0" collapsed="false">
      <c r="B16" s="468"/>
      <c r="C16" s="471" t="s">
        <v>363</v>
      </c>
      <c r="D16" s="469" t="n">
        <v>4</v>
      </c>
    </row>
    <row r="17" customFormat="false" ht="15.75" hidden="false" customHeight="false" outlineLevel="0" collapsed="false">
      <c r="B17" s="468"/>
      <c r="C17" s="471" t="s">
        <v>366</v>
      </c>
      <c r="D17" s="469" t="n">
        <v>3</v>
      </c>
    </row>
    <row r="18" customFormat="false" ht="47.25" hidden="false" customHeight="false" outlineLevel="0" collapsed="false">
      <c r="B18" s="468" t="n">
        <v>3</v>
      </c>
      <c r="C18" s="470" t="s">
        <v>369</v>
      </c>
      <c r="D18" s="469" t="n">
        <v>8</v>
      </c>
    </row>
    <row r="19" customFormat="false" ht="47.25" hidden="false" customHeight="false" outlineLevel="0" collapsed="false">
      <c r="B19" s="468" t="n">
        <v>4</v>
      </c>
      <c r="C19" s="470" t="s">
        <v>372</v>
      </c>
      <c r="D19" s="469" t="n">
        <v>10</v>
      </c>
    </row>
    <row r="20" customFormat="false" ht="31.5" hidden="false" customHeight="false" outlineLevel="0" collapsed="false">
      <c r="B20" s="468" t="n">
        <v>5</v>
      </c>
      <c r="C20" s="470" t="s">
        <v>375</v>
      </c>
      <c r="D20" s="469"/>
    </row>
    <row r="21" customFormat="false" ht="15.75" hidden="false" customHeight="false" outlineLevel="0" collapsed="false">
      <c r="B21" s="468"/>
      <c r="C21" s="470" t="s">
        <v>378</v>
      </c>
      <c r="D21" s="469"/>
    </row>
    <row r="22" customFormat="false" ht="15.75" hidden="false" customHeight="false" outlineLevel="0" collapsed="false">
      <c r="B22" s="468"/>
      <c r="C22" s="471" t="s">
        <v>381</v>
      </c>
      <c r="D22" s="469" t="n">
        <v>12</v>
      </c>
    </row>
    <row r="23" customFormat="false" ht="15.75" hidden="false" customHeight="false" outlineLevel="0" collapsed="false">
      <c r="B23" s="468"/>
      <c r="C23" s="471" t="s">
        <v>384</v>
      </c>
      <c r="D23" s="469" t="n">
        <v>10</v>
      </c>
    </row>
    <row r="24" customFormat="false" ht="15.75" hidden="false" customHeight="false" outlineLevel="0" collapsed="false">
      <c r="B24" s="468"/>
      <c r="C24" s="471" t="s">
        <v>387</v>
      </c>
      <c r="D24" s="469" t="n">
        <v>8</v>
      </c>
    </row>
    <row r="25" customFormat="false" ht="31.5" hidden="false" customHeight="false" outlineLevel="0" collapsed="false">
      <c r="B25" s="468"/>
      <c r="C25" s="470" t="s">
        <v>389</v>
      </c>
      <c r="D25" s="469"/>
    </row>
    <row r="26" customFormat="false" ht="15.75" hidden="false" customHeight="false" outlineLevel="0" collapsed="false">
      <c r="B26" s="468"/>
      <c r="C26" s="471" t="s">
        <v>381</v>
      </c>
      <c r="D26" s="469" t="n">
        <v>18</v>
      </c>
    </row>
    <row r="27" customFormat="false" ht="15.75" hidden="false" customHeight="false" outlineLevel="0" collapsed="false">
      <c r="B27" s="468"/>
      <c r="C27" s="471" t="s">
        <v>384</v>
      </c>
      <c r="D27" s="469" t="n">
        <v>16</v>
      </c>
    </row>
    <row r="28" customFormat="false" ht="15.75" hidden="false" customHeight="false" outlineLevel="0" collapsed="false">
      <c r="B28" s="468"/>
      <c r="C28" s="471" t="s">
        <v>387</v>
      </c>
      <c r="D28" s="469" t="n">
        <v>14</v>
      </c>
    </row>
    <row r="29" customFormat="false" ht="31.5" hidden="false" customHeight="false" outlineLevel="0" collapsed="false">
      <c r="B29" s="468"/>
      <c r="C29" s="470" t="s">
        <v>396</v>
      </c>
      <c r="D29" s="469"/>
    </row>
    <row r="30" customFormat="false" ht="15.75" hidden="false" customHeight="false" outlineLevel="0" collapsed="false">
      <c r="B30" s="468"/>
      <c r="C30" s="471" t="s">
        <v>381</v>
      </c>
      <c r="D30" s="469" t="n">
        <v>14</v>
      </c>
    </row>
    <row r="31" customFormat="false" ht="15.75" hidden="false" customHeight="false" outlineLevel="0" collapsed="false">
      <c r="B31" s="468"/>
      <c r="C31" s="471" t="s">
        <v>384</v>
      </c>
      <c r="D31" s="469" t="n">
        <v>12</v>
      </c>
    </row>
    <row r="32" customFormat="false" ht="15.75" hidden="false" customHeight="false" outlineLevel="0" collapsed="false">
      <c r="B32" s="468"/>
      <c r="C32" s="471" t="s">
        <v>387</v>
      </c>
      <c r="D32" s="469" t="n">
        <v>10</v>
      </c>
    </row>
    <row r="33" customFormat="false" ht="31.5" hidden="false" customHeight="false" outlineLevel="0" collapsed="false">
      <c r="B33" s="468" t="n">
        <v>6</v>
      </c>
      <c r="C33" s="470" t="s">
        <v>405</v>
      </c>
      <c r="D33" s="469" t="n">
        <v>15</v>
      </c>
    </row>
    <row r="34" customFormat="false" ht="31.5" hidden="false" customHeight="false" outlineLevel="0" collapsed="false">
      <c r="B34" s="468" t="n">
        <v>7</v>
      </c>
      <c r="C34" s="470" t="s">
        <v>408</v>
      </c>
      <c r="D34" s="469" t="n">
        <v>8</v>
      </c>
    </row>
    <row r="35" customFormat="false" ht="15.75" hidden="false" customHeight="false" outlineLevel="0" collapsed="false">
      <c r="B35" s="468" t="n">
        <v>8</v>
      </c>
      <c r="C35" s="470" t="s">
        <v>411</v>
      </c>
      <c r="D35" s="469" t="n">
        <v>12</v>
      </c>
    </row>
    <row r="36" customFormat="false" ht="15.75" hidden="false" customHeight="false" outlineLevel="0" collapsed="false">
      <c r="B36" s="468" t="n">
        <v>9</v>
      </c>
      <c r="C36" s="470" t="s">
        <v>414</v>
      </c>
      <c r="D36" s="469"/>
    </row>
    <row r="37" customFormat="false" ht="15.75" hidden="false" customHeight="false" outlineLevel="0" collapsed="false">
      <c r="B37" s="468"/>
      <c r="C37" s="470" t="s">
        <v>417</v>
      </c>
      <c r="D37" s="469" t="n">
        <v>12</v>
      </c>
    </row>
    <row r="38" customFormat="false" ht="15.75" hidden="false" customHeight="false" outlineLevel="0" collapsed="false">
      <c r="B38" s="468"/>
      <c r="C38" s="470" t="s">
        <v>420</v>
      </c>
      <c r="D38" s="469" t="n">
        <v>15</v>
      </c>
    </row>
    <row r="39" customFormat="false" ht="15.75" hidden="false" customHeight="false" outlineLevel="0" collapsed="false">
      <c r="B39" s="468" t="n">
        <v>10</v>
      </c>
      <c r="C39" s="470" t="s">
        <v>423</v>
      </c>
      <c r="D39" s="469" t="n">
        <v>12</v>
      </c>
    </row>
    <row r="40" customFormat="false" ht="15.75" hidden="false" customHeight="false" outlineLevel="0" collapsed="false">
      <c r="B40" s="468" t="n">
        <v>11</v>
      </c>
      <c r="C40" s="470" t="s">
        <v>426</v>
      </c>
      <c r="D40" s="469" t="n">
        <v>15</v>
      </c>
    </row>
    <row r="41" customFormat="false" ht="25.5" hidden="false" customHeight="true" outlineLevel="0" collapsed="false">
      <c r="B41" s="478" t="s">
        <v>429</v>
      </c>
      <c r="C41" s="478"/>
      <c r="D41" s="478"/>
    </row>
  </sheetData>
  <mergeCells count="1">
    <mergeCell ref="B41:D4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B1:I107"/>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2" min="1" style="1177" width="9.13917525773196"/>
    <col collapsed="false" hidden="false" max="3" min="3" style="1177" width="43.5051546391753"/>
    <col collapsed="false" hidden="false" max="258" min="4" style="1177" width="9.13917525773196"/>
    <col collapsed="false" hidden="false" max="259" min="259" style="1177" width="43.5051546391753"/>
    <col collapsed="false" hidden="false" max="514" min="260" style="1177" width="9.13917525773196"/>
    <col collapsed="false" hidden="false" max="515" min="515" style="1177" width="43.5051546391753"/>
    <col collapsed="false" hidden="false" max="770" min="516" style="1177" width="9.13917525773196"/>
    <col collapsed="false" hidden="false" max="771" min="771" style="1177" width="43.5051546391753"/>
    <col collapsed="false" hidden="false" max="1025" min="772" style="1177" width="9.13917525773196"/>
  </cols>
  <sheetData>
    <row r="1" customFormat="false" ht="15" hidden="false" customHeight="false" outlineLevel="0" collapsed="false">
      <c r="B1" s="0"/>
      <c r="C1" s="0"/>
      <c r="D1" s="0"/>
      <c r="E1" s="0"/>
      <c r="F1" s="0"/>
      <c r="G1" s="0"/>
      <c r="I1" s="0"/>
    </row>
    <row r="2" customFormat="false" ht="18.75" hidden="false" customHeight="false" outlineLevel="0" collapsed="false">
      <c r="B2" s="1178" t="s">
        <v>1386</v>
      </c>
      <c r="C2" s="1178"/>
      <c r="D2" s="1178"/>
      <c r="E2" s="1178"/>
      <c r="F2" s="1178"/>
      <c r="G2" s="1178"/>
      <c r="I2" s="0"/>
    </row>
    <row r="3" customFormat="false" ht="15" hidden="false" customHeight="false" outlineLevel="0" collapsed="false">
      <c r="B3" s="1179"/>
      <c r="C3" s="0"/>
      <c r="D3" s="0"/>
      <c r="E3" s="0"/>
      <c r="F3" s="0"/>
      <c r="G3" s="0"/>
      <c r="I3" s="0"/>
    </row>
    <row r="4" customFormat="false" ht="93.75" hidden="false" customHeight="true" outlineLevel="0" collapsed="false">
      <c r="B4" s="1180" t="s">
        <v>1159</v>
      </c>
      <c r="C4" s="1180" t="s">
        <v>1387</v>
      </c>
      <c r="D4" s="1180" t="s">
        <v>670</v>
      </c>
      <c r="E4" s="1181" t="s">
        <v>671</v>
      </c>
      <c r="F4" s="1181"/>
      <c r="G4" s="1181"/>
      <c r="I4" s="0"/>
    </row>
    <row r="5" customFormat="false" ht="15.75" hidden="false" customHeight="false" outlineLevel="0" collapsed="false">
      <c r="B5" s="1180"/>
      <c r="C5" s="1180"/>
      <c r="D5" s="1180"/>
      <c r="E5" s="1182" t="n">
        <v>60</v>
      </c>
      <c r="F5" s="1182" t="n">
        <v>100</v>
      </c>
      <c r="G5" s="1182" t="n">
        <v>115</v>
      </c>
      <c r="I5" s="0"/>
    </row>
    <row r="6" customFormat="false" ht="15.75" hidden="false" customHeight="false" outlineLevel="0" collapsed="false">
      <c r="B6" s="1183" t="n">
        <v>1</v>
      </c>
      <c r="C6" s="1182" t="n">
        <v>2</v>
      </c>
      <c r="D6" s="1182" t="n">
        <v>3</v>
      </c>
      <c r="E6" s="1182" t="n">
        <v>4</v>
      </c>
      <c r="F6" s="1182" t="n">
        <v>5</v>
      </c>
      <c r="G6" s="1182" t="n">
        <v>6</v>
      </c>
      <c r="I6" s="0"/>
    </row>
    <row r="7" customFormat="false" ht="16.5" hidden="false" customHeight="true" outlineLevel="0" collapsed="false">
      <c r="B7" s="1184"/>
      <c r="C7" s="1183" t="s">
        <v>1388</v>
      </c>
      <c r="D7" s="1183"/>
      <c r="E7" s="1183"/>
      <c r="F7" s="1183"/>
      <c r="G7" s="1183"/>
      <c r="I7" s="0"/>
    </row>
    <row r="8" customFormat="false" ht="15.75" hidden="false" customHeight="false" outlineLevel="0" collapsed="false">
      <c r="B8" s="1183" t="n">
        <v>1</v>
      </c>
      <c r="C8" s="1185" t="s">
        <v>1389</v>
      </c>
      <c r="D8" s="1182" t="n">
        <v>3.25</v>
      </c>
      <c r="E8" s="1182" t="n">
        <v>0.01686</v>
      </c>
      <c r="F8" s="1182" t="n">
        <v>0.00178</v>
      </c>
      <c r="G8" s="1182" t="n">
        <v>0.00096</v>
      </c>
      <c r="I8" s="0"/>
    </row>
    <row r="9" customFormat="false" ht="15.75" hidden="false" customHeight="false" outlineLevel="0" collapsed="false">
      <c r="B9" s="1183" t="n">
        <v>2</v>
      </c>
      <c r="C9" s="1185" t="s">
        <v>1390</v>
      </c>
      <c r="D9" s="1182" t="n">
        <v>3.2</v>
      </c>
      <c r="E9" s="1182" t="n">
        <v>0.0163</v>
      </c>
      <c r="F9" s="1182" t="n">
        <v>0.00172</v>
      </c>
      <c r="G9" s="1182" t="n">
        <v>0.00093</v>
      </c>
      <c r="I9" s="0"/>
    </row>
    <row r="10" customFormat="false" ht="15.75" hidden="false" customHeight="false" outlineLevel="0" collapsed="false">
      <c r="B10" s="1183" t="n">
        <v>3</v>
      </c>
      <c r="C10" s="1185" t="s">
        <v>1391</v>
      </c>
      <c r="D10" s="1182" t="n">
        <v>3.5</v>
      </c>
      <c r="E10" s="1182" t="n">
        <v>0.02313</v>
      </c>
      <c r="F10" s="1182" t="n">
        <v>0.00244</v>
      </c>
      <c r="G10" s="1182" t="n">
        <v>0.00132</v>
      </c>
      <c r="I10" s="0"/>
    </row>
    <row r="11" customFormat="false" ht="18.75" hidden="false" customHeight="false" outlineLevel="0" collapsed="false">
      <c r="B11" s="1183" t="n">
        <v>4</v>
      </c>
      <c r="C11" s="1185" t="s">
        <v>1392</v>
      </c>
      <c r="D11" s="1182" t="n">
        <v>3.5</v>
      </c>
      <c r="E11" s="1182" t="n">
        <v>0.02313</v>
      </c>
      <c r="F11" s="1182" t="n">
        <v>0.00244</v>
      </c>
      <c r="G11" s="1182" t="n">
        <v>0.00132</v>
      </c>
      <c r="I11" s="1177" t="s">
        <v>1393</v>
      </c>
    </row>
    <row r="12" customFormat="false" ht="18.75" hidden="false" customHeight="false" outlineLevel="0" collapsed="false">
      <c r="B12" s="1183" t="n">
        <v>5</v>
      </c>
      <c r="C12" s="1185" t="s">
        <v>1394</v>
      </c>
      <c r="D12" s="1182" t="n">
        <v>4.6</v>
      </c>
      <c r="E12" s="1182" t="n">
        <v>0.0687</v>
      </c>
      <c r="F12" s="1182" t="n">
        <v>0.00726</v>
      </c>
      <c r="G12" s="1182" t="n">
        <v>0.00392</v>
      </c>
    </row>
    <row r="13" customFormat="false" ht="15.75" hidden="false" customHeight="false" outlineLevel="0" collapsed="false">
      <c r="B13" s="1183" t="n">
        <v>6</v>
      </c>
      <c r="C13" s="1185" t="s">
        <v>1395</v>
      </c>
      <c r="D13" s="1182" t="n">
        <v>3.5</v>
      </c>
      <c r="E13" s="1182" t="n">
        <v>0.02313</v>
      </c>
      <c r="F13" s="1182" t="n">
        <v>0.00244</v>
      </c>
      <c r="G13" s="1182" t="n">
        <v>0.00132</v>
      </c>
    </row>
    <row r="14" customFormat="false" ht="15.75" hidden="false" customHeight="false" outlineLevel="0" collapsed="false">
      <c r="B14" s="1183" t="n">
        <v>7</v>
      </c>
      <c r="C14" s="1185" t="s">
        <v>1396</v>
      </c>
      <c r="D14" s="1182" t="n">
        <v>3.1</v>
      </c>
      <c r="E14" s="1182" t="n">
        <v>0.01463</v>
      </c>
      <c r="F14" s="1182" t="n">
        <v>0.00155</v>
      </c>
      <c r="G14" s="1182" t="n">
        <v>0.00084</v>
      </c>
    </row>
    <row r="15" customFormat="false" ht="15.75" hidden="false" customHeight="false" outlineLevel="0" collapsed="false">
      <c r="B15" s="1183" t="n">
        <v>8</v>
      </c>
      <c r="C15" s="1185" t="s">
        <v>1397</v>
      </c>
      <c r="D15" s="1182" t="n">
        <v>3.5</v>
      </c>
      <c r="E15" s="1182" t="n">
        <v>0.02313</v>
      </c>
      <c r="F15" s="1182" t="n">
        <v>0.00244</v>
      </c>
      <c r="G15" s="1182" t="n">
        <v>0.00132</v>
      </c>
    </row>
    <row r="16" customFormat="false" ht="15.75" hidden="false" customHeight="false" outlineLevel="0" collapsed="false">
      <c r="B16" s="1183" t="n">
        <v>9</v>
      </c>
      <c r="C16" s="1185" t="s">
        <v>676</v>
      </c>
      <c r="D16" s="1182" t="n">
        <v>2.8</v>
      </c>
      <c r="E16" s="1182" t="n">
        <v>0.0027</v>
      </c>
      <c r="F16" s="1182" t="n">
        <v>0.0004</v>
      </c>
      <c r="G16" s="1182" t="n">
        <v>0.00021</v>
      </c>
    </row>
    <row r="17" customFormat="false" ht="15.75" hidden="false" customHeight="false" outlineLevel="0" collapsed="false">
      <c r="B17" s="1183" t="n">
        <v>10</v>
      </c>
      <c r="C17" s="1185" t="s">
        <v>1398</v>
      </c>
      <c r="D17" s="1182" t="n">
        <v>2.66</v>
      </c>
      <c r="E17" s="1182" t="n">
        <v>0.00351</v>
      </c>
      <c r="F17" s="1182" t="n">
        <v>0.00037</v>
      </c>
      <c r="G17" s="1182" t="n">
        <v>0.0002</v>
      </c>
    </row>
    <row r="18" customFormat="false" ht="16.5" hidden="false" customHeight="true" outlineLevel="0" collapsed="false">
      <c r="B18" s="1184"/>
      <c r="C18" s="1180" t="s">
        <v>1399</v>
      </c>
      <c r="D18" s="1180"/>
      <c r="E18" s="1180"/>
      <c r="F18" s="1180"/>
      <c r="G18" s="1180"/>
    </row>
    <row r="19" customFormat="false" ht="15.75" hidden="false" customHeight="false" outlineLevel="0" collapsed="false">
      <c r="B19" s="1183" t="n">
        <v>11</v>
      </c>
      <c r="C19" s="1185" t="s">
        <v>1400</v>
      </c>
      <c r="D19" s="1182" t="n">
        <v>6.2</v>
      </c>
      <c r="E19" s="1182" t="n">
        <v>0.2159</v>
      </c>
      <c r="F19" s="1182" t="n">
        <v>0.02281</v>
      </c>
      <c r="G19" s="1182" t="n">
        <v>0.01233</v>
      </c>
    </row>
    <row r="20" customFormat="false" ht="15.75" hidden="false" customHeight="false" outlineLevel="0" collapsed="false">
      <c r="B20" s="1183" t="n">
        <v>12</v>
      </c>
      <c r="C20" s="1185" t="s">
        <v>1401</v>
      </c>
      <c r="D20" s="1182" t="n">
        <v>5.2</v>
      </c>
      <c r="E20" s="1182" t="n">
        <v>0.12553</v>
      </c>
      <c r="F20" s="1182" t="n">
        <v>0.01326</v>
      </c>
      <c r="G20" s="1182" t="n">
        <v>0.00717</v>
      </c>
    </row>
    <row r="21" customFormat="false" ht="15.75" hidden="false" customHeight="false" outlineLevel="0" collapsed="false">
      <c r="B21" s="1183" t="n">
        <v>13</v>
      </c>
      <c r="C21" s="1185" t="s">
        <v>1402</v>
      </c>
      <c r="D21" s="1182" t="n">
        <v>6.5</v>
      </c>
      <c r="E21" s="1182" t="n">
        <v>0.25486</v>
      </c>
      <c r="F21" s="1182" t="n">
        <v>0.02693</v>
      </c>
      <c r="G21" s="1182" t="n">
        <v>0.01456</v>
      </c>
    </row>
    <row r="22" customFormat="false" ht="15.75" hidden="false" customHeight="false" outlineLevel="0" collapsed="false">
      <c r="B22" s="1183" t="n">
        <v>14</v>
      </c>
      <c r="C22" s="1185" t="s">
        <v>1403</v>
      </c>
      <c r="D22" s="1182" t="n">
        <v>8.6</v>
      </c>
      <c r="E22" s="1182" t="n">
        <v>1.13836</v>
      </c>
      <c r="F22" s="1182" t="n">
        <v>0.12027</v>
      </c>
      <c r="G22" s="1182" t="n">
        <v>0.06502</v>
      </c>
    </row>
    <row r="23" customFormat="false" ht="18.75" hidden="false" customHeight="false" outlineLevel="0" collapsed="false">
      <c r="B23" s="1183" t="n">
        <v>15</v>
      </c>
      <c r="C23" s="1185" t="s">
        <v>1404</v>
      </c>
      <c r="D23" s="1182" t="n">
        <v>5</v>
      </c>
      <c r="E23" s="1182" t="n">
        <v>0.09102</v>
      </c>
      <c r="F23" s="1182" t="n">
        <v>0.00962</v>
      </c>
      <c r="G23" s="1182" t="n">
        <v>0.0052</v>
      </c>
    </row>
    <row r="24" customFormat="false" ht="18.75" hidden="false" customHeight="false" outlineLevel="0" collapsed="false">
      <c r="B24" s="1183" t="n">
        <v>16</v>
      </c>
      <c r="C24" s="1185" t="s">
        <v>1405</v>
      </c>
      <c r="D24" s="1182" t="n">
        <v>7.5</v>
      </c>
      <c r="E24" s="1182" t="n">
        <v>0.42934</v>
      </c>
      <c r="F24" s="1182" t="n">
        <v>0.04536</v>
      </c>
      <c r="G24" s="1182" t="n">
        <v>0.02452</v>
      </c>
    </row>
    <row r="25" customFormat="false" ht="15.75" hidden="false" customHeight="false" outlineLevel="0" collapsed="false">
      <c r="B25" s="1183" t="n">
        <v>17</v>
      </c>
      <c r="C25" s="1185" t="s">
        <v>1406</v>
      </c>
      <c r="D25" s="1182" t="n">
        <v>7.5</v>
      </c>
      <c r="E25" s="1182" t="n">
        <v>0.5965</v>
      </c>
      <c r="F25" s="1182" t="n">
        <v>0.06302</v>
      </c>
      <c r="G25" s="1182" t="n">
        <v>0.03407</v>
      </c>
    </row>
    <row r="26" customFormat="false" ht="15.75" hidden="false" customHeight="false" outlineLevel="0" collapsed="false">
      <c r="B26" s="1183" t="n">
        <v>18</v>
      </c>
      <c r="C26" s="1185" t="s">
        <v>685</v>
      </c>
      <c r="D26" s="1182" t="n">
        <v>7.85</v>
      </c>
      <c r="E26" s="1182" t="n">
        <v>0.98778</v>
      </c>
      <c r="F26" s="1182" t="n">
        <v>0.10436</v>
      </c>
      <c r="G26" s="1182" t="n">
        <v>0.05642</v>
      </c>
    </row>
    <row r="27" customFormat="false" ht="15.75" hidden="false" customHeight="false" outlineLevel="0" collapsed="false">
      <c r="B27" s="1183" t="n">
        <v>19</v>
      </c>
      <c r="C27" s="1185" t="s">
        <v>686</v>
      </c>
      <c r="D27" s="1182" t="n">
        <v>9.525</v>
      </c>
      <c r="E27" s="1182" t="n">
        <v>1.93346</v>
      </c>
      <c r="F27" s="1182" t="n">
        <v>0.20427</v>
      </c>
      <c r="G27" s="1182" t="n">
        <v>0.11044</v>
      </c>
    </row>
    <row r="28" customFormat="false" ht="15.75" hidden="false" customHeight="false" outlineLevel="0" collapsed="false">
      <c r="B28" s="1183" t="n">
        <v>20</v>
      </c>
      <c r="C28" s="1185" t="s">
        <v>1407</v>
      </c>
      <c r="D28" s="1182" t="n">
        <v>6.95</v>
      </c>
      <c r="E28" s="1182" t="n">
        <v>0.45874</v>
      </c>
      <c r="F28" s="1182" t="n">
        <v>0.04846</v>
      </c>
      <c r="G28" s="1182" t="n">
        <v>0.0262</v>
      </c>
    </row>
    <row r="29" customFormat="false" ht="15.75" hidden="false" customHeight="false" outlineLevel="0" collapsed="false">
      <c r="B29" s="1183" t="n">
        <v>21</v>
      </c>
      <c r="C29" s="1185" t="s">
        <v>1408</v>
      </c>
      <c r="D29" s="1182" t="n">
        <v>11.6</v>
      </c>
      <c r="E29" s="1182" t="n">
        <v>1.73818</v>
      </c>
      <c r="F29" s="1182" t="n">
        <v>0.18364</v>
      </c>
      <c r="G29" s="1182" t="n">
        <v>0.09929</v>
      </c>
    </row>
    <row r="30" customFormat="false" ht="15.75" hidden="false" customHeight="false" outlineLevel="0" collapsed="false">
      <c r="B30" s="1183" t="n">
        <v>22</v>
      </c>
      <c r="C30" s="1185" t="s">
        <v>1409</v>
      </c>
      <c r="D30" s="1182" t="n">
        <v>10.1</v>
      </c>
      <c r="E30" s="1182" t="n">
        <v>1.48693</v>
      </c>
      <c r="F30" s="1182" t="n">
        <v>0.15709</v>
      </c>
      <c r="G30" s="1182" t="n">
        <v>0.08493</v>
      </c>
    </row>
    <row r="31" customFormat="false" ht="16.5" hidden="false" customHeight="true" outlineLevel="0" collapsed="false">
      <c r="B31" s="1184"/>
      <c r="C31" s="1180" t="s">
        <v>1410</v>
      </c>
      <c r="D31" s="1180"/>
      <c r="E31" s="1180"/>
      <c r="F31" s="1180"/>
      <c r="G31" s="1180"/>
    </row>
    <row r="32" customFormat="false" ht="15.75" hidden="false" customHeight="false" outlineLevel="0" collapsed="false">
      <c r="B32" s="1183" t="n">
        <v>23</v>
      </c>
      <c r="C32" s="1185" t="s">
        <v>689</v>
      </c>
      <c r="D32" s="1182" t="n">
        <v>10</v>
      </c>
      <c r="E32" s="1182" t="n">
        <v>0.2159</v>
      </c>
      <c r="F32" s="1182" t="n">
        <v>0.02281</v>
      </c>
      <c r="G32" s="1182" t="n">
        <v>0.01233</v>
      </c>
    </row>
    <row r="33" customFormat="false" ht="15.75" hidden="false" customHeight="false" outlineLevel="0" collapsed="false">
      <c r="B33" s="1183" t="n">
        <v>24</v>
      </c>
      <c r="C33" s="1185" t="s">
        <v>1411</v>
      </c>
      <c r="D33" s="1182" t="n">
        <v>18.6</v>
      </c>
      <c r="E33" s="1182" t="n">
        <v>29.60979</v>
      </c>
      <c r="F33" s="1182" t="n">
        <v>3.39647</v>
      </c>
      <c r="G33" s="1182" t="n">
        <v>1.83636</v>
      </c>
    </row>
    <row r="34" customFormat="false" ht="15.75" hidden="false" customHeight="false" outlineLevel="0" collapsed="false">
      <c r="B34" s="1183" t="n">
        <v>25</v>
      </c>
      <c r="C34" s="1185" t="s">
        <v>1412</v>
      </c>
      <c r="D34" s="1182" t="n">
        <v>13.5</v>
      </c>
      <c r="E34" s="1182" t="n">
        <v>7.46483</v>
      </c>
      <c r="F34" s="1182" t="n">
        <v>0.78865</v>
      </c>
      <c r="G34" s="1182" t="n">
        <v>0.4264</v>
      </c>
    </row>
    <row r="35" customFormat="false" ht="15.75" hidden="false" customHeight="false" outlineLevel="0" collapsed="false">
      <c r="B35" s="1183" t="n">
        <v>26</v>
      </c>
      <c r="C35" s="1185" t="s">
        <v>1413</v>
      </c>
      <c r="D35" s="1182" t="n">
        <v>18</v>
      </c>
      <c r="E35" s="1182" t="n">
        <v>22.5343</v>
      </c>
      <c r="F35" s="1182" t="n">
        <v>2.38073</v>
      </c>
      <c r="G35" s="1182" t="n">
        <v>1.28718</v>
      </c>
    </row>
    <row r="36" customFormat="false" ht="15.75" hidden="false" customHeight="false" outlineLevel="0" collapsed="false">
      <c r="B36" s="1183" t="n">
        <v>27</v>
      </c>
      <c r="C36" s="1185" t="s">
        <v>1414</v>
      </c>
      <c r="D36" s="1182" t="n">
        <v>8</v>
      </c>
      <c r="E36" s="1182" t="n">
        <v>0.77898</v>
      </c>
      <c r="F36" s="1182" t="n">
        <v>0.0823</v>
      </c>
      <c r="G36" s="1182" t="n">
        <v>0.0445</v>
      </c>
    </row>
    <row r="37" customFormat="false" ht="15.75" hidden="false" customHeight="false" outlineLevel="0" collapsed="false">
      <c r="B37" s="1183" t="n">
        <v>28</v>
      </c>
      <c r="C37" s="1185" t="s">
        <v>1415</v>
      </c>
      <c r="D37" s="1182" t="n">
        <v>12</v>
      </c>
      <c r="E37" s="1182" t="n">
        <v>3.73722</v>
      </c>
      <c r="F37" s="1182" t="n">
        <v>0.39483</v>
      </c>
      <c r="G37" s="1182" t="n">
        <v>0.21347</v>
      </c>
    </row>
    <row r="38" customFormat="false" ht="15.75" hidden="false" customHeight="false" outlineLevel="0" collapsed="false">
      <c r="B38" s="1183" t="n">
        <v>29</v>
      </c>
      <c r="C38" s="1185" t="s">
        <v>1416</v>
      </c>
      <c r="D38" s="1182" t="n">
        <v>18</v>
      </c>
      <c r="E38" s="1182" t="n">
        <v>20.17607</v>
      </c>
      <c r="F38" s="1182" t="n">
        <v>2.13158</v>
      </c>
      <c r="G38" s="1182" t="n">
        <v>1.15248</v>
      </c>
    </row>
    <row r="39" customFormat="false" ht="15.75" hidden="false" customHeight="false" outlineLevel="0" collapsed="false">
      <c r="B39" s="1183" t="n">
        <v>30</v>
      </c>
      <c r="C39" s="1185" t="s">
        <v>1417</v>
      </c>
      <c r="D39" s="1182" t="n">
        <v>26</v>
      </c>
      <c r="E39" s="1182" t="n">
        <v>28.90325</v>
      </c>
      <c r="F39" s="1182" t="n">
        <v>3.34241</v>
      </c>
      <c r="G39" s="1182" t="n">
        <v>1.80071</v>
      </c>
    </row>
    <row r="40" customFormat="false" ht="18.75" hidden="false" customHeight="false" outlineLevel="0" collapsed="false">
      <c r="B40" s="1183" t="n">
        <v>31</v>
      </c>
      <c r="C40" s="1185" t="s">
        <v>1418</v>
      </c>
      <c r="D40" s="1182" t="n">
        <v>10.5</v>
      </c>
      <c r="E40" s="1182" t="n">
        <v>2.33612</v>
      </c>
      <c r="F40" s="1182" t="n">
        <v>0.24681</v>
      </c>
      <c r="G40" s="1182" t="n">
        <v>0.13344</v>
      </c>
    </row>
    <row r="41" customFormat="false" ht="18.75" hidden="false" customHeight="false" outlineLevel="0" collapsed="false">
      <c r="B41" s="1183" t="n">
        <v>32</v>
      </c>
      <c r="C41" s="1185" t="s">
        <v>1419</v>
      </c>
      <c r="D41" s="1182" t="n">
        <v>13.5</v>
      </c>
      <c r="E41" s="1182" t="n">
        <v>6.81391</v>
      </c>
      <c r="F41" s="1182" t="n">
        <v>0.71988</v>
      </c>
      <c r="G41" s="1182" t="n">
        <v>0.38922</v>
      </c>
    </row>
    <row r="42" customFormat="false" ht="18.75" hidden="false" customHeight="false" outlineLevel="0" collapsed="false">
      <c r="B42" s="1183" t="n">
        <v>33</v>
      </c>
      <c r="C42" s="1185" t="s">
        <v>1420</v>
      </c>
      <c r="D42" s="1182" t="n">
        <v>18</v>
      </c>
      <c r="E42" s="1182" t="n">
        <v>19.13177</v>
      </c>
      <c r="F42" s="1182" t="n">
        <v>2.02125</v>
      </c>
      <c r="G42" s="1182" t="n">
        <v>1.09282</v>
      </c>
    </row>
    <row r="43" customFormat="false" ht="15.75" hidden="false" customHeight="false" outlineLevel="0" collapsed="false">
      <c r="B43" s="1186" t="n">
        <v>34</v>
      </c>
      <c r="C43" s="1187" t="s">
        <v>1421</v>
      </c>
      <c r="D43" s="1188" t="n">
        <v>9.5</v>
      </c>
      <c r="E43" s="1188" t="n">
        <v>1.41055</v>
      </c>
      <c r="F43" s="1188" t="n">
        <v>0.14902</v>
      </c>
      <c r="G43" s="1188" t="n">
        <v>0.08057</v>
      </c>
    </row>
    <row r="44" customFormat="false" ht="15.75" hidden="false" customHeight="false" outlineLevel="0" collapsed="false">
      <c r="B44" s="1180" t="n">
        <v>35</v>
      </c>
      <c r="C44" s="1189" t="s">
        <v>1422</v>
      </c>
      <c r="D44" s="1190" t="n">
        <v>20.5</v>
      </c>
      <c r="E44" s="1190" t="n">
        <v>32.6945</v>
      </c>
      <c r="F44" s="1190" t="n">
        <v>3.45414</v>
      </c>
      <c r="G44" s="1190" t="n">
        <v>1.86754</v>
      </c>
    </row>
    <row r="45" customFormat="false" ht="15.75" hidden="false" customHeight="false" outlineLevel="0" collapsed="false">
      <c r="B45" s="1183" t="n">
        <v>36</v>
      </c>
      <c r="C45" s="1185" t="s">
        <v>1423</v>
      </c>
      <c r="D45" s="1182" t="n">
        <v>12</v>
      </c>
      <c r="E45" s="1182" t="n">
        <v>4.65051</v>
      </c>
      <c r="F45" s="1182" t="n">
        <v>0.49132</v>
      </c>
      <c r="G45" s="1182" t="n">
        <v>0.26564</v>
      </c>
    </row>
    <row r="46" customFormat="false" ht="15.75" hidden="false" customHeight="false" outlineLevel="0" collapsed="false">
      <c r="B46" s="1183" t="n">
        <v>37</v>
      </c>
      <c r="C46" s="1185" t="s">
        <v>1424</v>
      </c>
      <c r="D46" s="1182" t="n">
        <v>16.5</v>
      </c>
      <c r="E46" s="1182" t="n">
        <v>13.23152</v>
      </c>
      <c r="F46" s="1182" t="n">
        <v>1.3979</v>
      </c>
      <c r="G46" s="1182" t="n">
        <v>0.7558</v>
      </c>
    </row>
    <row r="47" customFormat="false" ht="15.75" hidden="false" customHeight="false" outlineLevel="0" collapsed="false">
      <c r="B47" s="1183" t="n">
        <v>38</v>
      </c>
      <c r="C47" s="1185" t="s">
        <v>1425</v>
      </c>
      <c r="D47" s="1182" t="n">
        <v>26</v>
      </c>
      <c r="E47" s="1182" t="n">
        <v>38.0383</v>
      </c>
      <c r="F47" s="1182" t="n">
        <v>4.18966</v>
      </c>
      <c r="G47" s="1182" t="n">
        <v>2.26521</v>
      </c>
    </row>
    <row r="48" customFormat="false" ht="15.75" hidden="false" customHeight="false" outlineLevel="0" collapsed="false">
      <c r="B48" s="1183" t="n">
        <v>39</v>
      </c>
      <c r="C48" s="1185" t="s">
        <v>688</v>
      </c>
      <c r="D48" s="1182" t="n">
        <v>11</v>
      </c>
      <c r="E48" s="1182" t="n">
        <v>3.5933</v>
      </c>
      <c r="F48" s="1182" t="n">
        <v>0.37963</v>
      </c>
      <c r="G48" s="1182" t="n">
        <v>0.20525</v>
      </c>
    </row>
    <row r="49" customFormat="false" ht="15.75" hidden="false" customHeight="false" outlineLevel="0" collapsed="false">
      <c r="B49" s="1183" t="n">
        <v>40</v>
      </c>
      <c r="C49" s="1185" t="s">
        <v>1426</v>
      </c>
      <c r="D49" s="1182" t="n">
        <v>17.84</v>
      </c>
      <c r="E49" s="1182" t="n">
        <v>4.5139</v>
      </c>
      <c r="F49" s="1182" t="n">
        <v>0.53216</v>
      </c>
      <c r="G49" s="1182" t="n">
        <v>0.28772</v>
      </c>
    </row>
    <row r="50" customFormat="false" ht="15.75" hidden="false" customHeight="false" outlineLevel="0" collapsed="false">
      <c r="B50" s="1183" t="n">
        <v>41</v>
      </c>
      <c r="C50" s="1185" t="s">
        <v>1427</v>
      </c>
      <c r="D50" s="1182" t="n">
        <v>15.31</v>
      </c>
      <c r="E50" s="1182" t="n">
        <v>1.87618</v>
      </c>
      <c r="F50" s="1182" t="n">
        <v>0.21586</v>
      </c>
      <c r="G50" s="1182" t="n">
        <v>0.11671</v>
      </c>
    </row>
    <row r="51" customFormat="false" ht="15.75" hidden="false" customHeight="false" outlineLevel="0" collapsed="false">
      <c r="B51" s="1183" t="n">
        <v>42</v>
      </c>
      <c r="C51" s="1185" t="s">
        <v>1428</v>
      </c>
      <c r="D51" s="1182" t="n">
        <v>19</v>
      </c>
      <c r="E51" s="1182" t="n">
        <v>6.72356</v>
      </c>
      <c r="F51" s="1182" t="n">
        <v>0.8049</v>
      </c>
      <c r="G51" s="1182" t="n">
        <v>0.43518</v>
      </c>
    </row>
    <row r="52" customFormat="false" ht="15.75" hidden="false" customHeight="false" outlineLevel="0" collapsed="false">
      <c r="B52" s="1183" t="n">
        <v>43</v>
      </c>
      <c r="C52" s="1185" t="s">
        <v>1429</v>
      </c>
      <c r="D52" s="1182" t="n">
        <v>22.2</v>
      </c>
      <c r="E52" s="1182" t="n">
        <v>13.63445</v>
      </c>
      <c r="F52" s="1182" t="n">
        <v>1.653</v>
      </c>
      <c r="G52" s="1182" t="n">
        <v>0.89372</v>
      </c>
    </row>
    <row r="53" customFormat="false" ht="15.75" hidden="false" customHeight="false" outlineLevel="0" collapsed="false">
      <c r="B53" s="1183" t="n">
        <v>44</v>
      </c>
      <c r="C53" s="1185" t="s">
        <v>1430</v>
      </c>
      <c r="D53" s="1182" t="n">
        <v>24.88</v>
      </c>
      <c r="E53" s="1182" t="n">
        <v>25.94092</v>
      </c>
      <c r="F53" s="1182" t="n">
        <v>3.16353</v>
      </c>
      <c r="G53" s="1182" t="n">
        <v>1.71041</v>
      </c>
    </row>
    <row r="54" customFormat="false" ht="15.75" hidden="false" customHeight="false" outlineLevel="0" collapsed="false">
      <c r="B54" s="1183" t="n">
        <v>45</v>
      </c>
      <c r="C54" s="1185" t="s">
        <v>691</v>
      </c>
      <c r="D54" s="1182" t="n">
        <v>16.38</v>
      </c>
      <c r="E54" s="1182" t="n">
        <v>10.77553</v>
      </c>
      <c r="F54" s="1182" t="n">
        <v>1.13842</v>
      </c>
      <c r="G54" s="1182" t="n">
        <v>0.61551</v>
      </c>
    </row>
    <row r="55" customFormat="false" ht="15.75" hidden="false" customHeight="false" outlineLevel="0" collapsed="false">
      <c r="B55" s="1183" t="n">
        <v>46</v>
      </c>
      <c r="C55" s="1185" t="s">
        <v>1431</v>
      </c>
      <c r="D55" s="1182" t="n">
        <v>18</v>
      </c>
      <c r="E55" s="1182" t="n">
        <v>18.9289</v>
      </c>
      <c r="F55" s="1182" t="n">
        <v>1.99982</v>
      </c>
      <c r="G55" s="1182" t="n">
        <v>1.08124</v>
      </c>
    </row>
    <row r="56" customFormat="false" ht="15.75" hidden="false" customHeight="false" outlineLevel="0" collapsed="false">
      <c r="B56" s="1183" t="n">
        <v>47</v>
      </c>
      <c r="C56" s="1185" t="s">
        <v>1432</v>
      </c>
      <c r="D56" s="1182" t="n">
        <v>26.5</v>
      </c>
      <c r="E56" s="1182" t="n">
        <v>28.95383</v>
      </c>
      <c r="F56" s="1182" t="n">
        <v>3.48749</v>
      </c>
      <c r="G56" s="1182" t="n">
        <v>1.88557</v>
      </c>
    </row>
    <row r="57" customFormat="false" ht="15.75" hidden="false" customHeight="false" outlineLevel="0" collapsed="false">
      <c r="B57" s="1183" t="n">
        <v>48</v>
      </c>
      <c r="C57" s="1185" t="s">
        <v>1433</v>
      </c>
      <c r="D57" s="1182" t="n">
        <v>14.95</v>
      </c>
      <c r="E57" s="1182" t="n">
        <v>1.86259</v>
      </c>
      <c r="F57" s="1182" t="n">
        <v>0.21626</v>
      </c>
      <c r="G57" s="1182" t="n">
        <v>0.11693</v>
      </c>
    </row>
    <row r="58" customFormat="false" ht="16.5" hidden="false" customHeight="true" outlineLevel="0" collapsed="false">
      <c r="B58" s="1184"/>
      <c r="C58" s="1180" t="s">
        <v>1434</v>
      </c>
      <c r="D58" s="1180"/>
      <c r="E58" s="1180"/>
      <c r="F58" s="1180"/>
      <c r="G58" s="1180"/>
    </row>
    <row r="59" customFormat="false" ht="15.75" hidden="false" customHeight="false" outlineLevel="0" collapsed="false">
      <c r="B59" s="1183" t="n">
        <v>49</v>
      </c>
      <c r="C59" s="1185" t="s">
        <v>1435</v>
      </c>
      <c r="D59" s="1182" t="n">
        <v>40</v>
      </c>
      <c r="E59" s="1191" t="n">
        <v>27.53781</v>
      </c>
      <c r="F59" s="1191" t="n">
        <v>3.09713</v>
      </c>
      <c r="G59" s="1191" t="n">
        <v>1.67451</v>
      </c>
    </row>
    <row r="60" customFormat="false" ht="15" hidden="false" customHeight="true" outlineLevel="0" collapsed="false">
      <c r="B60" s="1183" t="n">
        <v>50</v>
      </c>
      <c r="C60" s="1185" t="s">
        <v>1436</v>
      </c>
      <c r="D60" s="1182" t="n">
        <v>8</v>
      </c>
      <c r="E60" s="1182" t="n">
        <v>0.12943</v>
      </c>
      <c r="F60" s="1182" t="n">
        <v>0.01371</v>
      </c>
      <c r="G60" s="1182" t="n">
        <v>0.00741</v>
      </c>
    </row>
    <row r="61" customFormat="false" ht="15.75" hidden="false" customHeight="false" outlineLevel="0" collapsed="false">
      <c r="B61" s="1183" t="n">
        <v>51</v>
      </c>
      <c r="C61" s="1185" t="s">
        <v>1437</v>
      </c>
      <c r="D61" s="1182" t="n">
        <v>41</v>
      </c>
      <c r="E61" s="1182" t="n">
        <v>26.25844</v>
      </c>
      <c r="F61" s="1182" t="n">
        <v>2.87738</v>
      </c>
      <c r="G61" s="1182" t="n">
        <v>1.55571</v>
      </c>
    </row>
    <row r="62" customFormat="false" ht="18" hidden="false" customHeight="true" outlineLevel="0" collapsed="false">
      <c r="B62" s="1192" t="n">
        <v>52</v>
      </c>
      <c r="C62" s="1193" t="s">
        <v>1438</v>
      </c>
      <c r="D62" s="1192" t="n">
        <v>40</v>
      </c>
      <c r="E62" s="1193" t="n">
        <v>27.53781</v>
      </c>
      <c r="F62" s="1193" t="n">
        <v>3.09713</v>
      </c>
      <c r="G62" s="1193" t="n">
        <v>1.67451</v>
      </c>
    </row>
    <row r="63" customFormat="false" ht="18" hidden="false" customHeight="true" outlineLevel="0" collapsed="false">
      <c r="B63" s="1192" t="n">
        <v>53</v>
      </c>
      <c r="C63" s="1193" t="s">
        <v>1439</v>
      </c>
      <c r="D63" s="1192" t="n">
        <v>42</v>
      </c>
      <c r="E63" s="1192" t="n">
        <v>32.03608</v>
      </c>
      <c r="F63" s="1192" t="n">
        <v>3.51963</v>
      </c>
      <c r="G63" s="1192" t="n">
        <v>1.90295</v>
      </c>
    </row>
    <row r="64" customFormat="false" ht="15.75" hidden="false" customHeight="true" outlineLevel="0" collapsed="false">
      <c r="B64" s="1192" t="n">
        <v>54</v>
      </c>
      <c r="C64" s="1193" t="s">
        <v>1440</v>
      </c>
      <c r="D64" s="1192" t="n">
        <v>49</v>
      </c>
      <c r="E64" s="1192" t="n">
        <v>31.28339</v>
      </c>
      <c r="F64" s="1192" t="n">
        <v>3.58619</v>
      </c>
      <c r="G64" s="1193" t="n">
        <v>1.93893</v>
      </c>
    </row>
    <row r="65" customFormat="false" ht="15.75" hidden="false" customHeight="false" outlineLevel="0" collapsed="false">
      <c r="B65" s="1183" t="n">
        <v>55</v>
      </c>
      <c r="C65" s="1185" t="s">
        <v>1441</v>
      </c>
      <c r="D65" s="1182" t="n">
        <v>17.53</v>
      </c>
      <c r="E65" s="1182" t="n">
        <v>2.26947</v>
      </c>
      <c r="F65" s="1182" t="n">
        <v>0.2398</v>
      </c>
      <c r="G65" s="1182" t="n">
        <v>0.12965</v>
      </c>
    </row>
    <row r="66" customFormat="false" ht="15.75" hidden="false" customHeight="false" outlineLevel="0" collapsed="false">
      <c r="B66" s="1183" t="n">
        <v>56</v>
      </c>
      <c r="C66" s="1185" t="s">
        <v>1442</v>
      </c>
      <c r="D66" s="1182" t="n">
        <v>19</v>
      </c>
      <c r="E66" s="1182" t="n">
        <v>3.92931</v>
      </c>
      <c r="F66" s="1182" t="n">
        <v>0.41517</v>
      </c>
      <c r="G66" s="1182" t="n">
        <v>0.22447</v>
      </c>
    </row>
    <row r="67" customFormat="false" ht="15.75" hidden="false" customHeight="false" outlineLevel="0" collapsed="false">
      <c r="B67" s="1183" t="n">
        <v>57</v>
      </c>
      <c r="C67" s="1185" t="s">
        <v>1443</v>
      </c>
      <c r="D67" s="1182" t="n">
        <v>26.81</v>
      </c>
      <c r="E67" s="1182" t="n">
        <v>3.53464</v>
      </c>
      <c r="F67" s="1182" t="n">
        <v>0.39108</v>
      </c>
      <c r="G67" s="1182" t="n">
        <v>0.21144</v>
      </c>
    </row>
    <row r="68" customFormat="false" ht="15.75" hidden="false" customHeight="false" outlineLevel="0" collapsed="false">
      <c r="B68" s="1183" t="n">
        <v>58</v>
      </c>
      <c r="C68" s="1185" t="s">
        <v>1444</v>
      </c>
      <c r="D68" s="1182" t="n">
        <v>33</v>
      </c>
      <c r="E68" s="1182" t="n">
        <v>10.6647</v>
      </c>
      <c r="F68" s="1182" t="n">
        <v>1.22139</v>
      </c>
      <c r="G68" s="1182" t="n">
        <v>0.66037</v>
      </c>
    </row>
    <row r="69" customFormat="false" ht="15.75" hidden="false" customHeight="false" outlineLevel="0" collapsed="false">
      <c r="B69" s="1183" t="n">
        <v>59</v>
      </c>
      <c r="C69" s="1185" t="s">
        <v>1445</v>
      </c>
      <c r="D69" s="1182" t="n">
        <v>28</v>
      </c>
      <c r="E69" s="1182" t="n">
        <v>12.4671</v>
      </c>
      <c r="F69" s="1182" t="n">
        <v>1.31767</v>
      </c>
      <c r="G69" s="1182" t="n">
        <v>0.71242</v>
      </c>
    </row>
    <row r="70" customFormat="false" ht="15.75" hidden="false" customHeight="false" outlineLevel="0" collapsed="false">
      <c r="B70" s="1183" t="n">
        <v>60</v>
      </c>
      <c r="C70" s="1185" t="s">
        <v>1446</v>
      </c>
      <c r="D70" s="1182" t="n">
        <v>42</v>
      </c>
      <c r="E70" s="1182" t="n">
        <v>36.12873</v>
      </c>
      <c r="F70" s="1182" t="n">
        <v>4.28435</v>
      </c>
      <c r="G70" s="1182" t="n">
        <v>2.31641</v>
      </c>
    </row>
    <row r="71" customFormat="false" ht="15.75" hidden="false" customHeight="false" outlineLevel="0" collapsed="false">
      <c r="B71" s="1183" t="n">
        <v>61</v>
      </c>
      <c r="C71" s="1185" t="s">
        <v>1447</v>
      </c>
      <c r="D71" s="1182" t="n">
        <v>44.5</v>
      </c>
      <c r="E71" s="1182" t="n">
        <v>33.37925</v>
      </c>
      <c r="F71" s="1182" t="n">
        <v>4.00675</v>
      </c>
      <c r="G71" s="1182" t="n">
        <v>2.16632</v>
      </c>
    </row>
    <row r="72" customFormat="false" ht="16.5" hidden="false" customHeight="true" outlineLevel="0" collapsed="false">
      <c r="B72" s="1184"/>
      <c r="C72" s="1180" t="s">
        <v>1448</v>
      </c>
      <c r="D72" s="1180"/>
      <c r="E72" s="1180"/>
      <c r="F72" s="1180"/>
      <c r="G72" s="1180"/>
    </row>
    <row r="73" customFormat="false" ht="15.75" hidden="false" customHeight="false" outlineLevel="0" collapsed="false">
      <c r="B73" s="1183" t="n">
        <v>62</v>
      </c>
      <c r="C73" s="1182" t="s">
        <v>1449</v>
      </c>
      <c r="D73" s="1182" t="n">
        <v>44.86</v>
      </c>
      <c r="E73" s="1194" t="n">
        <v>39.37173</v>
      </c>
      <c r="F73" s="1194" t="n">
        <v>4.53016</v>
      </c>
      <c r="G73" s="1194" t="n">
        <v>2.44931</v>
      </c>
    </row>
    <row r="74" customFormat="false" ht="15" hidden="false" customHeight="true" outlineLevel="0" collapsed="false">
      <c r="B74" s="1192" t="n">
        <v>63</v>
      </c>
      <c r="C74" s="1192" t="s">
        <v>1450</v>
      </c>
      <c r="D74" s="1192" t="n">
        <v>42.3</v>
      </c>
      <c r="E74" s="1194" t="n">
        <v>36.12873</v>
      </c>
      <c r="F74" s="1194" t="n">
        <v>4.28435</v>
      </c>
      <c r="G74" s="1194" t="n">
        <v>2.31641</v>
      </c>
    </row>
    <row r="75" customFormat="false" ht="15.75" hidden="false" customHeight="false" outlineLevel="0" collapsed="false">
      <c r="B75" s="1183" t="n">
        <v>64</v>
      </c>
      <c r="C75" s="1182" t="s">
        <v>1451</v>
      </c>
      <c r="D75" s="1182" t="n">
        <v>41.91</v>
      </c>
      <c r="E75" s="1182" t="n">
        <v>32.66671</v>
      </c>
      <c r="F75" s="1182" t="n">
        <v>3.70482</v>
      </c>
      <c r="G75" s="1182" t="n">
        <v>2.00307</v>
      </c>
    </row>
    <row r="76" customFormat="false" ht="30" hidden="false" customHeight="true" outlineLevel="0" collapsed="false">
      <c r="B76" s="1192" t="n">
        <v>65</v>
      </c>
      <c r="C76" s="1195" t="s">
        <v>1452</v>
      </c>
      <c r="D76" s="1192" t="n">
        <v>38.6</v>
      </c>
      <c r="E76" s="1192" t="n">
        <v>39.56168</v>
      </c>
      <c r="F76" s="1192" t="n">
        <v>4.26789</v>
      </c>
      <c r="G76" s="1192" t="n">
        <v>2.30751</v>
      </c>
    </row>
    <row r="77" customFormat="false" ht="32.25" hidden="false" customHeight="true" outlineLevel="0" collapsed="false">
      <c r="B77" s="1192" t="n">
        <v>66</v>
      </c>
      <c r="C77" s="1195" t="s">
        <v>1453</v>
      </c>
      <c r="D77" s="1192" t="n">
        <v>38</v>
      </c>
      <c r="E77" s="1192" t="n">
        <v>39.09639</v>
      </c>
      <c r="F77" s="1192" t="n">
        <v>4.23122</v>
      </c>
      <c r="G77" s="1192" t="n">
        <v>2.28768</v>
      </c>
    </row>
    <row r="78" customFormat="false" ht="30" hidden="false" customHeight="true" outlineLevel="0" collapsed="false">
      <c r="B78" s="1192" t="n">
        <v>67</v>
      </c>
      <c r="C78" s="1195" t="s">
        <v>1454</v>
      </c>
      <c r="D78" s="1192" t="n">
        <v>47</v>
      </c>
      <c r="E78" s="1192" t="n">
        <v>32.71233</v>
      </c>
      <c r="F78" s="1192" t="n">
        <v>3.93679</v>
      </c>
      <c r="G78" s="1192" t="n">
        <v>2.12849</v>
      </c>
    </row>
    <row r="79" customFormat="false" ht="18" hidden="false" customHeight="true" outlineLevel="0" collapsed="false">
      <c r="B79" s="1183" t="n">
        <v>68</v>
      </c>
      <c r="C79" s="1185" t="s">
        <v>1455</v>
      </c>
      <c r="D79" s="1182" t="n">
        <v>37.36</v>
      </c>
      <c r="E79" s="1182" t="n">
        <v>21.39386</v>
      </c>
      <c r="F79" s="1182" t="n">
        <v>2.33109</v>
      </c>
      <c r="G79" s="1182" t="n">
        <v>1.26034</v>
      </c>
    </row>
    <row r="80" customFormat="false" ht="15.75" hidden="false" customHeight="true" outlineLevel="0" collapsed="false">
      <c r="B80" s="1183" t="n">
        <v>69</v>
      </c>
      <c r="C80" s="1185" t="s">
        <v>1456</v>
      </c>
      <c r="D80" s="1182" t="n">
        <v>41.51</v>
      </c>
      <c r="E80" s="1182" t="n">
        <v>30.65331</v>
      </c>
      <c r="F80" s="1182" t="n">
        <v>3.49879</v>
      </c>
      <c r="G80" s="1182" t="n">
        <v>1.89168</v>
      </c>
    </row>
    <row r="81" customFormat="false" ht="15.75" hidden="false" customHeight="false" outlineLevel="0" collapsed="false">
      <c r="B81" s="1183" t="n">
        <v>70</v>
      </c>
      <c r="C81" s="1185" t="s">
        <v>1457</v>
      </c>
      <c r="D81" s="1182" t="n">
        <v>25.75</v>
      </c>
      <c r="E81" s="1182" t="n">
        <v>3.25912</v>
      </c>
      <c r="F81" s="1182" t="n">
        <v>0.37358</v>
      </c>
      <c r="G81" s="1182" t="n">
        <v>0.20198</v>
      </c>
    </row>
    <row r="82" customFormat="false" ht="15.75" hidden="false" customHeight="false" outlineLevel="0" collapsed="false">
      <c r="B82" s="1183" t="n">
        <v>71</v>
      </c>
      <c r="C82" s="1185" t="s">
        <v>1458</v>
      </c>
      <c r="D82" s="1182" t="n">
        <v>33.02</v>
      </c>
      <c r="E82" s="1182" t="n">
        <v>11.55628</v>
      </c>
      <c r="F82" s="1182" t="n">
        <v>1.35961</v>
      </c>
      <c r="G82" s="1182" t="n">
        <v>0.73509</v>
      </c>
    </row>
    <row r="83" customFormat="false" ht="15.75" hidden="false" customHeight="false" outlineLevel="0" collapsed="false">
      <c r="B83" s="1183" t="n">
        <v>72</v>
      </c>
      <c r="C83" s="1185" t="s">
        <v>1459</v>
      </c>
      <c r="D83" s="1182" t="n">
        <v>32.35</v>
      </c>
      <c r="E83" s="1182" t="n">
        <v>24.12038</v>
      </c>
      <c r="F83" s="1182" t="n">
        <v>2.71383</v>
      </c>
      <c r="G83" s="1182" t="n">
        <v>1.46728</v>
      </c>
    </row>
    <row r="84" customFormat="false" ht="15.75" hidden="false" customHeight="false" outlineLevel="0" collapsed="false">
      <c r="B84" s="1183" t="n">
        <v>73</v>
      </c>
      <c r="C84" s="1185" t="s">
        <v>1460</v>
      </c>
      <c r="D84" s="1182" t="n">
        <v>33.85</v>
      </c>
      <c r="E84" s="1182" t="n">
        <v>24.04488</v>
      </c>
      <c r="F84" s="1182" t="n">
        <v>2.6978</v>
      </c>
      <c r="G84" s="1182" t="n">
        <v>1.45861</v>
      </c>
    </row>
    <row r="85" customFormat="false" ht="15.75" hidden="false" customHeight="false" outlineLevel="0" collapsed="false">
      <c r="B85" s="1183" t="n">
        <v>74</v>
      </c>
      <c r="C85" s="1185" t="s">
        <v>1461</v>
      </c>
      <c r="D85" s="1182" t="n">
        <v>26.15</v>
      </c>
      <c r="E85" s="1182" t="n">
        <v>8.91922</v>
      </c>
      <c r="F85" s="1182" t="n">
        <v>0.95395</v>
      </c>
      <c r="G85" s="1182" t="n">
        <v>0.51577</v>
      </c>
    </row>
    <row r="86" customFormat="false" ht="15.75" hidden="false" customHeight="false" outlineLevel="0" collapsed="false">
      <c r="B86" s="1183" t="n">
        <v>75</v>
      </c>
      <c r="C86" s="1185" t="s">
        <v>1462</v>
      </c>
      <c r="D86" s="1182" t="n">
        <v>25.35</v>
      </c>
      <c r="E86" s="1182" t="n">
        <v>19.53441</v>
      </c>
      <c r="F86" s="1182" t="n">
        <v>2.0638</v>
      </c>
      <c r="G86" s="1182" t="n">
        <v>1.11583</v>
      </c>
    </row>
    <row r="87" customFormat="false" ht="15.75" hidden="false" customHeight="false" outlineLevel="0" collapsed="false">
      <c r="B87" s="1183" t="n">
        <v>76</v>
      </c>
      <c r="C87" s="1185" t="s">
        <v>1463</v>
      </c>
      <c r="D87" s="1182" t="n">
        <v>26.2</v>
      </c>
      <c r="E87" s="1182" t="n">
        <v>21.15523</v>
      </c>
      <c r="F87" s="1182" t="n">
        <v>2.23504</v>
      </c>
      <c r="G87" s="1182" t="n">
        <v>1.20841</v>
      </c>
    </row>
    <row r="88" customFormat="false" ht="15.75" hidden="false" customHeight="false" outlineLevel="0" collapsed="false">
      <c r="B88" s="1183" t="n">
        <v>77</v>
      </c>
      <c r="C88" s="1185" t="s">
        <v>1464</v>
      </c>
      <c r="D88" s="1182" t="n">
        <v>48.6</v>
      </c>
      <c r="E88" s="1182" t="n">
        <v>32.30354</v>
      </c>
      <c r="F88" s="1182" t="n">
        <v>3.82423</v>
      </c>
      <c r="G88" s="1182" t="n">
        <v>2.06763</v>
      </c>
    </row>
    <row r="89" customFormat="false" ht="15.75" hidden="false" customHeight="false" outlineLevel="0" collapsed="false">
      <c r="B89" s="1183" t="n">
        <v>78</v>
      </c>
      <c r="C89" s="1185" t="s">
        <v>1465</v>
      </c>
      <c r="D89" s="1182" t="n">
        <v>44.6</v>
      </c>
      <c r="E89" s="1182" t="n">
        <v>39.37173</v>
      </c>
      <c r="F89" s="1182" t="n">
        <v>4.53016</v>
      </c>
      <c r="G89" s="1182" t="n">
        <v>2.44931</v>
      </c>
    </row>
    <row r="90" customFormat="false" ht="15.75" hidden="false" customHeight="false" outlineLevel="0" collapsed="false">
      <c r="B90" s="1183" t="n">
        <v>79</v>
      </c>
      <c r="C90" s="1185" t="s">
        <v>1466</v>
      </c>
      <c r="D90" s="1182" t="n">
        <v>48.6</v>
      </c>
      <c r="E90" s="1182" t="n">
        <v>33.80129</v>
      </c>
      <c r="F90" s="1182" t="n">
        <v>4.03904</v>
      </c>
      <c r="G90" s="1182" t="n">
        <v>2.18377</v>
      </c>
    </row>
    <row r="91" customFormat="false" ht="15.75" hidden="false" customHeight="false" outlineLevel="0" collapsed="false">
      <c r="B91" s="1183" t="n">
        <v>80</v>
      </c>
      <c r="C91" s="1185" t="s">
        <v>1467</v>
      </c>
      <c r="D91" s="1182" t="n">
        <v>28.15</v>
      </c>
      <c r="E91" s="1182" t="n">
        <v>13.17452</v>
      </c>
      <c r="F91" s="1182" t="n">
        <v>1.42111</v>
      </c>
      <c r="G91" s="1182" t="n">
        <v>0.76834</v>
      </c>
    </row>
    <row r="92" customFormat="false" ht="16.5" hidden="false" customHeight="true" outlineLevel="0" collapsed="false">
      <c r="B92" s="1184"/>
      <c r="C92" s="1180" t="s">
        <v>718</v>
      </c>
      <c r="D92" s="1180"/>
      <c r="E92" s="1180"/>
      <c r="F92" s="1180"/>
      <c r="G92" s="1180"/>
    </row>
    <row r="93" customFormat="false" ht="15.75" hidden="false" customHeight="false" outlineLevel="0" collapsed="false">
      <c r="B93" s="1183" t="n">
        <v>81</v>
      </c>
      <c r="C93" s="1185" t="s">
        <v>1468</v>
      </c>
      <c r="D93" s="1182" t="n">
        <v>8.1</v>
      </c>
      <c r="E93" s="1182" t="n">
        <v>0.77898</v>
      </c>
      <c r="F93" s="1182" t="n">
        <v>0.0823</v>
      </c>
      <c r="G93" s="1182" t="n">
        <v>0.0445</v>
      </c>
    </row>
    <row r="94" customFormat="false" ht="15.75" hidden="false" customHeight="false" outlineLevel="0" collapsed="false">
      <c r="B94" s="1183" t="n">
        <v>82</v>
      </c>
      <c r="C94" s="1185" t="s">
        <v>1469</v>
      </c>
      <c r="D94" s="1182" t="n">
        <v>3.5</v>
      </c>
      <c r="E94" s="1182" t="n">
        <v>0.02313</v>
      </c>
      <c r="F94" s="1182" t="n">
        <v>0.00244</v>
      </c>
      <c r="G94" s="1182" t="n">
        <v>0.00132</v>
      </c>
    </row>
    <row r="95" customFormat="false" ht="15.75" hidden="false" customHeight="false" outlineLevel="0" collapsed="false">
      <c r="B95" s="1183" t="n">
        <v>83</v>
      </c>
      <c r="C95" s="1185" t="s">
        <v>1470</v>
      </c>
      <c r="D95" s="1182" t="n">
        <v>11.61</v>
      </c>
      <c r="E95" s="1182" t="n">
        <v>2.89295</v>
      </c>
      <c r="F95" s="1182" t="n">
        <v>0.30564</v>
      </c>
      <c r="G95" s="1182" t="n">
        <v>0.16525</v>
      </c>
    </row>
    <row r="96" customFormat="false" ht="15.75" hidden="false" customHeight="false" outlineLevel="0" collapsed="false">
      <c r="B96" s="1183" t="n">
        <v>84</v>
      </c>
      <c r="C96" s="1185" t="s">
        <v>724</v>
      </c>
      <c r="D96" s="1182" t="n">
        <v>13</v>
      </c>
      <c r="E96" s="1182" t="n">
        <v>4.80682</v>
      </c>
      <c r="F96" s="1182" t="n">
        <v>0.50784</v>
      </c>
      <c r="G96" s="1182" t="n">
        <v>0.27457</v>
      </c>
    </row>
    <row r="97" customFormat="false" ht="15.75" hidden="false" customHeight="false" outlineLevel="0" collapsed="false">
      <c r="B97" s="1183" t="n">
        <v>85</v>
      </c>
      <c r="C97" s="1185" t="s">
        <v>1471</v>
      </c>
      <c r="D97" s="1182" t="n">
        <v>15</v>
      </c>
      <c r="E97" s="1182" t="n">
        <v>8.2349</v>
      </c>
      <c r="F97" s="1182" t="n">
        <v>0.87001</v>
      </c>
      <c r="G97" s="1182" t="n">
        <v>0.47038</v>
      </c>
    </row>
    <row r="98" customFormat="false" ht="15.75" hidden="false" customHeight="false" outlineLevel="0" collapsed="false">
      <c r="B98" s="1183" t="n">
        <v>86</v>
      </c>
      <c r="C98" s="1185" t="s">
        <v>1472</v>
      </c>
      <c r="D98" s="1182" t="n">
        <v>14.86</v>
      </c>
      <c r="E98" s="1182" t="n">
        <v>7.59322</v>
      </c>
      <c r="F98" s="1182" t="n">
        <v>0.80222</v>
      </c>
      <c r="G98" s="1182" t="n">
        <v>0.43373</v>
      </c>
    </row>
    <row r="99" customFormat="false" ht="15.75" hidden="false" customHeight="false" outlineLevel="0" collapsed="false">
      <c r="B99" s="1183" t="n">
        <v>87</v>
      </c>
      <c r="C99" s="1185" t="s">
        <v>1473</v>
      </c>
      <c r="D99" s="1182" t="n">
        <v>5</v>
      </c>
      <c r="E99" s="1182" t="n">
        <v>0.12553</v>
      </c>
      <c r="F99" s="1182" t="n">
        <v>0.01326</v>
      </c>
      <c r="G99" s="1182" t="n">
        <v>0.00717</v>
      </c>
    </row>
    <row r="100" customFormat="false" ht="15.75" hidden="false" customHeight="false" outlineLevel="0" collapsed="false">
      <c r="B100" s="1183" t="n">
        <v>88</v>
      </c>
      <c r="C100" s="1185" t="s">
        <v>1474</v>
      </c>
      <c r="D100" s="1182" t="n">
        <v>3.5</v>
      </c>
      <c r="E100" s="1182" t="n">
        <v>0.02313</v>
      </c>
      <c r="F100" s="1182" t="n">
        <v>0.00244</v>
      </c>
      <c r="G100" s="1182" t="n">
        <v>0.00132</v>
      </c>
    </row>
    <row r="101" customFormat="false" ht="18.75" hidden="false" customHeight="false" outlineLevel="0" collapsed="false">
      <c r="B101" s="1183" t="n">
        <v>89</v>
      </c>
      <c r="C101" s="1185" t="s">
        <v>1475</v>
      </c>
      <c r="D101" s="1182" t="n">
        <v>3.5</v>
      </c>
      <c r="E101" s="1182" t="n">
        <v>0.02313</v>
      </c>
      <c r="F101" s="1182" t="n">
        <v>0.00244</v>
      </c>
      <c r="G101" s="1182" t="n">
        <v>0.00132</v>
      </c>
    </row>
    <row r="102" customFormat="false" ht="18.75" hidden="false" customHeight="false" outlineLevel="0" collapsed="false">
      <c r="B102" s="1183" t="n">
        <v>90</v>
      </c>
      <c r="C102" s="1185" t="s">
        <v>1476</v>
      </c>
      <c r="D102" s="1182" t="n">
        <v>5</v>
      </c>
      <c r="E102" s="1182" t="n">
        <v>0.09102</v>
      </c>
      <c r="F102" s="1182" t="n">
        <v>0.00962</v>
      </c>
      <c r="G102" s="1182" t="n">
        <v>0.0052</v>
      </c>
    </row>
    <row r="103" customFormat="false" ht="18.75" hidden="false" customHeight="false" outlineLevel="0" collapsed="false">
      <c r="B103" s="1183" t="n">
        <v>91</v>
      </c>
      <c r="C103" s="1185" t="s">
        <v>1477</v>
      </c>
      <c r="D103" s="1182" t="n">
        <v>7.49</v>
      </c>
      <c r="E103" s="1182" t="n">
        <v>0.42934</v>
      </c>
      <c r="F103" s="1182" t="n">
        <v>0.04536</v>
      </c>
      <c r="G103" s="1182" t="n">
        <v>0.02452</v>
      </c>
    </row>
    <row r="104" customFormat="false" ht="15.75" hidden="false" customHeight="false" outlineLevel="0" collapsed="false">
      <c r="B104" s="1183" t="n">
        <v>92</v>
      </c>
      <c r="C104" s="1185" t="s">
        <v>1478</v>
      </c>
      <c r="D104" s="1182" t="n">
        <v>18.5</v>
      </c>
      <c r="E104" s="1182" t="n">
        <v>19.47718</v>
      </c>
      <c r="F104" s="1182" t="n">
        <v>2.05775</v>
      </c>
      <c r="G104" s="1182" t="n">
        <v>1.11255</v>
      </c>
    </row>
    <row r="105" customFormat="false" ht="15.75" hidden="false" customHeight="false" outlineLevel="0" collapsed="false">
      <c r="B105" s="1183" t="n">
        <v>93</v>
      </c>
      <c r="C105" s="1185" t="s">
        <v>1479</v>
      </c>
      <c r="D105" s="1182" t="n">
        <v>26</v>
      </c>
      <c r="E105" s="1182" t="n">
        <v>21.12532</v>
      </c>
      <c r="F105" s="1182" t="n">
        <v>2.64219</v>
      </c>
      <c r="G105" s="1182" t="n">
        <v>1.42854</v>
      </c>
    </row>
    <row r="106" customFormat="false" ht="15.75" hidden="false" customHeight="false" outlineLevel="0" collapsed="false">
      <c r="B106" s="1186" t="n">
        <v>94</v>
      </c>
      <c r="C106" s="1187" t="s">
        <v>1480</v>
      </c>
      <c r="D106" s="1188" t="n">
        <v>2.6</v>
      </c>
      <c r="E106" s="1188" t="n">
        <v>0.0025</v>
      </c>
      <c r="F106" s="1188" t="n">
        <v>0.00026</v>
      </c>
      <c r="G106" s="1188" t="n">
        <v>0.00014</v>
      </c>
    </row>
    <row r="107" customFormat="false" ht="34.5" hidden="false" customHeight="true" outlineLevel="0" collapsed="false">
      <c r="B107" s="1196" t="s">
        <v>1481</v>
      </c>
      <c r="C107" s="1196"/>
      <c r="D107" s="1196"/>
      <c r="E107" s="1196"/>
      <c r="F107" s="1196"/>
      <c r="G107" s="1196"/>
    </row>
  </sheetData>
  <mergeCells count="12">
    <mergeCell ref="B2:G2"/>
    <mergeCell ref="B4:B5"/>
    <mergeCell ref="C4:C5"/>
    <mergeCell ref="D4:D5"/>
    <mergeCell ref="E4:G4"/>
    <mergeCell ref="C7:G7"/>
    <mergeCell ref="C18:G18"/>
    <mergeCell ref="C31:G31"/>
    <mergeCell ref="C58:G58"/>
    <mergeCell ref="C72:G72"/>
    <mergeCell ref="C92:G92"/>
    <mergeCell ref="B107:G10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70"/>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8.75"/>
  <cols>
    <col collapsed="false" hidden="false" max="11" min="1" style="201" width="10.2268041237113"/>
    <col collapsed="false" hidden="false" max="1025" min="12" style="201" width="9.13917525773196"/>
  </cols>
  <sheetData>
    <row r="1" customFormat="false" ht="43.5" hidden="false" customHeight="true" outlineLevel="0" collapsed="false">
      <c r="A1" s="202" t="s">
        <v>156</v>
      </c>
      <c r="B1" s="202"/>
      <c r="C1" s="202"/>
      <c r="D1" s="202"/>
      <c r="E1" s="202"/>
      <c r="F1" s="202"/>
      <c r="G1" s="202"/>
      <c r="H1" s="202"/>
      <c r="I1" s="202"/>
      <c r="J1" s="202"/>
      <c r="K1" s="203"/>
    </row>
    <row r="2" customFormat="false" ht="18.75" hidden="false" customHeight="false" outlineLevel="0" collapsed="false">
      <c r="A2" s="204"/>
      <c r="B2" s="204"/>
      <c r="C2" s="204"/>
      <c r="D2" s="204"/>
      <c r="E2" s="204"/>
      <c r="F2" s="204"/>
      <c r="G2" s="204"/>
      <c r="H2" s="204"/>
      <c r="I2" s="204"/>
      <c r="J2" s="204"/>
      <c r="K2" s="203"/>
    </row>
    <row r="3" customFormat="false" ht="18.75" hidden="false" customHeight="false" outlineLevel="0" collapsed="false">
      <c r="A3" s="205" t="s">
        <v>157</v>
      </c>
      <c r="B3" s="205"/>
      <c r="C3" s="205"/>
      <c r="D3" s="205"/>
      <c r="E3" s="205"/>
      <c r="F3" s="206"/>
      <c r="G3" s="206"/>
      <c r="H3" s="206"/>
      <c r="I3" s="206"/>
      <c r="J3" s="206"/>
    </row>
    <row r="4" customFormat="false" ht="18.75" hidden="false" customHeight="false" outlineLevel="0" collapsed="false">
      <c r="A4" s="205" t="s">
        <v>158</v>
      </c>
      <c r="B4" s="205"/>
      <c r="C4" s="205"/>
      <c r="D4" s="205"/>
      <c r="E4" s="205"/>
      <c r="F4" s="206"/>
      <c r="G4" s="206"/>
      <c r="H4" s="206"/>
      <c r="I4" s="206"/>
      <c r="J4" s="206"/>
    </row>
    <row r="5" customFormat="false" ht="18.75" hidden="false" customHeight="false" outlineLevel="0" collapsed="false">
      <c r="A5" s="205" t="s">
        <v>159</v>
      </c>
      <c r="B5" s="205"/>
      <c r="C5" s="205"/>
      <c r="D5" s="205"/>
      <c r="E5" s="205"/>
      <c r="F5" s="206"/>
      <c r="G5" s="206"/>
      <c r="H5" s="206"/>
      <c r="I5" s="206"/>
      <c r="J5" s="206"/>
    </row>
    <row r="6" customFormat="false" ht="18.75" hidden="false" customHeight="false" outlineLevel="0" collapsed="false">
      <c r="A6" s="0"/>
      <c r="B6" s="0"/>
      <c r="C6" s="0"/>
      <c r="D6" s="0"/>
      <c r="E6" s="0"/>
      <c r="F6" s="0"/>
      <c r="G6" s="0"/>
      <c r="H6" s="0"/>
      <c r="I6" s="0"/>
      <c r="J6" s="0"/>
    </row>
    <row r="7" customFormat="false" ht="18.75" hidden="false" customHeight="true" outlineLevel="0" collapsed="false">
      <c r="A7" s="207"/>
      <c r="B7" s="208" t="s">
        <v>160</v>
      </c>
      <c r="C7" s="208"/>
      <c r="D7" s="208"/>
      <c r="E7" s="208"/>
      <c r="F7" s="208"/>
      <c r="G7" s="208"/>
      <c r="H7" s="207"/>
      <c r="I7" s="207"/>
      <c r="J7" s="207"/>
    </row>
    <row r="8" customFormat="false" ht="18.75" hidden="false" customHeight="false" outlineLevel="0" collapsed="false">
      <c r="A8" s="207"/>
      <c r="B8" s="209"/>
      <c r="C8" s="209"/>
      <c r="D8" s="209"/>
      <c r="E8" s="209"/>
      <c r="F8" s="209"/>
      <c r="G8" s="209"/>
      <c r="H8" s="207"/>
      <c r="I8" s="207"/>
      <c r="J8" s="207"/>
    </row>
    <row r="9" customFormat="false" ht="18.75" hidden="false" customHeight="true" outlineLevel="0" collapsed="false">
      <c r="A9" s="210" t="s">
        <v>161</v>
      </c>
      <c r="B9" s="210"/>
      <c r="C9" s="210"/>
      <c r="D9" s="210"/>
      <c r="E9" s="210"/>
      <c r="F9" s="210" t="str">
        <f aca="false">'Вхідні параметри'!H3</f>
        <v>ІІ</v>
      </c>
      <c r="G9" s="210"/>
      <c r="H9" s="210"/>
      <c r="I9" s="210"/>
      <c r="J9" s="210"/>
    </row>
    <row r="10" customFormat="false" ht="18.75" hidden="false" customHeight="true" outlineLevel="0" collapsed="false">
      <c r="A10" s="210" t="s">
        <v>162</v>
      </c>
      <c r="B10" s="210"/>
      <c r="C10" s="210"/>
      <c r="D10" s="210"/>
      <c r="E10" s="210"/>
      <c r="F10" s="210" t="str">
        <f aca="false">'Вхідні параметри'!H7</f>
        <v>II.P.5</v>
      </c>
      <c r="G10" s="210"/>
      <c r="H10" s="210"/>
      <c r="I10" s="210"/>
      <c r="J10" s="210"/>
    </row>
    <row r="11" customFormat="false" ht="18.75" hidden="false" customHeight="true" outlineLevel="0" collapsed="false">
      <c r="A11" s="210" t="s">
        <v>163</v>
      </c>
      <c r="B11" s="210"/>
      <c r="C11" s="210"/>
      <c r="D11" s="210"/>
      <c r="E11" s="210"/>
      <c r="F11" s="211"/>
      <c r="G11" s="211"/>
      <c r="H11" s="211"/>
      <c r="I11" s="211"/>
      <c r="J11" s="211"/>
    </row>
    <row r="12" customFormat="false" ht="18.75" hidden="false" customHeight="true" outlineLevel="0" collapsed="false">
      <c r="A12" s="210" t="s">
        <v>164</v>
      </c>
      <c r="B12" s="210"/>
      <c r="C12" s="210"/>
      <c r="D12" s="210"/>
      <c r="E12" s="210"/>
      <c r="F12" s="211"/>
      <c r="G12" s="211"/>
      <c r="H12" s="211"/>
      <c r="I12" s="211"/>
      <c r="J12" s="211"/>
    </row>
    <row r="13" customFormat="false" ht="18.75" hidden="false" customHeight="true" outlineLevel="0" collapsed="false">
      <c r="A13" s="210" t="s">
        <v>165</v>
      </c>
      <c r="B13" s="210"/>
      <c r="C13" s="210"/>
      <c r="D13" s="210"/>
      <c r="E13" s="210"/>
      <c r="F13" s="211"/>
      <c r="G13" s="211"/>
      <c r="H13" s="211"/>
      <c r="I13" s="211"/>
      <c r="J13" s="211"/>
    </row>
    <row r="14" customFormat="false" ht="18.75" hidden="false" customHeight="true" outlineLevel="0" collapsed="false">
      <c r="A14" s="210" t="s">
        <v>166</v>
      </c>
      <c r="B14" s="210"/>
      <c r="C14" s="210"/>
      <c r="D14" s="210"/>
      <c r="E14" s="210"/>
      <c r="F14" s="210" t="n">
        <f aca="false">'Розрахункові параметриПеревірка'!H2</f>
        <v>135</v>
      </c>
      <c r="G14" s="210"/>
      <c r="H14" s="210"/>
      <c r="I14" s="210"/>
      <c r="J14" s="210"/>
    </row>
    <row r="15" customFormat="false" ht="37.5" hidden="false" customHeight="true" outlineLevel="0" collapsed="false">
      <c r="A15" s="210" t="s">
        <v>167</v>
      </c>
      <c r="B15" s="210"/>
      <c r="C15" s="210"/>
      <c r="D15" s="210"/>
      <c r="E15" s="210"/>
      <c r="F15" s="211"/>
      <c r="G15" s="211"/>
      <c r="H15" s="211"/>
      <c r="I15" s="211"/>
      <c r="J15" s="211"/>
    </row>
    <row r="16" customFormat="false" ht="18.75" hidden="false" customHeight="false" outlineLevel="0" collapsed="false">
      <c r="A16" s="205" t="s">
        <v>168</v>
      </c>
      <c r="B16" s="205"/>
      <c r="C16" s="205"/>
      <c r="D16" s="205"/>
      <c r="E16" s="205"/>
      <c r="F16" s="206"/>
      <c r="G16" s="206"/>
      <c r="H16" s="206"/>
      <c r="I16" s="206"/>
      <c r="J16" s="206"/>
    </row>
    <row r="17" customFormat="false" ht="18.75" hidden="false" customHeight="false" outlineLevel="0" collapsed="false">
      <c r="A17" s="0"/>
      <c r="B17" s="0"/>
      <c r="C17" s="0"/>
      <c r="D17" s="0"/>
      <c r="E17" s="0"/>
      <c r="F17" s="0"/>
      <c r="G17" s="0"/>
      <c r="H17" s="0"/>
      <c r="I17" s="0"/>
      <c r="J17" s="0"/>
    </row>
    <row r="18" customFormat="false" ht="18.75" hidden="false" customHeight="false" outlineLevel="0" collapsed="false">
      <c r="A18" s="0"/>
      <c r="B18" s="212" t="s">
        <v>169</v>
      </c>
      <c r="C18" s="212"/>
      <c r="D18" s="212"/>
      <c r="E18" s="212"/>
      <c r="F18" s="212"/>
      <c r="G18" s="212"/>
      <c r="H18" s="0"/>
      <c r="I18" s="0"/>
      <c r="J18" s="0"/>
    </row>
    <row r="19" customFormat="false" ht="18.75" hidden="false" customHeight="false" outlineLevel="0" collapsed="false">
      <c r="A19" s="213"/>
      <c r="B19" s="213"/>
      <c r="C19" s="213"/>
      <c r="D19" s="213"/>
      <c r="E19" s="213"/>
      <c r="F19" s="213"/>
      <c r="G19" s="213"/>
      <c r="H19" s="213"/>
      <c r="I19" s="213"/>
      <c r="J19" s="213"/>
    </row>
    <row r="20" customFormat="false" ht="18.75" hidden="false" customHeight="false" outlineLevel="0" collapsed="false">
      <c r="A20" s="214" t="s">
        <v>170</v>
      </c>
      <c r="B20" s="214"/>
      <c r="C20" s="214"/>
      <c r="D20" s="214"/>
      <c r="E20" s="214"/>
      <c r="F20" s="215"/>
      <c r="G20" s="215"/>
      <c r="H20" s="215"/>
      <c r="I20" s="215"/>
      <c r="J20" s="215"/>
    </row>
    <row r="21" customFormat="false" ht="18.75" hidden="false" customHeight="false" outlineLevel="0" collapsed="false">
      <c r="A21" s="215" t="s">
        <v>6</v>
      </c>
      <c r="B21" s="215"/>
      <c r="C21" s="215"/>
      <c r="D21" s="215"/>
      <c r="E21" s="215"/>
      <c r="F21" s="215" t="str">
        <f aca="false">'Вхідні параметри'!H4</f>
        <v>I-а</v>
      </c>
      <c r="G21" s="215"/>
      <c r="H21" s="215"/>
      <c r="I21" s="215"/>
      <c r="J21" s="215"/>
    </row>
    <row r="22" customFormat="false" ht="18.75" hidden="false" customHeight="false" outlineLevel="0" collapsed="false">
      <c r="A22" s="215" t="s">
        <v>18</v>
      </c>
      <c r="B22" s="215"/>
      <c r="C22" s="215"/>
      <c r="D22" s="215"/>
      <c r="E22" s="215"/>
      <c r="F22" s="215" t="str">
        <f aca="false">'Розрахункові параметриПеревірка'!H32</f>
        <v>4; 6; 8</v>
      </c>
      <c r="G22" s="215"/>
      <c r="H22" s="215"/>
      <c r="I22" s="215"/>
      <c r="J22" s="215"/>
    </row>
    <row r="23" customFormat="false" ht="18.75" hidden="false" customHeight="false" outlineLevel="0" collapsed="false">
      <c r="A23" s="215" t="s">
        <v>171</v>
      </c>
      <c r="B23" s="215"/>
      <c r="C23" s="215"/>
      <c r="D23" s="215"/>
      <c r="E23" s="215"/>
      <c r="F23" s="216"/>
      <c r="G23" s="216"/>
      <c r="H23" s="216"/>
      <c r="I23" s="216"/>
      <c r="J23" s="216"/>
    </row>
    <row r="24" customFormat="false" ht="18.75" hidden="false" customHeight="false" outlineLevel="0" collapsed="false">
      <c r="A24" s="215" t="s">
        <v>172</v>
      </c>
      <c r="B24" s="215"/>
      <c r="C24" s="215"/>
      <c r="D24" s="215"/>
      <c r="E24" s="215"/>
      <c r="F24" s="215" t="n">
        <f aca="false">'Вхідні параметри'!H28</f>
        <v>15</v>
      </c>
      <c r="G24" s="215"/>
      <c r="H24" s="215"/>
      <c r="I24" s="215"/>
      <c r="J24" s="215"/>
    </row>
    <row r="25" customFormat="false" ht="18.75" hidden="false" customHeight="false" outlineLevel="0" collapsed="false">
      <c r="A25" s="215" t="s">
        <v>173</v>
      </c>
      <c r="B25" s="215"/>
      <c r="C25" s="215"/>
      <c r="D25" s="215"/>
      <c r="E25" s="215"/>
      <c r="F25" s="217" t="n">
        <f aca="false">MIN(ВихідніДаніПеревірка!P3,ВихідніДаніПеревірка!P8,ВихідніДаніПеревірка!P13,ВихідніДаніПеревірка!P18)</f>
        <v>0.982135579437183</v>
      </c>
      <c r="G25" s="217"/>
      <c r="H25" s="217"/>
      <c r="I25" s="217"/>
      <c r="J25" s="217"/>
    </row>
    <row r="26" customFormat="false" ht="18.75" hidden="false" customHeight="false" outlineLevel="0" collapsed="false">
      <c r="A26" s="214" t="s">
        <v>174</v>
      </c>
      <c r="B26" s="214"/>
      <c r="C26" s="214"/>
      <c r="D26" s="214"/>
      <c r="E26" s="214"/>
      <c r="F26" s="215"/>
      <c r="G26" s="215"/>
      <c r="H26" s="215"/>
      <c r="I26" s="215"/>
      <c r="J26" s="215"/>
    </row>
    <row r="27" customFormat="false" ht="18.75" hidden="false" customHeight="false" outlineLevel="0" collapsed="false">
      <c r="A27" s="215" t="s">
        <v>175</v>
      </c>
      <c r="B27" s="215"/>
      <c r="C27" s="215"/>
      <c r="D27" s="215"/>
      <c r="E27" s="215"/>
      <c r="F27" s="216"/>
      <c r="G27" s="216"/>
      <c r="H27" s="216"/>
      <c r="I27" s="216"/>
      <c r="J27" s="216"/>
    </row>
    <row r="28" customFormat="false" ht="18.75" hidden="false" customHeight="false" outlineLevel="0" collapsed="false">
      <c r="A28" s="215" t="s">
        <v>176</v>
      </c>
      <c r="B28" s="215"/>
      <c r="C28" s="215"/>
      <c r="D28" s="215"/>
      <c r="E28" s="215"/>
      <c r="F28" s="216"/>
      <c r="G28" s="216"/>
      <c r="H28" s="216"/>
      <c r="I28" s="216"/>
      <c r="J28" s="216"/>
    </row>
    <row r="29" customFormat="false" ht="18.75" hidden="false" customHeight="false" outlineLevel="0" collapsed="false">
      <c r="A29" s="215" t="s">
        <v>177</v>
      </c>
      <c r="B29" s="215"/>
      <c r="C29" s="215"/>
      <c r="D29" s="215"/>
      <c r="E29" s="215"/>
      <c r="F29" s="216"/>
      <c r="G29" s="216"/>
      <c r="H29" s="216"/>
      <c r="I29" s="216"/>
      <c r="J29" s="216"/>
    </row>
    <row r="30" customFormat="false" ht="18.75" hidden="false" customHeight="false" outlineLevel="0" collapsed="false">
      <c r="A30" s="215" t="s">
        <v>178</v>
      </c>
      <c r="B30" s="215"/>
      <c r="C30" s="215"/>
      <c r="D30" s="215"/>
      <c r="E30" s="215"/>
      <c r="F30" s="216"/>
      <c r="G30" s="216"/>
      <c r="H30" s="216"/>
      <c r="I30" s="216"/>
      <c r="J30" s="216"/>
    </row>
    <row r="31" customFormat="false" ht="18.75" hidden="false" customHeight="false" outlineLevel="0" collapsed="false">
      <c r="A31" s="215" t="s">
        <v>179</v>
      </c>
      <c r="B31" s="215"/>
      <c r="C31" s="215"/>
      <c r="D31" s="215"/>
      <c r="E31" s="215"/>
      <c r="F31" s="216"/>
      <c r="G31" s="216"/>
      <c r="H31" s="216"/>
      <c r="I31" s="216"/>
      <c r="J31" s="216"/>
    </row>
    <row r="32" customFormat="false" ht="18.75" hidden="false" customHeight="false" outlineLevel="0" collapsed="false">
      <c r="A32" s="215" t="s">
        <v>180</v>
      </c>
      <c r="B32" s="215"/>
      <c r="C32" s="215"/>
      <c r="D32" s="215"/>
      <c r="E32" s="215"/>
      <c r="F32" s="216"/>
      <c r="G32" s="216"/>
      <c r="H32" s="216"/>
      <c r="I32" s="216"/>
      <c r="J32" s="216"/>
    </row>
    <row r="33" customFormat="false" ht="18.75" hidden="false" customHeight="false" outlineLevel="0" collapsed="false">
      <c r="A33" s="215" t="s">
        <v>181</v>
      </c>
      <c r="B33" s="215"/>
      <c r="C33" s="215"/>
      <c r="D33" s="215"/>
      <c r="E33" s="215"/>
      <c r="F33" s="216"/>
      <c r="G33" s="216"/>
      <c r="H33" s="216"/>
      <c r="I33" s="216"/>
      <c r="J33" s="216"/>
    </row>
    <row r="34" customFormat="false" ht="18.75" hidden="false" customHeight="false" outlineLevel="0" collapsed="false">
      <c r="A34" s="215" t="s">
        <v>182</v>
      </c>
      <c r="B34" s="215"/>
      <c r="C34" s="215"/>
      <c r="D34" s="215"/>
      <c r="E34" s="215"/>
      <c r="F34" s="216"/>
      <c r="G34" s="216"/>
      <c r="H34" s="216"/>
      <c r="I34" s="216"/>
      <c r="J34" s="216"/>
    </row>
    <row r="35" customFormat="false" ht="18.75" hidden="false" customHeight="false" outlineLevel="0" collapsed="false">
      <c r="A35" s="214" t="s">
        <v>183</v>
      </c>
      <c r="B35" s="214"/>
      <c r="C35" s="214"/>
      <c r="D35" s="214"/>
      <c r="E35" s="214"/>
      <c r="F35" s="215"/>
      <c r="G35" s="215"/>
      <c r="H35" s="215"/>
      <c r="I35" s="215"/>
      <c r="J35" s="215"/>
    </row>
    <row r="36" customFormat="false" ht="18.75" hidden="false" customHeight="false" outlineLevel="0" collapsed="false">
      <c r="A36" s="215" t="s">
        <v>184</v>
      </c>
      <c r="B36" s="215"/>
      <c r="C36" s="215"/>
      <c r="D36" s="215"/>
      <c r="E36" s="215"/>
      <c r="F36" s="215" t="str">
        <f aca="false">'Вхідні параметри'!H8</f>
        <v>G9 Суглинок легкий пилуватий</v>
      </c>
      <c r="G36" s="215"/>
      <c r="H36" s="215"/>
      <c r="I36" s="215"/>
      <c r="J36" s="215"/>
    </row>
    <row r="37" customFormat="false" ht="18.75" hidden="false" customHeight="false" outlineLevel="0" collapsed="false">
      <c r="A37" s="215" t="s">
        <v>185</v>
      </c>
      <c r="B37" s="215"/>
      <c r="C37" s="215"/>
      <c r="D37" s="215"/>
      <c r="E37" s="215"/>
      <c r="F37" s="216"/>
      <c r="G37" s="216"/>
      <c r="H37" s="216"/>
      <c r="I37" s="216"/>
      <c r="J37" s="216"/>
    </row>
    <row r="38" customFormat="false" ht="18.75" hidden="false" customHeight="false" outlineLevel="0" collapsed="false">
      <c r="A38" s="215" t="s">
        <v>186</v>
      </c>
      <c r="B38" s="215"/>
      <c r="C38" s="215"/>
      <c r="D38" s="215"/>
      <c r="E38" s="215"/>
      <c r="F38" s="215" t="n">
        <f aca="false">'Розрахункові параметриПеревірка'!H16</f>
        <v>0.79002</v>
      </c>
      <c r="G38" s="215"/>
      <c r="H38" s="215"/>
      <c r="I38" s="215"/>
      <c r="J38" s="215"/>
    </row>
    <row r="39" customFormat="false" ht="18.75" hidden="false" customHeight="false" outlineLevel="0" collapsed="false">
      <c r="A39" s="215" t="s">
        <v>187</v>
      </c>
      <c r="B39" s="215"/>
      <c r="C39" s="215"/>
      <c r="D39" s="215"/>
      <c r="E39" s="215"/>
      <c r="F39" s="216"/>
      <c r="G39" s="216"/>
      <c r="H39" s="216"/>
      <c r="I39" s="216"/>
      <c r="J39" s="216"/>
    </row>
    <row r="40" customFormat="false" ht="18.75" hidden="false" customHeight="false" outlineLevel="0" collapsed="false">
      <c r="A40" s="214" t="s">
        <v>188</v>
      </c>
      <c r="B40" s="214"/>
      <c r="C40" s="214"/>
      <c r="D40" s="214"/>
      <c r="E40" s="214"/>
      <c r="F40" s="215"/>
      <c r="G40" s="215"/>
      <c r="H40" s="215"/>
      <c r="I40" s="215"/>
      <c r="J40" s="215"/>
    </row>
    <row r="41" customFormat="false" ht="18.75" hidden="false" customHeight="false" outlineLevel="0" collapsed="false">
      <c r="A41" s="215" t="s">
        <v>189</v>
      </c>
      <c r="B41" s="215"/>
      <c r="C41" s="215"/>
      <c r="D41" s="215"/>
      <c r="E41" s="215"/>
      <c r="F41" s="216"/>
      <c r="G41" s="216"/>
      <c r="H41" s="216"/>
      <c r="I41" s="216"/>
      <c r="J41" s="216"/>
    </row>
    <row r="42" customFormat="false" ht="18.75" hidden="false" customHeight="false" outlineLevel="0" collapsed="false">
      <c r="A42" s="214" t="s">
        <v>190</v>
      </c>
      <c r="B42" s="214"/>
      <c r="C42" s="214"/>
      <c r="D42" s="214"/>
      <c r="E42" s="214"/>
      <c r="F42" s="215"/>
      <c r="G42" s="215"/>
      <c r="H42" s="215"/>
      <c r="I42" s="215"/>
      <c r="J42" s="215"/>
    </row>
    <row r="43" customFormat="false" ht="18.75" hidden="false" customHeight="false" outlineLevel="0" collapsed="false">
      <c r="A43" s="215" t="s">
        <v>191</v>
      </c>
      <c r="B43" s="215"/>
      <c r="C43" s="215"/>
      <c r="D43" s="215"/>
      <c r="E43" s="215"/>
      <c r="F43" s="216"/>
      <c r="G43" s="216"/>
      <c r="H43" s="216"/>
      <c r="I43" s="216"/>
      <c r="J43" s="216"/>
    </row>
    <row r="44" customFormat="false" ht="18.75" hidden="false" customHeight="false" outlineLevel="0" collapsed="false">
      <c r="A44" s="215" t="s">
        <v>192</v>
      </c>
      <c r="B44" s="215"/>
      <c r="C44" s="215"/>
      <c r="D44" s="215"/>
      <c r="E44" s="215"/>
      <c r="F44" s="216"/>
      <c r="G44" s="216"/>
      <c r="H44" s="216"/>
      <c r="I44" s="216"/>
      <c r="J44" s="216"/>
    </row>
    <row r="45" customFormat="false" ht="18.75" hidden="false" customHeight="false" outlineLevel="0" collapsed="false">
      <c r="A45" s="215" t="s">
        <v>193</v>
      </c>
      <c r="B45" s="215"/>
      <c r="C45" s="215"/>
      <c r="D45" s="215"/>
      <c r="E45" s="215"/>
      <c r="F45" s="216"/>
      <c r="G45" s="216"/>
      <c r="H45" s="216"/>
      <c r="I45" s="216"/>
      <c r="J45" s="216"/>
    </row>
    <row r="46" customFormat="false" ht="18.75" hidden="false" customHeight="false" outlineLevel="0" collapsed="false">
      <c r="A46" s="215" t="s">
        <v>194</v>
      </c>
      <c r="B46" s="215"/>
      <c r="C46" s="215"/>
      <c r="D46" s="215"/>
      <c r="E46" s="215"/>
      <c r="F46" s="216"/>
      <c r="G46" s="216"/>
      <c r="H46" s="216"/>
      <c r="I46" s="216"/>
      <c r="J46" s="216"/>
    </row>
    <row r="47" customFormat="false" ht="18.75" hidden="false" customHeight="false" outlineLevel="0" collapsed="false">
      <c r="A47" s="214" t="s">
        <v>195</v>
      </c>
      <c r="B47" s="214"/>
      <c r="C47" s="214"/>
      <c r="D47" s="214"/>
      <c r="E47" s="214"/>
      <c r="F47" s="215"/>
      <c r="G47" s="215"/>
      <c r="H47" s="215"/>
      <c r="I47" s="215"/>
      <c r="J47" s="215"/>
    </row>
    <row r="48" customFormat="false" ht="59.25" hidden="false" customHeight="true" outlineLevel="0" collapsed="false">
      <c r="A48" s="218" t="s">
        <v>196</v>
      </c>
      <c r="B48" s="218"/>
      <c r="C48" s="218"/>
      <c r="D48" s="218"/>
      <c r="E48" s="218"/>
      <c r="F48" s="216"/>
      <c r="G48" s="216"/>
      <c r="H48" s="216"/>
      <c r="I48" s="216"/>
      <c r="J48" s="216"/>
    </row>
    <row r="49" customFormat="false" ht="18.75" hidden="false" customHeight="false" outlineLevel="0" collapsed="false">
      <c r="A49" s="0"/>
      <c r="B49" s="0"/>
      <c r="C49" s="0"/>
      <c r="D49" s="0"/>
      <c r="E49" s="0"/>
      <c r="F49" s="0"/>
      <c r="G49" s="0"/>
      <c r="H49" s="0"/>
      <c r="I49" s="0"/>
      <c r="J49" s="0"/>
    </row>
    <row r="50" customFormat="false" ht="18.75" hidden="false" customHeight="false" outlineLevel="0" collapsed="false">
      <c r="A50" s="0"/>
      <c r="B50" s="212" t="s">
        <v>197</v>
      </c>
      <c r="C50" s="212"/>
      <c r="D50" s="212"/>
      <c r="E50" s="212"/>
      <c r="F50" s="212"/>
      <c r="G50" s="212"/>
      <c r="H50" s="0"/>
      <c r="I50" s="0"/>
      <c r="J50" s="0"/>
    </row>
    <row r="51" customFormat="false" ht="18.75" hidden="false" customHeight="false" outlineLevel="0" collapsed="false">
      <c r="A51" s="213"/>
      <c r="B51" s="213"/>
      <c r="C51" s="213"/>
      <c r="D51" s="213"/>
      <c r="E51" s="213"/>
      <c r="F51" s="213"/>
      <c r="G51" s="213"/>
      <c r="H51" s="213"/>
      <c r="I51" s="213"/>
      <c r="J51" s="213"/>
    </row>
    <row r="52" customFormat="false" ht="18.75" hidden="false" customHeight="true" outlineLevel="0" collapsed="false">
      <c r="A52" s="218" t="s">
        <v>198</v>
      </c>
      <c r="B52" s="218"/>
      <c r="C52" s="218"/>
      <c r="D52" s="218"/>
      <c r="E52" s="218"/>
      <c r="F52" s="216"/>
      <c r="G52" s="216"/>
      <c r="H52" s="216"/>
      <c r="I52" s="216"/>
      <c r="J52" s="216"/>
    </row>
    <row r="53" customFormat="false" ht="18.75" hidden="false" customHeight="true" outlineLevel="0" collapsed="false">
      <c r="A53" s="218" t="s">
        <v>199</v>
      </c>
      <c r="B53" s="218"/>
      <c r="C53" s="218"/>
      <c r="D53" s="218"/>
      <c r="E53" s="218"/>
      <c r="F53" s="216"/>
      <c r="G53" s="216"/>
      <c r="H53" s="216"/>
      <c r="I53" s="216"/>
      <c r="J53" s="216"/>
    </row>
    <row r="54" customFormat="false" ht="18.75" hidden="false" customHeight="true" outlineLevel="0" collapsed="false">
      <c r="A54" s="218" t="s">
        <v>200</v>
      </c>
      <c r="B54" s="218"/>
      <c r="C54" s="218"/>
      <c r="D54" s="218"/>
      <c r="E54" s="218"/>
      <c r="F54" s="216"/>
      <c r="G54" s="216"/>
      <c r="H54" s="216"/>
      <c r="I54" s="216"/>
      <c r="J54" s="216"/>
    </row>
    <row r="55" customFormat="false" ht="18.75" hidden="false" customHeight="true" outlineLevel="0" collapsed="false">
      <c r="A55" s="218" t="s">
        <v>201</v>
      </c>
      <c r="B55" s="218"/>
      <c r="C55" s="218"/>
      <c r="D55" s="218"/>
      <c r="E55" s="218"/>
      <c r="F55" s="216"/>
      <c r="G55" s="216"/>
      <c r="H55" s="216"/>
      <c r="I55" s="216"/>
      <c r="J55" s="216"/>
    </row>
    <row r="56" customFormat="false" ht="39" hidden="false" customHeight="true" outlineLevel="0" collapsed="false">
      <c r="A56" s="218" t="s">
        <v>202</v>
      </c>
      <c r="B56" s="218"/>
      <c r="C56" s="218"/>
      <c r="D56" s="218"/>
      <c r="E56" s="218"/>
      <c r="F56" s="216"/>
      <c r="G56" s="216"/>
      <c r="H56" s="216"/>
      <c r="I56" s="216"/>
      <c r="J56" s="216"/>
    </row>
    <row r="57" customFormat="false" ht="39" hidden="false" customHeight="true" outlineLevel="0" collapsed="false">
      <c r="A57" s="218" t="s">
        <v>203</v>
      </c>
      <c r="B57" s="218"/>
      <c r="C57" s="218"/>
      <c r="D57" s="218"/>
      <c r="E57" s="218"/>
      <c r="F57" s="216"/>
      <c r="G57" s="216"/>
      <c r="H57" s="216"/>
      <c r="I57" s="216"/>
      <c r="J57" s="216"/>
    </row>
    <row r="58" customFormat="false" ht="57" hidden="false" customHeight="true" outlineLevel="0" collapsed="false">
      <c r="A58" s="218" t="s">
        <v>204</v>
      </c>
      <c r="B58" s="218"/>
      <c r="C58" s="218"/>
      <c r="D58" s="218"/>
      <c r="E58" s="218"/>
      <c r="F58" s="216"/>
      <c r="G58" s="216"/>
      <c r="H58" s="216"/>
      <c r="I58" s="216"/>
      <c r="J58" s="216"/>
    </row>
    <row r="59" customFormat="false" ht="39" hidden="false" customHeight="true" outlineLevel="0" collapsed="false">
      <c r="A59" s="218" t="s">
        <v>146</v>
      </c>
      <c r="B59" s="218"/>
      <c r="C59" s="218"/>
      <c r="D59" s="218"/>
      <c r="E59" s="218"/>
      <c r="F59" s="216"/>
      <c r="G59" s="216"/>
      <c r="H59" s="216"/>
      <c r="I59" s="216"/>
      <c r="J59" s="216"/>
    </row>
    <row r="60" customFormat="false" ht="18.75" hidden="false" customHeight="false" outlineLevel="0" collapsed="false">
      <c r="A60" s="0"/>
      <c r="B60" s="0"/>
      <c r="C60" s="0"/>
      <c r="D60" s="0"/>
      <c r="E60" s="0"/>
      <c r="F60" s="0"/>
      <c r="G60" s="0"/>
      <c r="H60" s="0"/>
      <c r="I60" s="0"/>
      <c r="J60" s="0"/>
    </row>
    <row r="61" customFormat="false" ht="18.75" hidden="false" customHeight="false" outlineLevel="0" collapsed="false">
      <c r="A61" s="0"/>
      <c r="B61" s="201" t="s">
        <v>147</v>
      </c>
      <c r="C61" s="0"/>
      <c r="D61" s="0"/>
      <c r="E61" s="0"/>
      <c r="F61" s="0"/>
      <c r="G61" s="0"/>
      <c r="H61" s="0"/>
      <c r="I61" s="0"/>
      <c r="J61" s="0"/>
    </row>
    <row r="62" customFormat="false" ht="18.75" hidden="false" customHeight="false" outlineLevel="0" collapsed="false">
      <c r="A62" s="215" t="s">
        <v>148</v>
      </c>
      <c r="B62" s="215"/>
      <c r="C62" s="215"/>
      <c r="D62" s="215"/>
      <c r="E62" s="215"/>
      <c r="F62" s="216"/>
      <c r="G62" s="216"/>
      <c r="H62" s="216"/>
      <c r="I62" s="216"/>
      <c r="J62" s="216"/>
    </row>
    <row r="63" customFormat="false" ht="18.75" hidden="false" customHeight="false" outlineLevel="0" collapsed="false">
      <c r="A63" s="215" t="s">
        <v>149</v>
      </c>
      <c r="B63" s="215"/>
      <c r="C63" s="215"/>
      <c r="D63" s="215"/>
      <c r="E63" s="215"/>
      <c r="F63" s="216"/>
      <c r="G63" s="216"/>
      <c r="H63" s="216"/>
      <c r="I63" s="216"/>
      <c r="J63" s="216"/>
    </row>
    <row r="64" customFormat="false" ht="18.75" hidden="false" customHeight="false" outlineLevel="0" collapsed="false">
      <c r="A64" s="215" t="s">
        <v>150</v>
      </c>
      <c r="B64" s="215"/>
      <c r="C64" s="215"/>
      <c r="D64" s="215"/>
      <c r="E64" s="215"/>
      <c r="F64" s="216"/>
      <c r="G64" s="216"/>
      <c r="H64" s="216"/>
      <c r="I64" s="216"/>
      <c r="J64" s="216"/>
    </row>
    <row r="65" customFormat="false" ht="18.75" hidden="false" customHeight="false" outlineLevel="0" collapsed="false">
      <c r="A65" s="215" t="s">
        <v>151</v>
      </c>
      <c r="B65" s="215"/>
      <c r="C65" s="215"/>
      <c r="D65" s="215"/>
      <c r="E65" s="215"/>
      <c r="F65" s="216"/>
      <c r="G65" s="216"/>
      <c r="H65" s="216"/>
      <c r="I65" s="216"/>
      <c r="J65" s="216"/>
    </row>
    <row r="66" customFormat="false" ht="18.75" hidden="false" customHeight="false" outlineLevel="0" collapsed="false">
      <c r="A66" s="215" t="s">
        <v>152</v>
      </c>
      <c r="B66" s="215"/>
      <c r="C66" s="215"/>
      <c r="D66" s="215"/>
      <c r="E66" s="215"/>
      <c r="F66" s="215" t="n">
        <f aca="false">'Розрахункові параметриПеревірка'!H24</f>
        <v>57.5</v>
      </c>
      <c r="G66" s="215"/>
      <c r="H66" s="215"/>
      <c r="I66" s="215"/>
      <c r="J66" s="215"/>
    </row>
    <row r="67" customFormat="false" ht="18.75" hidden="false" customHeight="false" outlineLevel="0" collapsed="false">
      <c r="A67" s="215" t="s">
        <v>153</v>
      </c>
      <c r="B67" s="215"/>
      <c r="C67" s="215"/>
      <c r="D67" s="215"/>
      <c r="E67" s="215"/>
      <c r="F67" s="215" t="n">
        <f aca="false">'Розрахункові параметриПеревірка'!H25</f>
        <v>0.8</v>
      </c>
      <c r="G67" s="215"/>
      <c r="H67" s="215"/>
      <c r="I67" s="215"/>
      <c r="J67" s="215"/>
    </row>
    <row r="68" customFormat="false" ht="18.75" hidden="false" customHeight="false" outlineLevel="0" collapsed="false">
      <c r="A68" s="215" t="s">
        <v>154</v>
      </c>
      <c r="B68" s="215"/>
      <c r="C68" s="215"/>
      <c r="D68" s="215"/>
      <c r="E68" s="215"/>
      <c r="F68" s="215" t="n">
        <f aca="false">'Розрахункові параметриПеревірка'!H26</f>
        <v>0.303</v>
      </c>
      <c r="G68" s="215"/>
      <c r="H68" s="215"/>
      <c r="I68" s="215"/>
      <c r="J68" s="215"/>
    </row>
    <row r="69" customFormat="false" ht="18.75" hidden="false" customHeight="false" outlineLevel="0" collapsed="false">
      <c r="A69" s="212"/>
      <c r="B69" s="212"/>
      <c r="C69" s="212"/>
      <c r="D69" s="212"/>
      <c r="E69" s="212"/>
      <c r="F69" s="212"/>
      <c r="G69" s="212"/>
      <c r="H69" s="212"/>
      <c r="I69" s="212"/>
      <c r="J69" s="212"/>
    </row>
    <row r="70" customFormat="false" ht="18.75" hidden="false" customHeight="false" outlineLevel="0" collapsed="false">
      <c r="A70" s="203"/>
      <c r="B70" s="212" t="s">
        <v>155</v>
      </c>
      <c r="C70" s="212"/>
      <c r="D70" s="212"/>
      <c r="E70" s="212"/>
      <c r="F70" s="212"/>
      <c r="G70" s="212"/>
      <c r="H70" s="203"/>
      <c r="I70" s="203"/>
      <c r="J70" s="203"/>
    </row>
  </sheetData>
  <mergeCells count="121">
    <mergeCell ref="A1:J1"/>
    <mergeCell ref="A3:E3"/>
    <mergeCell ref="F3:J3"/>
    <mergeCell ref="A4:E4"/>
    <mergeCell ref="F4:J4"/>
    <mergeCell ref="A5:E5"/>
    <mergeCell ref="F5:J5"/>
    <mergeCell ref="B7:G7"/>
    <mergeCell ref="A9:E9"/>
    <mergeCell ref="F9:J9"/>
    <mergeCell ref="A10:E10"/>
    <mergeCell ref="F10:J10"/>
    <mergeCell ref="A11:E11"/>
    <mergeCell ref="F11:J11"/>
    <mergeCell ref="A12:E12"/>
    <mergeCell ref="F12:J12"/>
    <mergeCell ref="A13:E13"/>
    <mergeCell ref="F13:J13"/>
    <mergeCell ref="A14:E14"/>
    <mergeCell ref="F14:J14"/>
    <mergeCell ref="A15:E15"/>
    <mergeCell ref="F15:J15"/>
    <mergeCell ref="A16:E16"/>
    <mergeCell ref="F16:J16"/>
    <mergeCell ref="B18:G18"/>
    <mergeCell ref="A19:E19"/>
    <mergeCell ref="F19:J19"/>
    <mergeCell ref="A20:E20"/>
    <mergeCell ref="F20:J20"/>
    <mergeCell ref="A21:E21"/>
    <mergeCell ref="F21:J21"/>
    <mergeCell ref="A22:E22"/>
    <mergeCell ref="F22:J22"/>
    <mergeCell ref="A23:E23"/>
    <mergeCell ref="F23:J23"/>
    <mergeCell ref="A24:E24"/>
    <mergeCell ref="F24:J24"/>
    <mergeCell ref="A25:E25"/>
    <mergeCell ref="F25:J25"/>
    <mergeCell ref="A26:E26"/>
    <mergeCell ref="F26:J26"/>
    <mergeCell ref="A27:E27"/>
    <mergeCell ref="F27:J27"/>
    <mergeCell ref="A28:E28"/>
    <mergeCell ref="F28:J28"/>
    <mergeCell ref="A29:E29"/>
    <mergeCell ref="F29:J29"/>
    <mergeCell ref="A30:E30"/>
    <mergeCell ref="F30:J30"/>
    <mergeCell ref="A31:E31"/>
    <mergeCell ref="F31:J31"/>
    <mergeCell ref="A32:E32"/>
    <mergeCell ref="F32:J32"/>
    <mergeCell ref="A33:E33"/>
    <mergeCell ref="F33:J33"/>
    <mergeCell ref="A34:E34"/>
    <mergeCell ref="F34:J34"/>
    <mergeCell ref="A35:E35"/>
    <mergeCell ref="F35:J35"/>
    <mergeCell ref="A36:E36"/>
    <mergeCell ref="F36:J36"/>
    <mergeCell ref="A37:E37"/>
    <mergeCell ref="F37:J37"/>
    <mergeCell ref="A38:E38"/>
    <mergeCell ref="F38:J38"/>
    <mergeCell ref="A39:E39"/>
    <mergeCell ref="F39:J39"/>
    <mergeCell ref="A40:E40"/>
    <mergeCell ref="F40:J40"/>
    <mergeCell ref="A41:E41"/>
    <mergeCell ref="F41:J41"/>
    <mergeCell ref="A42:E42"/>
    <mergeCell ref="F42:J42"/>
    <mergeCell ref="A43:E43"/>
    <mergeCell ref="F43:J43"/>
    <mergeCell ref="A44:E44"/>
    <mergeCell ref="F44:J44"/>
    <mergeCell ref="A45:E45"/>
    <mergeCell ref="F45:J45"/>
    <mergeCell ref="A46:E46"/>
    <mergeCell ref="F46:J46"/>
    <mergeCell ref="A47:E47"/>
    <mergeCell ref="F47:J47"/>
    <mergeCell ref="A48:E48"/>
    <mergeCell ref="F48:J48"/>
    <mergeCell ref="B50:G50"/>
    <mergeCell ref="A51:E51"/>
    <mergeCell ref="F51:J51"/>
    <mergeCell ref="A52:E52"/>
    <mergeCell ref="F52:J52"/>
    <mergeCell ref="A53:E53"/>
    <mergeCell ref="F53:J53"/>
    <mergeCell ref="A54:E54"/>
    <mergeCell ref="F54:J54"/>
    <mergeCell ref="A55:E55"/>
    <mergeCell ref="F55:J55"/>
    <mergeCell ref="A56:E56"/>
    <mergeCell ref="F56:J56"/>
    <mergeCell ref="A57:E57"/>
    <mergeCell ref="F57:J57"/>
    <mergeCell ref="A58:E58"/>
    <mergeCell ref="F58:J58"/>
    <mergeCell ref="A59:E59"/>
    <mergeCell ref="F59:J59"/>
    <mergeCell ref="A62:E62"/>
    <mergeCell ref="F62:J62"/>
    <mergeCell ref="A63:E63"/>
    <mergeCell ref="F63:J63"/>
    <mergeCell ref="A64:E64"/>
    <mergeCell ref="F64:J64"/>
    <mergeCell ref="A65:E65"/>
    <mergeCell ref="F65:J65"/>
    <mergeCell ref="A66:E66"/>
    <mergeCell ref="F66:J66"/>
    <mergeCell ref="A67:E67"/>
    <mergeCell ref="F67:J67"/>
    <mergeCell ref="A68:E68"/>
    <mergeCell ref="F68:J68"/>
    <mergeCell ref="A69:E69"/>
    <mergeCell ref="F69:J69"/>
    <mergeCell ref="B70:G70"/>
  </mergeCells>
  <printOptions headings="false" gridLines="false" gridLinesSet="true" horizontalCentered="false" verticalCentered="false"/>
  <pageMargins left="0.118055555555556" right="0.118055555555556" top="0.354166666666667" bottom="0.35416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AE68"/>
  <sheetViews>
    <sheetView windowProtection="false" showFormulas="false" showGridLines="true" showRowColHeaders="true" showZeros="true" rightToLeft="false" tabSelected="false" showOutlineSymbols="true" defaultGridColor="true" view="normal" topLeftCell="A31" colorId="64" zoomScale="65" zoomScaleNormal="65" zoomScalePageLayoutView="100" workbookViewId="0">
      <selection pane="topLeft" activeCell="A57" activeCellId="0" sqref="A57"/>
    </sheetView>
  </sheetViews>
  <sheetFormatPr defaultRowHeight="15"/>
  <cols>
    <col collapsed="false" hidden="false" max="6" min="1" style="1197" width="7.3659793814433"/>
    <col collapsed="false" hidden="false" max="7" min="7" style="1197" width="6.95360824742268"/>
    <col collapsed="false" hidden="false" max="8" min="8" style="1197" width="6.27319587628866"/>
    <col collapsed="false" hidden="false" max="10" min="9" style="1197" width="6.95360824742268"/>
    <col collapsed="false" hidden="false" max="11" min="11" style="1197" width="7.3659793814433"/>
    <col collapsed="false" hidden="false" max="12" min="12" style="1197" width="6.54639175257732"/>
    <col collapsed="false" hidden="false" max="13" min="13" style="1197" width="6.27319587628866"/>
    <col collapsed="false" hidden="false" max="14" min="14" style="1197" width="4.63917525773196"/>
    <col collapsed="false" hidden="false" max="15" min="15" style="1197" width="4.91237113402062"/>
    <col collapsed="false" hidden="false" max="16" min="16" style="1197" width="4.77319587628866"/>
    <col collapsed="false" hidden="false" max="17" min="17" style="1197" width="6.27319587628866"/>
    <col collapsed="false" hidden="false" max="18" min="18" style="1197" width="6.13917525773196"/>
    <col collapsed="false" hidden="false" max="20" min="19" style="1197" width="4.77319587628866"/>
    <col collapsed="false" hidden="false" max="21" min="21" style="1197" width="6.13917525773196"/>
    <col collapsed="false" hidden="false" max="22" min="22" style="1197" width="6.81958762886598"/>
    <col collapsed="false" hidden="false" max="23" min="23" style="1197" width="6.13917525773196"/>
    <col collapsed="false" hidden="false" max="24" min="24" style="1197" width="4.91237113402062"/>
    <col collapsed="false" hidden="false" max="25" min="25" style="1197" width="6.41237113402062"/>
    <col collapsed="false" hidden="false" max="26" min="26" style="1197" width="4.63917525773196"/>
    <col collapsed="false" hidden="false" max="27" min="27" style="1197" width="4.5"/>
    <col collapsed="false" hidden="false" max="28" min="28" style="1197" width="6.13917525773196"/>
    <col collapsed="false" hidden="false" max="29" min="29" style="1197" width="4.5"/>
    <col collapsed="false" hidden="false" max="30" min="30" style="1197" width="4.91237113402062"/>
    <col collapsed="false" hidden="false" max="31" min="31" style="1197" width="6.13917525773196"/>
    <col collapsed="false" hidden="false" max="256" min="32" style="1197" width="9.13917525773196"/>
    <col collapsed="false" hidden="false" max="262" min="257" style="1197" width="7.3659793814433"/>
    <col collapsed="false" hidden="false" max="263" min="263" style="1197" width="6.95360824742268"/>
    <col collapsed="false" hidden="false" max="264" min="264" style="1197" width="6.27319587628866"/>
    <col collapsed="false" hidden="false" max="266" min="265" style="1197" width="6.95360824742268"/>
    <col collapsed="false" hidden="false" max="267" min="267" style="1197" width="7.3659793814433"/>
    <col collapsed="false" hidden="false" max="268" min="268" style="1197" width="6.54639175257732"/>
    <col collapsed="false" hidden="false" max="269" min="269" style="1197" width="6.27319587628866"/>
    <col collapsed="false" hidden="false" max="270" min="270" style="1197" width="4.63917525773196"/>
    <col collapsed="false" hidden="false" max="271" min="271" style="1197" width="4.91237113402062"/>
    <col collapsed="false" hidden="false" max="272" min="272" style="1197" width="4.77319587628866"/>
    <col collapsed="false" hidden="false" max="273" min="273" style="1197" width="6.27319587628866"/>
    <col collapsed="false" hidden="false" max="274" min="274" style="1197" width="6.13917525773196"/>
    <col collapsed="false" hidden="false" max="276" min="275" style="1197" width="4.77319587628866"/>
    <col collapsed="false" hidden="false" max="277" min="277" style="1197" width="6.13917525773196"/>
    <col collapsed="false" hidden="false" max="278" min="278" style="1197" width="6.81958762886598"/>
    <col collapsed="false" hidden="false" max="279" min="279" style="1197" width="6.13917525773196"/>
    <col collapsed="false" hidden="false" max="280" min="280" style="1197" width="4.91237113402062"/>
    <col collapsed="false" hidden="false" max="281" min="281" style="1197" width="6.41237113402062"/>
    <col collapsed="false" hidden="false" max="282" min="282" style="1197" width="4.63917525773196"/>
    <col collapsed="false" hidden="false" max="283" min="283" style="1197" width="4.5"/>
    <col collapsed="false" hidden="false" max="284" min="284" style="1197" width="6.13917525773196"/>
    <col collapsed="false" hidden="false" max="285" min="285" style="1197" width="4.5"/>
    <col collapsed="false" hidden="false" max="286" min="286" style="1197" width="4.91237113402062"/>
    <col collapsed="false" hidden="false" max="287" min="287" style="1197" width="6.13917525773196"/>
    <col collapsed="false" hidden="false" max="512" min="288" style="1197" width="9.13917525773196"/>
    <col collapsed="false" hidden="false" max="518" min="513" style="1197" width="7.3659793814433"/>
    <col collapsed="false" hidden="false" max="519" min="519" style="1197" width="6.95360824742268"/>
    <col collapsed="false" hidden="false" max="520" min="520" style="1197" width="6.27319587628866"/>
    <col collapsed="false" hidden="false" max="522" min="521" style="1197" width="6.95360824742268"/>
    <col collapsed="false" hidden="false" max="523" min="523" style="1197" width="7.3659793814433"/>
    <col collapsed="false" hidden="false" max="524" min="524" style="1197" width="6.54639175257732"/>
    <col collapsed="false" hidden="false" max="525" min="525" style="1197" width="6.27319587628866"/>
    <col collapsed="false" hidden="false" max="526" min="526" style="1197" width="4.63917525773196"/>
    <col collapsed="false" hidden="false" max="527" min="527" style="1197" width="4.91237113402062"/>
    <col collapsed="false" hidden="false" max="528" min="528" style="1197" width="4.77319587628866"/>
    <col collapsed="false" hidden="false" max="529" min="529" style="1197" width="6.27319587628866"/>
    <col collapsed="false" hidden="false" max="530" min="530" style="1197" width="6.13917525773196"/>
    <col collapsed="false" hidden="false" max="532" min="531" style="1197" width="4.77319587628866"/>
    <col collapsed="false" hidden="false" max="533" min="533" style="1197" width="6.13917525773196"/>
    <col collapsed="false" hidden="false" max="534" min="534" style="1197" width="6.81958762886598"/>
    <col collapsed="false" hidden="false" max="535" min="535" style="1197" width="6.13917525773196"/>
    <col collapsed="false" hidden="false" max="536" min="536" style="1197" width="4.91237113402062"/>
    <col collapsed="false" hidden="false" max="537" min="537" style="1197" width="6.41237113402062"/>
    <col collapsed="false" hidden="false" max="538" min="538" style="1197" width="4.63917525773196"/>
    <col collapsed="false" hidden="false" max="539" min="539" style="1197" width="4.5"/>
    <col collapsed="false" hidden="false" max="540" min="540" style="1197" width="6.13917525773196"/>
    <col collapsed="false" hidden="false" max="541" min="541" style="1197" width="4.5"/>
    <col collapsed="false" hidden="false" max="542" min="542" style="1197" width="4.91237113402062"/>
    <col collapsed="false" hidden="false" max="543" min="543" style="1197" width="6.13917525773196"/>
    <col collapsed="false" hidden="false" max="768" min="544" style="1197" width="9.13917525773196"/>
    <col collapsed="false" hidden="false" max="774" min="769" style="1197" width="7.3659793814433"/>
    <col collapsed="false" hidden="false" max="775" min="775" style="1197" width="6.95360824742268"/>
    <col collapsed="false" hidden="false" max="776" min="776" style="1197" width="6.27319587628866"/>
    <col collapsed="false" hidden="false" max="778" min="777" style="1197" width="6.95360824742268"/>
    <col collapsed="false" hidden="false" max="779" min="779" style="1197" width="7.3659793814433"/>
    <col collapsed="false" hidden="false" max="780" min="780" style="1197" width="6.54639175257732"/>
    <col collapsed="false" hidden="false" max="781" min="781" style="1197" width="6.27319587628866"/>
    <col collapsed="false" hidden="false" max="782" min="782" style="1197" width="4.63917525773196"/>
    <col collapsed="false" hidden="false" max="783" min="783" style="1197" width="4.91237113402062"/>
    <col collapsed="false" hidden="false" max="784" min="784" style="1197" width="4.77319587628866"/>
    <col collapsed="false" hidden="false" max="785" min="785" style="1197" width="6.27319587628866"/>
    <col collapsed="false" hidden="false" max="786" min="786" style="1197" width="6.13917525773196"/>
    <col collapsed="false" hidden="false" max="788" min="787" style="1197" width="4.77319587628866"/>
    <col collapsed="false" hidden="false" max="789" min="789" style="1197" width="6.13917525773196"/>
    <col collapsed="false" hidden="false" max="790" min="790" style="1197" width="6.81958762886598"/>
    <col collapsed="false" hidden="false" max="791" min="791" style="1197" width="6.13917525773196"/>
    <col collapsed="false" hidden="false" max="792" min="792" style="1197" width="4.91237113402062"/>
    <col collapsed="false" hidden="false" max="793" min="793" style="1197" width="6.41237113402062"/>
    <col collapsed="false" hidden="false" max="794" min="794" style="1197" width="4.63917525773196"/>
    <col collapsed="false" hidden="false" max="795" min="795" style="1197" width="4.5"/>
    <col collapsed="false" hidden="false" max="796" min="796" style="1197" width="6.13917525773196"/>
    <col collapsed="false" hidden="false" max="797" min="797" style="1197" width="4.5"/>
    <col collapsed="false" hidden="false" max="798" min="798" style="1197" width="4.91237113402062"/>
    <col collapsed="false" hidden="false" max="799" min="799" style="1197" width="6.13917525773196"/>
    <col collapsed="false" hidden="false" max="1025" min="800" style="1197" width="9.13917525773196"/>
  </cols>
  <sheetData>
    <row r="1" customFormat="false" ht="15" hidden="false" customHeight="false" outlineLevel="0" collapsed="false">
      <c r="A1" s="1198" t="s">
        <v>1482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row>
    <row r="2" customFormat="false" ht="15" hidden="false" customHeight="false" outlineLevel="0" collapsed="false">
      <c r="A2" s="1198" t="s">
        <v>1483</v>
      </c>
      <c r="B2" s="0"/>
      <c r="C2" s="0"/>
      <c r="D2" s="0"/>
      <c r="E2" s="0"/>
      <c r="F2" s="0"/>
      <c r="G2" s="0"/>
      <c r="H2" s="0"/>
      <c r="I2" s="1198" t="s">
        <v>1484</v>
      </c>
      <c r="J2" s="0"/>
      <c r="K2" s="0"/>
      <c r="L2" s="0"/>
      <c r="M2" s="0"/>
      <c r="N2" s="0"/>
      <c r="O2" s="0"/>
      <c r="P2" s="0"/>
      <c r="Q2" s="0"/>
      <c r="R2" s="0"/>
      <c r="S2" s="0"/>
      <c r="T2" s="0"/>
      <c r="U2" s="0"/>
      <c r="V2" s="0"/>
      <c r="W2" s="0"/>
      <c r="X2" s="0"/>
      <c r="Y2" s="0"/>
      <c r="Z2" s="0"/>
      <c r="AA2" s="0"/>
      <c r="AB2" s="0"/>
      <c r="AC2" s="0"/>
      <c r="AD2" s="0"/>
      <c r="AE2" s="0"/>
    </row>
    <row r="3" customFormat="false" ht="15"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row>
    <row r="4" customFormat="false" ht="15" hidden="false" customHeight="false" outlineLevel="0" collapsed="false">
      <c r="A4" s="1199" t="s">
        <v>1485</v>
      </c>
      <c r="B4" s="1199" t="s">
        <v>1486</v>
      </c>
      <c r="C4" s="1199"/>
      <c r="D4" s="1199"/>
      <c r="E4" s="1199"/>
      <c r="F4" s="1199"/>
      <c r="G4" s="1199"/>
      <c r="H4" s="1199"/>
      <c r="I4" s="1199"/>
      <c r="J4" s="1199"/>
      <c r="K4" s="1199"/>
      <c r="L4" s="0"/>
      <c r="M4" s="0"/>
      <c r="N4" s="0"/>
      <c r="O4" s="0"/>
      <c r="P4" s="0"/>
      <c r="Q4" s="0"/>
      <c r="R4" s="0"/>
      <c r="S4" s="0"/>
      <c r="T4" s="0"/>
      <c r="U4" s="0"/>
      <c r="V4" s="1199" t="s">
        <v>1486</v>
      </c>
      <c r="W4" s="1199"/>
      <c r="X4" s="1199"/>
      <c r="Y4" s="1199"/>
      <c r="Z4" s="1199"/>
      <c r="AA4" s="1199"/>
      <c r="AB4" s="1199"/>
      <c r="AC4" s="1199"/>
      <c r="AD4" s="1199"/>
      <c r="AE4" s="1199"/>
    </row>
    <row r="5" customFormat="false" ht="15" hidden="false" customHeight="false" outlineLevel="0" collapsed="false">
      <c r="A5" s="1199"/>
      <c r="B5" s="1200" t="n">
        <v>0.1</v>
      </c>
      <c r="C5" s="1201" t="n">
        <v>0.2</v>
      </c>
      <c r="D5" s="1201" t="n">
        <v>0.3</v>
      </c>
      <c r="E5" s="1201" t="n">
        <v>0.4</v>
      </c>
      <c r="F5" s="1201" t="n">
        <v>0.5</v>
      </c>
      <c r="G5" s="1201" t="n">
        <v>0.6</v>
      </c>
      <c r="H5" s="1201" t="n">
        <v>0.7</v>
      </c>
      <c r="I5" s="1201" t="n">
        <v>0.8</v>
      </c>
      <c r="J5" s="1201" t="n">
        <v>0.9</v>
      </c>
      <c r="K5" s="1202" t="n">
        <v>1</v>
      </c>
      <c r="L5" s="1200" t="n">
        <v>0.1</v>
      </c>
      <c r="M5" s="1201" t="n">
        <v>0.2</v>
      </c>
      <c r="N5" s="1201" t="n">
        <v>0.3</v>
      </c>
      <c r="O5" s="1201" t="n">
        <v>0.4</v>
      </c>
      <c r="P5" s="1201" t="n">
        <v>0.5</v>
      </c>
      <c r="Q5" s="1201" t="n">
        <v>0.6</v>
      </c>
      <c r="R5" s="1201" t="n">
        <v>0.7</v>
      </c>
      <c r="S5" s="1201" t="n">
        <v>0.8</v>
      </c>
      <c r="T5" s="1201" t="n">
        <v>0.9</v>
      </c>
      <c r="U5" s="1202" t="n">
        <v>1</v>
      </c>
      <c r="V5" s="1200" t="n">
        <v>0.1</v>
      </c>
      <c r="W5" s="1201" t="n">
        <v>0.2</v>
      </c>
      <c r="X5" s="1201" t="n">
        <v>0.3</v>
      </c>
      <c r="Y5" s="1201" t="n">
        <v>0.4</v>
      </c>
      <c r="Z5" s="1201" t="n">
        <v>0.5</v>
      </c>
      <c r="AA5" s="1201" t="n">
        <v>0.6</v>
      </c>
      <c r="AB5" s="1201" t="n">
        <v>0.7</v>
      </c>
      <c r="AC5" s="1201" t="n">
        <v>0.8</v>
      </c>
      <c r="AD5" s="1201" t="n">
        <v>0.9</v>
      </c>
      <c r="AE5" s="1202" t="n">
        <v>1</v>
      </c>
    </row>
    <row r="6" customFormat="false" ht="15" hidden="false" customHeight="false" outlineLevel="0" collapsed="false">
      <c r="A6" s="1203" t="n">
        <v>5</v>
      </c>
      <c r="B6" s="1204" t="n">
        <v>0.892</v>
      </c>
      <c r="C6" s="1204" t="n">
        <v>0.892</v>
      </c>
      <c r="D6" s="1204" t="n">
        <v>0.892</v>
      </c>
      <c r="E6" s="1204" t="n">
        <v>0.845</v>
      </c>
      <c r="F6" s="1204" t="n">
        <v>0.75</v>
      </c>
      <c r="G6" s="1204" t="n">
        <v>0.648</v>
      </c>
      <c r="H6" s="1204" t="n">
        <v>0.554</v>
      </c>
      <c r="I6" s="1204" t="n">
        <v>0.471</v>
      </c>
      <c r="J6" s="1204" t="n">
        <v>0.401</v>
      </c>
      <c r="K6" s="1205" t="n">
        <v>0.342</v>
      </c>
      <c r="L6" s="1206" t="n">
        <v>0.8857715</v>
      </c>
      <c r="M6" s="1206" t="n">
        <v>0.908628</v>
      </c>
      <c r="N6" s="1206" t="n">
        <v>0.8869725</v>
      </c>
      <c r="O6" s="1206" t="n">
        <v>0.831008</v>
      </c>
      <c r="P6" s="1206" t="n">
        <v>0.7509375</v>
      </c>
      <c r="Q6" s="1206" t="n">
        <v>0.656964</v>
      </c>
      <c r="R6" s="1206" t="n">
        <v>0.5592905</v>
      </c>
      <c r="S6" s="1206" t="n">
        <v>0.46812</v>
      </c>
      <c r="T6" s="1206" t="n">
        <v>0.3936555</v>
      </c>
      <c r="U6" s="1206" t="n">
        <v>0.3461</v>
      </c>
      <c r="V6" s="1207" t="n">
        <f aca="false">(B6/L6-1)*100</f>
        <v>0.70317231927195</v>
      </c>
      <c r="W6" s="1207" t="n">
        <f aca="false">(C6/M6-1)*100</f>
        <v>-1.83001184202996</v>
      </c>
      <c r="X6" s="1207" t="n">
        <f aca="false">(D6/N6-1)*100</f>
        <v>0.566815769372786</v>
      </c>
      <c r="Y6" s="1207" t="n">
        <f aca="false">(E6/O6-1)*100</f>
        <v>1.6837383033617</v>
      </c>
      <c r="Z6" s="1207" t="n">
        <f aca="false">(F6/P6-1)*100</f>
        <v>-0.124843945068664</v>
      </c>
      <c r="AA6" s="1207" t="n">
        <f aca="false">(G6/Q6-1)*100</f>
        <v>-1.36445832648364</v>
      </c>
      <c r="AB6" s="1207" t="n">
        <f aca="false">(H6/R6-1)*100</f>
        <v>-0.945930603148093</v>
      </c>
      <c r="AC6" s="1207" t="n">
        <f aca="false">(I6/S6-1)*100</f>
        <v>0.615226864906426</v>
      </c>
      <c r="AD6" s="1207" t="n">
        <f aca="false">(J6/T6-1)*100</f>
        <v>1.8657176134971</v>
      </c>
      <c r="AE6" s="1207" t="n">
        <f aca="false">(K6/U6-1)*100</f>
        <v>-1.18462872002312</v>
      </c>
    </row>
    <row r="7" customFormat="false" ht="15" hidden="false" customHeight="false" outlineLevel="0" collapsed="false">
      <c r="A7" s="1208" t="n">
        <v>7</v>
      </c>
      <c r="B7" s="1209" t="n">
        <v>1.248</v>
      </c>
      <c r="C7" s="1209" t="n">
        <v>1.248</v>
      </c>
      <c r="D7" s="1209" t="n">
        <v>1.248</v>
      </c>
      <c r="E7" s="1209" t="n">
        <v>1.126</v>
      </c>
      <c r="F7" s="1209" t="n">
        <v>0.964</v>
      </c>
      <c r="G7" s="1209" t="n">
        <v>0.815</v>
      </c>
      <c r="H7" s="1209" t="n">
        <v>0.689</v>
      </c>
      <c r="I7" s="1209" t="n">
        <v>0.58</v>
      </c>
      <c r="J7" s="1209" t="n">
        <v>0.491</v>
      </c>
      <c r="K7" s="1210" t="n">
        <v>0.419</v>
      </c>
      <c r="L7" s="1206" t="n">
        <v>1.2494337</v>
      </c>
      <c r="M7" s="1206" t="n">
        <v>1.2651576</v>
      </c>
      <c r="N7" s="1206" t="n">
        <v>1.2148659</v>
      </c>
      <c r="O7" s="1206" t="n">
        <v>1.1154528</v>
      </c>
      <c r="P7" s="1206" t="n">
        <v>0.9838125</v>
      </c>
      <c r="Q7" s="1206" t="n">
        <v>0.8368392</v>
      </c>
      <c r="R7" s="1206" t="n">
        <v>0.6914271</v>
      </c>
      <c r="S7" s="1206" t="n">
        <v>0.5644704</v>
      </c>
      <c r="T7" s="1206" t="n">
        <v>0.4728633</v>
      </c>
      <c r="U7" s="1206" t="n">
        <v>0.4335</v>
      </c>
      <c r="V7" s="1207" t="n">
        <f aca="false">(B7/L7-1)*100</f>
        <v>-0.114747985427321</v>
      </c>
      <c r="W7" s="1207" t="n">
        <f aca="false">(C7/M7-1)*100</f>
        <v>-1.35616305826246</v>
      </c>
      <c r="X7" s="1207" t="n">
        <f aca="false">(D7/N7-1)*100</f>
        <v>2.72738744251526</v>
      </c>
      <c r="Y7" s="1207" t="n">
        <f aca="false">(E7/O7-1)*100</f>
        <v>0.945553231835539</v>
      </c>
      <c r="Z7" s="1207" t="n">
        <f aca="false">(F7/P7-1)*100</f>
        <v>-2.01384918366051</v>
      </c>
      <c r="AA7" s="1207" t="n">
        <f aca="false">(G7/Q7-1)*100</f>
        <v>-2.60972478344705</v>
      </c>
      <c r="AB7" s="1207" t="n">
        <f aca="false">(H7/R7-1)*100</f>
        <v>-0.351027606525689</v>
      </c>
      <c r="AC7" s="1207" t="n">
        <f aca="false">(I7/S7-1)*100</f>
        <v>2.75118057563335</v>
      </c>
      <c r="AD7" s="1207" t="n">
        <f aca="false">(J7/T7-1)*100</f>
        <v>3.83550594854791</v>
      </c>
      <c r="AE7" s="1207" t="n">
        <f aca="false">(K7/U7-1)*100</f>
        <v>-3.34486735870819</v>
      </c>
    </row>
    <row r="8" customFormat="false" ht="15" hidden="false" customHeight="false" outlineLevel="0" collapsed="false">
      <c r="A8" s="1208" t="n">
        <v>10</v>
      </c>
      <c r="B8" s="1209" t="n">
        <v>1.673</v>
      </c>
      <c r="C8" s="1209" t="n">
        <v>1.673</v>
      </c>
      <c r="D8" s="1209" t="n">
        <v>1.668</v>
      </c>
      <c r="E8" s="1209" t="n">
        <v>1.434</v>
      </c>
      <c r="F8" s="1209" t="n">
        <v>1.194</v>
      </c>
      <c r="G8" s="1209" t="n">
        <v>0.99</v>
      </c>
      <c r="H8" s="1209" t="n">
        <v>0.827</v>
      </c>
      <c r="I8" s="1209" t="n">
        <v>0.694</v>
      </c>
      <c r="J8" s="1209" t="n">
        <v>0.586</v>
      </c>
      <c r="K8" s="1210" t="n">
        <v>0.499</v>
      </c>
      <c r="L8" s="1206" t="n">
        <v>1.6884197</v>
      </c>
      <c r="M8" s="1206" t="n">
        <v>1.6853016</v>
      </c>
      <c r="N8" s="1206" t="n">
        <v>1.5929299</v>
      </c>
      <c r="O8" s="1206" t="n">
        <v>1.4360888</v>
      </c>
      <c r="P8" s="1206" t="n">
        <v>1.2395625</v>
      </c>
      <c r="Q8" s="1206" t="n">
        <v>1.0281352</v>
      </c>
      <c r="R8" s="1206" t="n">
        <v>0.8265911</v>
      </c>
      <c r="S8" s="1206" t="n">
        <v>0.6597144</v>
      </c>
      <c r="T8" s="1206" t="n">
        <v>0.552289300000001</v>
      </c>
      <c r="U8" s="1206" t="n">
        <v>0.5291</v>
      </c>
      <c r="V8" s="1207" t="n">
        <f aca="false">(B8/L8-1)*100</f>
        <v>-0.913262265300507</v>
      </c>
      <c r="W8" s="1207" t="n">
        <f aca="false">(C8/M8-1)*100</f>
        <v>-0.729934630098261</v>
      </c>
      <c r="X8" s="1207" t="n">
        <f aca="false">(D8/N8-1)*100</f>
        <v>4.71270581335688</v>
      </c>
      <c r="Y8" s="1207" t="n">
        <f aca="false">(E8/O8-1)*100</f>
        <v>-0.145450615588683</v>
      </c>
      <c r="Z8" s="1207" t="n">
        <f aca="false">(F8/P8-1)*100</f>
        <v>-3.67569202843745</v>
      </c>
      <c r="AA8" s="1207" t="n">
        <f aca="false">(G8/Q8-1)*100</f>
        <v>-3.70916198569993</v>
      </c>
      <c r="AB8" s="1207" t="n">
        <f aca="false">(H8/R8-1)*100</f>
        <v>0.0494682316322992</v>
      </c>
      <c r="AC8" s="1207" t="n">
        <f aca="false">(I8/S8-1)*100</f>
        <v>5.19703677833923</v>
      </c>
      <c r="AD8" s="1207" t="n">
        <f aca="false">(J8/T8-1)*100</f>
        <v>6.10381189713416</v>
      </c>
      <c r="AE8" s="1207" t="n">
        <f aca="false">(K8/U8-1)*100</f>
        <v>-5.68890568890569</v>
      </c>
    </row>
    <row r="9" customFormat="false" ht="15" hidden="false" customHeight="false" outlineLevel="0" collapsed="false">
      <c r="A9" s="1208" t="n">
        <v>20</v>
      </c>
      <c r="B9" s="1209" t="n">
        <v>3.029</v>
      </c>
      <c r="C9" s="1209" t="n">
        <v>3.029</v>
      </c>
      <c r="D9" s="1209" t="n">
        <v>2.581</v>
      </c>
      <c r="E9" s="1209" t="n">
        <v>2.063</v>
      </c>
      <c r="F9" s="1209" t="n">
        <v>1.648</v>
      </c>
      <c r="G9" s="1209" t="n">
        <v>1.338</v>
      </c>
      <c r="H9" s="1209" t="n">
        <v>1.099</v>
      </c>
      <c r="I9" s="1209" t="n">
        <v>0.913</v>
      </c>
      <c r="J9" s="1209" t="n">
        <v>0.766</v>
      </c>
      <c r="K9" s="1210" t="n">
        <v>0.65</v>
      </c>
      <c r="L9" s="1206" t="n">
        <v>3.1415821</v>
      </c>
      <c r="M9" s="1206" t="n">
        <v>2.8572208</v>
      </c>
      <c r="N9" s="1206" t="n">
        <v>2.5118947</v>
      </c>
      <c r="O9" s="1206" t="n">
        <v>2.1332824</v>
      </c>
      <c r="P9" s="1206" t="n">
        <v>1.7490625</v>
      </c>
      <c r="Q9" s="1206" t="n">
        <v>1.3869136</v>
      </c>
      <c r="R9" s="1206" t="n">
        <v>1.0745143</v>
      </c>
      <c r="S9" s="1206" t="n">
        <v>0.839543200000001</v>
      </c>
      <c r="T9" s="1206" t="n">
        <v>0.709678900000001</v>
      </c>
      <c r="U9" s="1206" t="n">
        <v>0.712600000000001</v>
      </c>
      <c r="V9" s="1207" t="n">
        <f aca="false">(B9/L9-1)*100</f>
        <v>-3.58361158220248</v>
      </c>
      <c r="W9" s="1207" t="n">
        <f aca="false">(C9/M9-1)*100</f>
        <v>6.01210798969405</v>
      </c>
      <c r="X9" s="1207" t="n">
        <f aca="false">(D9/N9-1)*100</f>
        <v>2.75112248933047</v>
      </c>
      <c r="Y9" s="1207" t="n">
        <f aca="false">(E9/O9-1)*100</f>
        <v>-3.29456615776702</v>
      </c>
      <c r="Z9" s="1207" t="n">
        <f aca="false">(F9/P9-1)*100</f>
        <v>-5.77809540825442</v>
      </c>
      <c r="AA9" s="1207" t="n">
        <f aca="false">(G9/Q9-1)*100</f>
        <v>-3.52679503611472</v>
      </c>
      <c r="AB9" s="1207" t="n">
        <f aca="false">(H9/R9-1)*100</f>
        <v>2.27876911456646</v>
      </c>
      <c r="AC9" s="1207" t="n">
        <f aca="false">(I9/S9-1)*100</f>
        <v>8.74961526696887</v>
      </c>
      <c r="AD9" s="1207" t="n">
        <f aca="false">(J9/T9-1)*100</f>
        <v>7.93613844232919</v>
      </c>
      <c r="AE9" s="1207" t="n">
        <f aca="false">(K9/U9-1)*100</f>
        <v>-8.78473196744329</v>
      </c>
    </row>
    <row r="10" customFormat="false" ht="15" hidden="false" customHeight="false" outlineLevel="0" collapsed="false">
      <c r="A10" s="1208" t="n">
        <v>25</v>
      </c>
      <c r="B10" s="1209" t="n">
        <v>3.55</v>
      </c>
      <c r="C10" s="1209" t="n">
        <v>3.542</v>
      </c>
      <c r="D10" s="1209" t="n">
        <v>2.898</v>
      </c>
      <c r="E10" s="1209" t="n">
        <v>2.279</v>
      </c>
      <c r="F10" s="1209" t="n">
        <v>1.802</v>
      </c>
      <c r="G10" s="1209" t="n">
        <v>1.452</v>
      </c>
      <c r="H10" s="1209" t="n">
        <v>1.187</v>
      </c>
      <c r="I10" s="1209" t="n">
        <v>0.983</v>
      </c>
      <c r="J10" s="1209" t="n">
        <v>0.824</v>
      </c>
      <c r="K10" s="1210" t="n">
        <v>0.697</v>
      </c>
      <c r="L10" s="1206" t="n">
        <v>3.7009956</v>
      </c>
      <c r="M10" s="1206" t="n">
        <v>3.2924888</v>
      </c>
      <c r="N10" s="1206" t="n">
        <v>2.8413392</v>
      </c>
      <c r="O10" s="1206" t="n">
        <v>2.3747064</v>
      </c>
      <c r="P10" s="1206" t="n">
        <v>1.91975</v>
      </c>
      <c r="Q10" s="1206" t="n">
        <v>1.5036296</v>
      </c>
      <c r="R10" s="1206" t="n">
        <v>1.1535048</v>
      </c>
      <c r="S10" s="1206" t="n">
        <v>0.8965352</v>
      </c>
      <c r="T10" s="1206" t="n">
        <v>0.759880400000001</v>
      </c>
      <c r="U10" s="1206" t="n">
        <v>0.770700000000001</v>
      </c>
      <c r="V10" s="1207" t="n">
        <f aca="false">(B10/L10-1)*100</f>
        <v>-4.07986434785279</v>
      </c>
      <c r="W10" s="1207" t="n">
        <f aca="false">(C10/M10-1)*100</f>
        <v>7.57819434344014</v>
      </c>
      <c r="X10" s="1207" t="n">
        <f aca="false">(D10/N10-1)*100</f>
        <v>1.99415824763196</v>
      </c>
      <c r="Y10" s="1207" t="n">
        <f aca="false">(E10/O10-1)*100</f>
        <v>-4.03024138057657</v>
      </c>
      <c r="Z10" s="1207" t="n">
        <f aca="false">(F10/P10-1)*100</f>
        <v>-6.1336111472848</v>
      </c>
      <c r="AA10" s="1207" t="n">
        <f aca="false">(G10/Q10-1)*100</f>
        <v>-3.43366478020917</v>
      </c>
      <c r="AB10" s="1207" t="n">
        <f aca="false">(H10/R10-1)*100</f>
        <v>2.90377638653951</v>
      </c>
      <c r="AC10" s="1207" t="n">
        <f aca="false">(I10/S10-1)*100</f>
        <v>9.64432852162414</v>
      </c>
      <c r="AD10" s="1207" t="n">
        <f aca="false">(J10/T10-1)*100</f>
        <v>8.43811736689075</v>
      </c>
      <c r="AE10" s="1207" t="n">
        <f aca="false">(K10/U10-1)*100</f>
        <v>-9.56273517581433</v>
      </c>
    </row>
    <row r="11" customFormat="false" ht="15" hidden="false" customHeight="false" outlineLevel="0" collapsed="false">
      <c r="A11" s="1208" t="n">
        <v>30</v>
      </c>
      <c r="B11" s="1209" t="n">
        <v>4.02</v>
      </c>
      <c r="C11" s="1209" t="n">
        <v>3.995</v>
      </c>
      <c r="D11" s="1209" t="n">
        <v>3.171</v>
      </c>
      <c r="E11" s="1209" t="n">
        <v>2.456</v>
      </c>
      <c r="F11" s="1209" t="n">
        <v>1.929</v>
      </c>
      <c r="G11" s="1209" t="n">
        <v>1.545</v>
      </c>
      <c r="H11" s="1209" t="n">
        <v>1.258</v>
      </c>
      <c r="I11" s="1209" t="n">
        <v>1.039</v>
      </c>
      <c r="J11" s="1209" t="n">
        <v>0.87</v>
      </c>
      <c r="K11" s="1210" t="n">
        <v>0.735</v>
      </c>
      <c r="L11" s="1206" t="n">
        <v>4.2088979</v>
      </c>
      <c r="M11" s="1206" t="n">
        <v>3.6836192</v>
      </c>
      <c r="N11" s="1206" t="n">
        <v>3.1362753</v>
      </c>
      <c r="O11" s="1206" t="n">
        <v>2.5926776</v>
      </c>
      <c r="P11" s="1206" t="n">
        <v>2.0786375</v>
      </c>
      <c r="Q11" s="1206" t="n">
        <v>1.6199664</v>
      </c>
      <c r="R11" s="1206" t="n">
        <v>1.2424757</v>
      </c>
      <c r="S11" s="1206" t="n">
        <v>0.9719768</v>
      </c>
      <c r="T11" s="1206" t="n">
        <v>0.8342811</v>
      </c>
      <c r="U11" s="1206" t="n">
        <v>0.8552</v>
      </c>
      <c r="V11" s="1207" t="n">
        <f aca="false">(B11/L11-1)*100</f>
        <v>-4.4880608769341</v>
      </c>
      <c r="W11" s="1207" t="n">
        <f aca="false">(C11/M11-1)*100</f>
        <v>8.45312132155247</v>
      </c>
      <c r="X11" s="1207" t="n">
        <f aca="false">(D11/N11-1)*100</f>
        <v>1.10719553222896</v>
      </c>
      <c r="Y11" s="1207" t="n">
        <f aca="false">(E11/O11-1)*100</f>
        <v>-5.27167743494217</v>
      </c>
      <c r="Z11" s="1207" t="n">
        <f aca="false">(F11/P11-1)*100</f>
        <v>-7.19882615415146</v>
      </c>
      <c r="AA11" s="1207" t="n">
        <f aca="false">(G11/Q11-1)*100</f>
        <v>-4.62765153647632</v>
      </c>
      <c r="AB11" s="1207" t="n">
        <f aca="false">(H11/R11-1)*100</f>
        <v>1.24946508008166</v>
      </c>
      <c r="AC11" s="1207" t="n">
        <f aca="false">(I11/S11-1)*100</f>
        <v>6.89555553177812</v>
      </c>
      <c r="AD11" s="1207" t="n">
        <f aca="false">(J11/T11-1)*100</f>
        <v>4.28139867965365</v>
      </c>
      <c r="AE11" s="1207" t="n">
        <f aca="false">(K11/U11-1)*100</f>
        <v>-14.0551917680075</v>
      </c>
    </row>
    <row r="12" customFormat="false" ht="15" hidden="false" customHeight="false" outlineLevel="0" collapsed="false">
      <c r="A12" s="1208" t="n">
        <v>40</v>
      </c>
      <c r="B12" s="1209" t="n">
        <v>4.86</v>
      </c>
      <c r="C12" s="1209" t="n">
        <v>4.769</v>
      </c>
      <c r="D12" s="1209" t="n">
        <v>3.62</v>
      </c>
      <c r="E12" s="1209" t="n">
        <v>2.743</v>
      </c>
      <c r="F12" s="1209" t="n">
        <v>2.131</v>
      </c>
      <c r="G12" s="1209" t="n">
        <v>1.691</v>
      </c>
      <c r="H12" s="1209" t="n">
        <v>1.37</v>
      </c>
      <c r="I12" s="1209" t="n">
        <v>1.127</v>
      </c>
      <c r="J12" s="1209" t="n">
        <v>0.94</v>
      </c>
      <c r="K12" s="1210" t="n">
        <v>0.792</v>
      </c>
      <c r="L12" s="1206" t="n">
        <v>5.099628</v>
      </c>
      <c r="M12" s="1206" t="n">
        <v>4.336</v>
      </c>
      <c r="N12" s="1206" t="n">
        <v>3.597718</v>
      </c>
      <c r="O12" s="1206" t="n">
        <v>2.905584</v>
      </c>
      <c r="P12" s="1206" t="n">
        <v>2.2804</v>
      </c>
      <c r="Q12" s="1206" t="n">
        <v>1.742968</v>
      </c>
      <c r="R12" s="1206" t="n">
        <v>1.31409</v>
      </c>
      <c r="S12" s="1206" t="n">
        <v>1.014568</v>
      </c>
      <c r="T12" s="1206" t="n">
        <v>0.865203999999999</v>
      </c>
      <c r="U12" s="1206" t="n">
        <v>0.8868</v>
      </c>
      <c r="V12" s="1207" t="n">
        <f aca="false">(B12/L12-1)*100</f>
        <v>-4.698930980848</v>
      </c>
      <c r="W12" s="1207" t="n">
        <f aca="false">(C12/M12-1)*100</f>
        <v>9.98616236162362</v>
      </c>
      <c r="X12" s="1207" t="n">
        <f aca="false">(D12/N12-1)*100</f>
        <v>0.619337035309608</v>
      </c>
      <c r="Y12" s="1207" t="n">
        <f aca="false">(E12/O12-1)*100</f>
        <v>-5.59557046018977</v>
      </c>
      <c r="Z12" s="1207" t="n">
        <f aca="false">(F12/P12-1)*100</f>
        <v>-6.55148219610596</v>
      </c>
      <c r="AA12" s="1207" t="n">
        <f aca="false">(G12/Q12-1)*100</f>
        <v>-2.98158084371027</v>
      </c>
      <c r="AB12" s="1207" t="n">
        <f aca="false">(H12/R12-1)*100</f>
        <v>4.25465531280203</v>
      </c>
      <c r="AC12" s="1207" t="n">
        <f aca="false">(I12/S12-1)*100</f>
        <v>11.0817609071053</v>
      </c>
      <c r="AD12" s="1207" t="n">
        <f aca="false">(J12/T12-1)*100</f>
        <v>8.64489761952108</v>
      </c>
      <c r="AE12" s="1207" t="n">
        <f aca="false">(K12/U12-1)*100</f>
        <v>-10.6901217861976</v>
      </c>
    </row>
    <row r="13" customFormat="false" ht="15" hidden="false" customHeight="false" outlineLevel="0" collapsed="false">
      <c r="A13" s="1208" t="n">
        <v>50</v>
      </c>
      <c r="B13" s="1209" t="n">
        <v>5.69</v>
      </c>
      <c r="C13" s="1209" t="n">
        <v>5.419</v>
      </c>
      <c r="D13" s="1209" t="n">
        <v>3.989</v>
      </c>
      <c r="E13" s="1209" t="n">
        <v>2.973</v>
      </c>
      <c r="F13" s="1209" t="n">
        <v>2.287</v>
      </c>
      <c r="G13" s="1209" t="n">
        <v>1.806</v>
      </c>
      <c r="H13" s="1209" t="n">
        <v>1.456</v>
      </c>
      <c r="I13" s="1209" t="n">
        <v>1.194</v>
      </c>
      <c r="J13" s="1209" t="n">
        <v>0.994</v>
      </c>
      <c r="K13" s="1210" t="n">
        <v>0.837</v>
      </c>
      <c r="L13" s="1206" t="n">
        <v>5.9554083</v>
      </c>
      <c r="M13" s="1206" t="n">
        <v>4.9253304</v>
      </c>
      <c r="N13" s="1206" t="n">
        <v>3.9894621</v>
      </c>
      <c r="O13" s="1206" t="n">
        <v>3.1579992</v>
      </c>
      <c r="P13" s="1206" t="n">
        <v>2.4411375</v>
      </c>
      <c r="Q13" s="1206" t="n">
        <v>1.8490728</v>
      </c>
      <c r="R13" s="1206" t="n">
        <v>1.3920009</v>
      </c>
      <c r="S13" s="1206" t="n">
        <v>1.0801176</v>
      </c>
      <c r="T13" s="1206" t="n">
        <v>0.9236187</v>
      </c>
      <c r="U13" s="1206" t="n">
        <v>0.9327</v>
      </c>
      <c r="V13" s="1207" t="n">
        <f aca="false">(B13/L13-1)*100</f>
        <v>-4.45659284183756</v>
      </c>
      <c r="W13" s="1207" t="n">
        <f aca="false">(C13/M13-1)*100</f>
        <v>10.0230758123353</v>
      </c>
      <c r="X13" s="1207" t="n">
        <f aca="false">(D13/N13-1)*100</f>
        <v>-0.0115830151638741</v>
      </c>
      <c r="Y13" s="1207" t="n">
        <f aca="false">(E13/O13-1)*100</f>
        <v>-5.85811421358181</v>
      </c>
      <c r="Z13" s="1207" t="n">
        <f aca="false">(F13/P13-1)*100</f>
        <v>-6.31416706351036</v>
      </c>
      <c r="AA13" s="1207" t="n">
        <f aca="false">(G13/Q13-1)*100</f>
        <v>-2.32942694306033</v>
      </c>
      <c r="AB13" s="1207" t="n">
        <f aca="false">(H13/R13-1)*100</f>
        <v>4.597633521645</v>
      </c>
      <c r="AC13" s="1207" t="n">
        <f aca="false">(I13/S13-1)*100</f>
        <v>10.5435185946419</v>
      </c>
      <c r="AD13" s="1207" t="n">
        <f aca="false">(J13/T13-1)*100</f>
        <v>7.62016836601511</v>
      </c>
      <c r="AE13" s="1207" t="n">
        <f aca="false">(K13/U13-1)*100</f>
        <v>-10.2605339337408</v>
      </c>
    </row>
    <row r="14" customFormat="false" ht="15" hidden="false" customHeight="false" outlineLevel="0" collapsed="false">
      <c r="A14" s="1208" t="n">
        <v>70</v>
      </c>
      <c r="B14" s="1209"/>
      <c r="C14" s="1209" t="n">
        <v>6.46</v>
      </c>
      <c r="D14" s="1209" t="n">
        <v>4.553</v>
      </c>
      <c r="E14" s="1209" t="n">
        <v>3.323</v>
      </c>
      <c r="F14" s="1209" t="n">
        <v>2.524</v>
      </c>
      <c r="G14" s="1209" t="n">
        <v>1.977</v>
      </c>
      <c r="H14" s="1209" t="n">
        <v>1.584</v>
      </c>
      <c r="I14" s="1209" t="n">
        <v>1.294</v>
      </c>
      <c r="J14" s="1209" t="n">
        <v>1.075</v>
      </c>
      <c r="K14" s="1210" t="n">
        <v>0.904</v>
      </c>
      <c r="L14" s="1206" t="n">
        <v>8.773513</v>
      </c>
      <c r="M14" s="1206" t="n">
        <v>6.408624</v>
      </c>
      <c r="N14" s="1206" t="n">
        <v>4.634391</v>
      </c>
      <c r="O14" s="1206" t="n">
        <v>3.356872</v>
      </c>
      <c r="P14" s="1206" t="n">
        <v>2.482125</v>
      </c>
      <c r="Q14" s="1206" t="n">
        <v>1.916208</v>
      </c>
      <c r="R14" s="1206" t="n">
        <v>1.565179</v>
      </c>
      <c r="S14" s="1206" t="n">
        <v>1.335096</v>
      </c>
      <c r="T14" s="1206" t="n">
        <v>1.132017</v>
      </c>
      <c r="U14" s="1206" t="n">
        <v>0.861999999999998</v>
      </c>
      <c r="V14" s="1207"/>
      <c r="W14" s="1207" t="n">
        <f aca="false">(C14/M14-1)*100</f>
        <v>0.801669750011858</v>
      </c>
      <c r="X14" s="1207" t="n">
        <f aca="false">(D14/N14-1)*100</f>
        <v>-1.75623938506699</v>
      </c>
      <c r="Y14" s="1207" t="n">
        <f aca="false">(E14/O14-1)*100</f>
        <v>-1.00903460125975</v>
      </c>
      <c r="Z14" s="1207" t="n">
        <f aca="false">(F14/P14-1)*100</f>
        <v>1.68706249685251</v>
      </c>
      <c r="AA14" s="1207" t="n">
        <f aca="false">(G14/Q14-1)*100</f>
        <v>3.17251571854413</v>
      </c>
      <c r="AB14" s="1207" t="n">
        <f aca="false">(H14/R14-1)*100</f>
        <v>1.20248227199573</v>
      </c>
      <c r="AC14" s="1207" t="n">
        <f aca="false">(I14/S14-1)*100</f>
        <v>-3.0781307111998</v>
      </c>
      <c r="AD14" s="1207" t="n">
        <f aca="false">(J14/T14-1)*100</f>
        <v>-5.03676181541444</v>
      </c>
      <c r="AE14" s="1207" t="n">
        <f aca="false">(K14/U14-1)*100</f>
        <v>4.87238979118354</v>
      </c>
    </row>
    <row r="15" customFormat="false" ht="15" hidden="false" customHeight="false" outlineLevel="0" collapsed="false">
      <c r="A15" s="1211" t="n">
        <v>100</v>
      </c>
      <c r="B15" s="1212"/>
      <c r="C15" s="1212" t="n">
        <v>7.628</v>
      </c>
      <c r="D15" s="1212" t="n">
        <v>5.169</v>
      </c>
      <c r="E15" s="1212" t="n">
        <v>3.698</v>
      </c>
      <c r="F15" s="1212" t="n">
        <v>2.773</v>
      </c>
      <c r="G15" s="1212" t="n">
        <v>2.153</v>
      </c>
      <c r="H15" s="1212" t="n">
        <v>1.717</v>
      </c>
      <c r="I15" s="1212" t="n">
        <v>1.398</v>
      </c>
      <c r="J15" s="1212" t="n">
        <v>1.157</v>
      </c>
      <c r="K15" s="1213" t="n">
        <v>0.971</v>
      </c>
      <c r="L15" s="1206" t="n">
        <v>10.562469</v>
      </c>
      <c r="M15" s="1206" t="n">
        <v>7.542512</v>
      </c>
      <c r="N15" s="1206" t="n">
        <v>5.312283</v>
      </c>
      <c r="O15" s="1206" t="n">
        <v>3.741936</v>
      </c>
      <c r="P15" s="1206" t="n">
        <v>2.701625</v>
      </c>
      <c r="Q15" s="1206" t="n">
        <v>2.061504</v>
      </c>
      <c r="R15" s="1206" t="n">
        <v>1.691727</v>
      </c>
      <c r="S15" s="1206" t="n">
        <v>1.462448</v>
      </c>
      <c r="T15" s="1206" t="n">
        <v>1.243821</v>
      </c>
      <c r="U15" s="1206" t="n">
        <v>0.905999999999997</v>
      </c>
      <c r="V15" s="1207"/>
      <c r="W15" s="1207" t="n">
        <f aca="false">(C15/M15-1)*100</f>
        <v>1.13341549870918</v>
      </c>
      <c r="X15" s="1207" t="n">
        <f aca="false">(D15/N15-1)*100</f>
        <v>-2.69720193747208</v>
      </c>
      <c r="Y15" s="1207" t="n">
        <f aca="false">(E15/O15-1)*100</f>
        <v>-1.17415156218599</v>
      </c>
      <c r="Z15" s="1207" t="n">
        <f aca="false">(F15/P15-1)*100</f>
        <v>2.64192846897702</v>
      </c>
      <c r="AA15" s="1207" t="n">
        <f aca="false">(G15/Q15-1)*100</f>
        <v>4.43831299866506</v>
      </c>
      <c r="AB15" s="1207" t="n">
        <f aca="false">(H15/R15-1)*100</f>
        <v>1.49391716275735</v>
      </c>
      <c r="AC15" s="1207" t="n">
        <f aca="false">(I15/S15-1)*100</f>
        <v>-4.40685754296906</v>
      </c>
      <c r="AD15" s="1207" t="n">
        <f aca="false">(J15/T15-1)*100</f>
        <v>-6.98018444776218</v>
      </c>
      <c r="AE15" s="1207" t="n">
        <f aca="false">(K15/U15-1)*100</f>
        <v>7.1743929359827</v>
      </c>
    </row>
    <row r="16" customFormat="false" ht="15" hidden="false" customHeight="false" outlineLevel="0" collapsed="false">
      <c r="A16" s="0"/>
      <c r="B16" s="0"/>
      <c r="C16" s="0"/>
      <c r="D16" s="0"/>
      <c r="E16" s="0"/>
      <c r="F16" s="0"/>
      <c r="G16" s="0"/>
      <c r="H16" s="0"/>
      <c r="I16" s="0"/>
      <c r="J16" s="0"/>
      <c r="K16" s="0"/>
      <c r="L16" s="0"/>
      <c r="M16" s="0"/>
      <c r="N16" s="0"/>
      <c r="O16" s="0"/>
      <c r="P16" s="0"/>
    </row>
    <row r="17" customFormat="false" ht="15" hidden="false" customHeight="false" outlineLevel="0" collapsed="false">
      <c r="A17" s="0"/>
      <c r="B17" s="0"/>
      <c r="C17" s="0"/>
      <c r="D17" s="0"/>
      <c r="E17" s="0"/>
      <c r="F17" s="0"/>
      <c r="G17" s="0"/>
      <c r="H17" s="0"/>
      <c r="I17" s="0"/>
      <c r="J17" s="0"/>
      <c r="K17" s="0"/>
      <c r="L17" s="0"/>
      <c r="M17" s="0"/>
      <c r="N17" s="0"/>
      <c r="O17" s="0"/>
      <c r="P17" s="0"/>
    </row>
    <row r="18" customFormat="false" ht="15" hidden="false" customHeight="false" outlineLevel="0" collapsed="false">
      <c r="A18" s="0"/>
      <c r="B18" s="0"/>
      <c r="C18" s="0"/>
      <c r="D18" s="0"/>
      <c r="E18" s="0"/>
      <c r="F18" s="0"/>
      <c r="G18" s="0"/>
      <c r="H18" s="0"/>
      <c r="I18" s="0"/>
      <c r="J18" s="0"/>
      <c r="K18" s="0"/>
      <c r="L18" s="0"/>
      <c r="M18" s="0"/>
      <c r="N18" s="0"/>
      <c r="O18" s="0"/>
      <c r="P18" s="0"/>
    </row>
    <row r="19" customFormat="false" ht="15" hidden="false" customHeight="false" outlineLevel="0" collapsed="false">
      <c r="A19" s="0"/>
      <c r="B19" s="0"/>
      <c r="C19" s="0"/>
      <c r="D19" s="0"/>
      <c r="E19" s="0"/>
      <c r="F19" s="0"/>
      <c r="G19" s="0"/>
      <c r="H19" s="0"/>
      <c r="I19" s="0"/>
      <c r="J19" s="0"/>
      <c r="K19" s="0"/>
      <c r="L19" s="0"/>
      <c r="M19" s="0"/>
      <c r="N19" s="0"/>
      <c r="O19" s="0"/>
      <c r="P19" s="0"/>
    </row>
    <row r="20" customFormat="false" ht="15" hidden="false" customHeight="false" outlineLevel="0" collapsed="false">
      <c r="A20" s="0"/>
      <c r="B20" s="0"/>
      <c r="C20" s="0"/>
      <c r="D20" s="0"/>
      <c r="E20" s="0"/>
      <c r="F20" s="0"/>
      <c r="G20" s="0"/>
      <c r="H20" s="0"/>
      <c r="I20" s="0"/>
      <c r="J20" s="0"/>
      <c r="K20" s="0"/>
      <c r="L20" s="0"/>
      <c r="M20" s="0"/>
      <c r="N20" s="0"/>
      <c r="O20" s="0"/>
      <c r="P20" s="0"/>
    </row>
    <row r="21" customFormat="false" ht="15" hidden="false" customHeight="false" outlineLevel="0" collapsed="false">
      <c r="A21" s="0"/>
      <c r="B21" s="0"/>
      <c r="C21" s="0"/>
      <c r="D21" s="0"/>
      <c r="E21" s="0"/>
      <c r="F21" s="0"/>
      <c r="G21" s="0"/>
      <c r="H21" s="0"/>
      <c r="I21" s="0"/>
      <c r="J21" s="0"/>
      <c r="K21" s="0"/>
      <c r="L21" s="0"/>
      <c r="M21" s="0"/>
      <c r="N21" s="0"/>
      <c r="O21" s="0"/>
      <c r="P21" s="0"/>
    </row>
    <row r="22" customFormat="false" ht="15" hidden="false" customHeight="false" outlineLevel="0" collapsed="false">
      <c r="A22" s="0"/>
      <c r="B22" s="0"/>
      <c r="C22" s="0"/>
      <c r="D22" s="0"/>
      <c r="E22" s="0"/>
      <c r="F22" s="0"/>
      <c r="G22" s="0"/>
      <c r="H22" s="0"/>
      <c r="I22" s="0"/>
      <c r="J22" s="0"/>
      <c r="K22" s="0"/>
      <c r="L22" s="0"/>
      <c r="M22" s="0"/>
      <c r="N22" s="0"/>
      <c r="O22" s="0"/>
      <c r="P22" s="0"/>
    </row>
    <row r="23" customFormat="false" ht="15" hidden="false" customHeight="false" outlineLevel="0" collapsed="false">
      <c r="A23" s="0"/>
      <c r="B23" s="0"/>
      <c r="C23" s="0"/>
      <c r="D23" s="0"/>
      <c r="E23" s="0"/>
      <c r="F23" s="0"/>
      <c r="G23" s="0"/>
      <c r="H23" s="0"/>
      <c r="I23" s="0"/>
      <c r="J23" s="0"/>
      <c r="K23" s="0"/>
      <c r="L23" s="0"/>
      <c r="M23" s="0"/>
      <c r="N23" s="0"/>
      <c r="O23" s="0"/>
      <c r="P23" s="0"/>
    </row>
    <row r="24" customFormat="false" ht="15" hidden="false" customHeight="false" outlineLevel="0" collapsed="false">
      <c r="A24" s="0"/>
      <c r="B24" s="0"/>
      <c r="C24" s="0"/>
      <c r="D24" s="0"/>
      <c r="E24" s="0"/>
      <c r="F24" s="0"/>
      <c r="G24" s="0"/>
      <c r="H24" s="0"/>
      <c r="I24" s="0"/>
      <c r="J24" s="0"/>
      <c r="K24" s="0"/>
      <c r="L24" s="0"/>
      <c r="M24" s="0"/>
      <c r="N24" s="0"/>
      <c r="O24" s="0"/>
      <c r="P24" s="0"/>
    </row>
    <row r="25" customFormat="false" ht="15" hidden="false" customHeight="false" outlineLevel="0" collapsed="false">
      <c r="A25" s="0"/>
      <c r="B25" s="0"/>
      <c r="C25" s="0"/>
      <c r="D25" s="0"/>
      <c r="E25" s="0"/>
      <c r="F25" s="0"/>
      <c r="G25" s="0"/>
      <c r="H25" s="0"/>
      <c r="I25" s="0"/>
      <c r="J25" s="0"/>
      <c r="K25" s="0"/>
      <c r="L25" s="0"/>
      <c r="M25" s="0"/>
      <c r="N25" s="0"/>
      <c r="O25" s="0"/>
      <c r="P25" s="0"/>
    </row>
    <row r="26" customFormat="false" ht="15" hidden="false" customHeight="false" outlineLevel="0" collapsed="false">
      <c r="A26" s="0"/>
      <c r="B26" s="0"/>
      <c r="C26" s="0"/>
      <c r="D26" s="0"/>
      <c r="E26" s="0"/>
      <c r="F26" s="0"/>
      <c r="G26" s="0"/>
      <c r="H26" s="0"/>
      <c r="I26" s="0"/>
      <c r="J26" s="0"/>
      <c r="K26" s="0"/>
      <c r="L26" s="0"/>
      <c r="M26" s="0"/>
      <c r="N26" s="0"/>
      <c r="O26" s="0"/>
      <c r="P26" s="0"/>
    </row>
    <row r="27" customFormat="false" ht="15" hidden="false" customHeight="false" outlineLevel="0" collapsed="false">
      <c r="A27" s="0"/>
      <c r="B27" s="0"/>
      <c r="C27" s="0"/>
      <c r="D27" s="0"/>
      <c r="E27" s="0"/>
      <c r="F27" s="0"/>
      <c r="G27" s="0"/>
      <c r="H27" s="0"/>
      <c r="I27" s="0"/>
      <c r="J27" s="0"/>
      <c r="K27" s="0"/>
      <c r="L27" s="0"/>
      <c r="M27" s="0"/>
      <c r="N27" s="0"/>
      <c r="O27" s="0"/>
      <c r="P27" s="0"/>
    </row>
    <row r="28" customFormat="false" ht="15" hidden="false" customHeight="false" outlineLevel="0" collapsed="false">
      <c r="A28" s="0"/>
      <c r="B28" s="0"/>
      <c r="C28" s="0"/>
      <c r="D28" s="0"/>
      <c r="E28" s="0"/>
      <c r="F28" s="0"/>
      <c r="G28" s="0"/>
      <c r="H28" s="0"/>
      <c r="I28" s="0"/>
      <c r="J28" s="0"/>
      <c r="K28" s="0"/>
      <c r="L28" s="0"/>
      <c r="M28" s="0"/>
      <c r="N28" s="0"/>
      <c r="O28" s="0"/>
      <c r="P28" s="0"/>
    </row>
    <row r="29" customFormat="false" ht="15" hidden="false" customHeight="false" outlineLevel="0" collapsed="false">
      <c r="A29" s="0"/>
      <c r="B29" s="0"/>
      <c r="C29" s="0"/>
      <c r="D29" s="0"/>
      <c r="E29" s="0"/>
      <c r="F29" s="0"/>
      <c r="G29" s="0"/>
      <c r="H29" s="0"/>
      <c r="I29" s="0"/>
      <c r="J29" s="0"/>
      <c r="K29" s="0"/>
      <c r="L29" s="0"/>
      <c r="M29" s="0"/>
      <c r="N29" s="0"/>
      <c r="O29" s="0"/>
      <c r="P29" s="0"/>
    </row>
    <row r="30" customFormat="false" ht="15" hidden="false" customHeight="false" outlineLevel="0" collapsed="false">
      <c r="A30" s="0"/>
      <c r="B30" s="0"/>
      <c r="C30" s="0"/>
      <c r="D30" s="0"/>
      <c r="E30" s="0"/>
      <c r="F30" s="0"/>
      <c r="G30" s="0"/>
      <c r="H30" s="0"/>
      <c r="I30" s="0"/>
      <c r="J30" s="0"/>
      <c r="K30" s="0"/>
      <c r="L30" s="0"/>
      <c r="M30" s="0"/>
      <c r="N30" s="0"/>
      <c r="O30" s="0"/>
      <c r="P30" s="0"/>
    </row>
    <row r="31" customFormat="false" ht="15" hidden="false" customHeight="false" outlineLevel="0" collapsed="false">
      <c r="A31" s="0"/>
      <c r="B31" s="0"/>
      <c r="C31" s="0"/>
      <c r="D31" s="0"/>
      <c r="E31" s="0"/>
      <c r="F31" s="0"/>
      <c r="G31" s="0"/>
      <c r="H31" s="0"/>
      <c r="I31" s="0"/>
      <c r="J31" s="0"/>
      <c r="K31" s="0"/>
      <c r="L31" s="0"/>
      <c r="M31" s="0"/>
      <c r="N31" s="0"/>
      <c r="O31" s="0"/>
      <c r="P31" s="0"/>
    </row>
    <row r="32" customFormat="false" ht="15" hidden="false" customHeight="false" outlineLevel="0" collapsed="false">
      <c r="A32" s="0"/>
      <c r="B32" s="0"/>
      <c r="C32" s="0"/>
      <c r="D32" s="0"/>
      <c r="E32" s="0"/>
      <c r="F32" s="0"/>
      <c r="G32" s="0"/>
      <c r="H32" s="0"/>
      <c r="I32" s="0"/>
      <c r="J32" s="0"/>
      <c r="K32" s="0"/>
      <c r="L32" s="0"/>
      <c r="M32" s="0"/>
      <c r="N32" s="0"/>
      <c r="O32" s="0"/>
      <c r="P32" s="0"/>
    </row>
    <row r="33" customFormat="false" ht="15" hidden="false" customHeight="false" outlineLevel="0" collapsed="false">
      <c r="A33" s="0"/>
      <c r="B33" s="0"/>
      <c r="C33" s="0"/>
      <c r="D33" s="0"/>
      <c r="E33" s="0"/>
      <c r="F33" s="0"/>
      <c r="G33" s="0"/>
      <c r="H33" s="0"/>
      <c r="I33" s="0"/>
      <c r="J33" s="0"/>
      <c r="K33" s="0"/>
      <c r="L33" s="0"/>
      <c r="M33" s="0"/>
      <c r="N33" s="0"/>
      <c r="O33" s="0"/>
      <c r="P33" s="0"/>
    </row>
    <row r="34" customFormat="false" ht="15" hidden="false" customHeight="false" outlineLevel="0" collapsed="false">
      <c r="A34" s="0"/>
      <c r="B34" s="0"/>
      <c r="C34" s="0"/>
      <c r="D34" s="0"/>
      <c r="E34" s="0"/>
      <c r="F34" s="0"/>
      <c r="G34" s="0"/>
      <c r="H34" s="0"/>
      <c r="I34" s="0"/>
      <c r="J34" s="0"/>
      <c r="K34" s="0"/>
      <c r="L34" s="0"/>
      <c r="M34" s="0"/>
      <c r="N34" s="0"/>
      <c r="O34" s="0"/>
      <c r="P34" s="0"/>
    </row>
    <row r="35" customFormat="false" ht="15" hidden="false" customHeight="false" outlineLevel="0" collapsed="false">
      <c r="A35" s="0"/>
      <c r="B35" s="0"/>
      <c r="C35" s="0"/>
      <c r="D35" s="0"/>
      <c r="E35" s="0"/>
      <c r="F35" s="0"/>
      <c r="G35" s="0"/>
      <c r="H35" s="0"/>
      <c r="I35" s="0"/>
      <c r="J35" s="0"/>
      <c r="K35" s="0"/>
      <c r="L35" s="0"/>
      <c r="M35" s="0"/>
      <c r="N35" s="0"/>
      <c r="O35" s="0"/>
      <c r="P35" s="0"/>
    </row>
    <row r="36" customFormat="false" ht="15" hidden="false" customHeight="false" outlineLevel="0" collapsed="false">
      <c r="A36" s="0"/>
      <c r="B36" s="0"/>
      <c r="C36" s="0"/>
      <c r="D36" s="0"/>
      <c r="E36" s="0"/>
      <c r="F36" s="0"/>
      <c r="G36" s="0"/>
      <c r="H36" s="0"/>
      <c r="I36" s="0"/>
      <c r="J36" s="0"/>
      <c r="K36" s="0"/>
      <c r="L36" s="0"/>
      <c r="M36" s="0"/>
      <c r="N36" s="0"/>
      <c r="O36" s="0"/>
      <c r="P36" s="0"/>
    </row>
    <row r="37" customFormat="false" ht="15" hidden="false" customHeight="false" outlineLevel="0" collapsed="false">
      <c r="A37" s="0"/>
      <c r="B37" s="0"/>
      <c r="C37" s="0"/>
      <c r="D37" s="0"/>
      <c r="E37" s="0"/>
      <c r="F37" s="0"/>
      <c r="G37" s="0"/>
      <c r="H37" s="0"/>
      <c r="I37" s="0"/>
      <c r="J37" s="0"/>
      <c r="K37" s="0"/>
      <c r="L37" s="0"/>
      <c r="M37" s="0"/>
      <c r="N37" s="0"/>
      <c r="O37" s="0"/>
      <c r="P37" s="0"/>
    </row>
    <row r="38" customFormat="false" ht="15" hidden="false" customHeight="false" outlineLevel="0" collapsed="false">
      <c r="A38" s="0"/>
      <c r="B38" s="0"/>
      <c r="C38" s="0"/>
      <c r="D38" s="0"/>
      <c r="E38" s="0"/>
      <c r="F38" s="0"/>
      <c r="G38" s="0"/>
      <c r="H38" s="0"/>
      <c r="I38" s="0"/>
      <c r="J38" s="0"/>
      <c r="K38" s="0"/>
      <c r="L38" s="0"/>
      <c r="M38" s="0"/>
      <c r="N38" s="0"/>
      <c r="O38" s="0"/>
      <c r="P38" s="0"/>
    </row>
    <row r="39" customFormat="false" ht="15" hidden="false" customHeight="false" outlineLevel="0" collapsed="false">
      <c r="A39" s="0"/>
      <c r="B39" s="0"/>
      <c r="C39" s="0"/>
      <c r="D39" s="0"/>
      <c r="E39" s="0"/>
      <c r="F39" s="0"/>
      <c r="G39" s="0"/>
      <c r="H39" s="0"/>
      <c r="I39" s="0"/>
      <c r="J39" s="0"/>
      <c r="K39" s="0"/>
      <c r="L39" s="0"/>
      <c r="M39" s="0"/>
      <c r="N39" s="0"/>
      <c r="O39" s="0"/>
      <c r="P39" s="0"/>
    </row>
    <row r="40" customFormat="false" ht="15" hidden="false" customHeight="false" outlineLevel="0" collapsed="false">
      <c r="A40" s="0"/>
      <c r="B40" s="0"/>
      <c r="C40" s="0"/>
      <c r="D40" s="0"/>
      <c r="E40" s="0"/>
      <c r="F40" s="0"/>
      <c r="G40" s="0"/>
      <c r="H40" s="0"/>
      <c r="I40" s="0"/>
      <c r="J40" s="0"/>
      <c r="K40" s="0"/>
      <c r="L40" s="0"/>
      <c r="M40" s="0"/>
      <c r="N40" s="0"/>
      <c r="O40" s="0"/>
      <c r="P40" s="0"/>
    </row>
    <row r="41" customFormat="false" ht="15" hidden="false" customHeight="false" outlineLevel="0" collapsed="false">
      <c r="A41" s="0"/>
      <c r="B41" s="0"/>
      <c r="C41" s="0"/>
      <c r="D41" s="0"/>
      <c r="E41" s="0"/>
      <c r="F41" s="0"/>
      <c r="G41" s="0"/>
      <c r="H41" s="0"/>
      <c r="I41" s="0"/>
      <c r="J41" s="0"/>
      <c r="K41" s="0"/>
      <c r="L41" s="0"/>
      <c r="M41" s="0"/>
      <c r="N41" s="0"/>
      <c r="O41" s="0"/>
      <c r="P41" s="0"/>
    </row>
    <row r="42" customFormat="false" ht="15" hidden="false" customHeight="false" outlineLevel="0" collapsed="false">
      <c r="A42" s="0"/>
      <c r="B42" s="0"/>
      <c r="C42" s="0"/>
      <c r="D42" s="0"/>
      <c r="E42" s="0"/>
      <c r="F42" s="0"/>
      <c r="G42" s="0"/>
      <c r="H42" s="0"/>
      <c r="I42" s="0"/>
      <c r="J42" s="0"/>
      <c r="K42" s="0"/>
      <c r="L42" s="0"/>
      <c r="M42" s="0"/>
      <c r="N42" s="0"/>
      <c r="O42" s="0"/>
      <c r="P42" s="0"/>
    </row>
    <row r="43" customFormat="false" ht="15" hidden="false" customHeight="false" outlineLevel="0" collapsed="false">
      <c r="A43" s="0"/>
      <c r="B43" s="0"/>
      <c r="C43" s="0"/>
      <c r="D43" s="0"/>
      <c r="E43" s="0"/>
      <c r="F43" s="0"/>
      <c r="G43" s="0"/>
      <c r="H43" s="0"/>
      <c r="I43" s="0"/>
      <c r="J43" s="0"/>
      <c r="K43" s="0"/>
      <c r="L43" s="0"/>
      <c r="M43" s="0"/>
      <c r="N43" s="0"/>
      <c r="O43" s="0"/>
      <c r="P43" s="0"/>
    </row>
    <row r="44" customFormat="false" ht="15" hidden="false" customHeight="false" outlineLevel="0" collapsed="false">
      <c r="A44" s="0"/>
      <c r="B44" s="0"/>
      <c r="C44" s="0"/>
      <c r="D44" s="0"/>
      <c r="E44" s="0"/>
      <c r="F44" s="0"/>
      <c r="G44" s="0"/>
      <c r="H44" s="0"/>
      <c r="I44" s="0"/>
      <c r="J44" s="0"/>
      <c r="K44" s="0"/>
      <c r="L44" s="0"/>
      <c r="M44" s="0"/>
      <c r="N44" s="0"/>
      <c r="O44" s="0"/>
      <c r="P44" s="0"/>
    </row>
    <row r="45" customFormat="false" ht="15" hidden="false" customHeight="false" outlineLevel="0" collapsed="false">
      <c r="A45" s="0"/>
      <c r="B45" s="0"/>
      <c r="C45" s="0"/>
      <c r="D45" s="0"/>
      <c r="E45" s="0"/>
      <c r="F45" s="0"/>
      <c r="G45" s="0"/>
      <c r="H45" s="0"/>
      <c r="I45" s="0"/>
      <c r="J45" s="0"/>
      <c r="K45" s="0"/>
      <c r="L45" s="0"/>
      <c r="M45" s="0"/>
      <c r="N45" s="0"/>
      <c r="O45" s="0"/>
      <c r="P45" s="0"/>
    </row>
    <row r="46" customFormat="false" ht="15" hidden="false" customHeight="false" outlineLevel="0" collapsed="false">
      <c r="A46" s="0"/>
      <c r="B46" s="0"/>
      <c r="C46" s="0"/>
      <c r="D46" s="0"/>
      <c r="E46" s="0"/>
      <c r="F46" s="0"/>
      <c r="G46" s="0"/>
      <c r="H46" s="0"/>
      <c r="I46" s="0"/>
      <c r="J46" s="0"/>
      <c r="K46" s="0"/>
      <c r="L46" s="0"/>
      <c r="M46" s="0"/>
      <c r="N46" s="0"/>
      <c r="O46" s="0"/>
      <c r="P46" s="0"/>
    </row>
    <row r="47" customFormat="false" ht="15" hidden="false" customHeight="false" outlineLevel="0" collapsed="false">
      <c r="A47" s="0"/>
      <c r="B47" s="0"/>
      <c r="C47" s="0"/>
      <c r="D47" s="0"/>
      <c r="E47" s="0"/>
      <c r="F47" s="0"/>
      <c r="G47" s="0"/>
      <c r="H47" s="0"/>
      <c r="I47" s="0"/>
      <c r="J47" s="0"/>
      <c r="K47" s="0"/>
      <c r="L47" s="0"/>
      <c r="M47" s="0"/>
      <c r="N47" s="0"/>
      <c r="O47" s="0"/>
      <c r="P47" s="0"/>
    </row>
    <row r="48" customFormat="false" ht="15" hidden="false" customHeight="false" outlineLevel="0" collapsed="false">
      <c r="A48" s="0"/>
      <c r="B48" s="0"/>
      <c r="C48" s="0"/>
      <c r="D48" s="0"/>
      <c r="E48" s="0"/>
      <c r="F48" s="0"/>
      <c r="G48" s="0"/>
      <c r="H48" s="0"/>
      <c r="I48" s="0"/>
      <c r="J48" s="0"/>
      <c r="K48" s="0"/>
      <c r="L48" s="0"/>
      <c r="M48" s="0"/>
      <c r="N48" s="0"/>
      <c r="O48" s="0"/>
      <c r="P48" s="0"/>
    </row>
    <row r="49" customFormat="false" ht="15" hidden="false" customHeight="false" outlineLevel="0" collapsed="false">
      <c r="A49" s="0"/>
      <c r="B49" s="0"/>
      <c r="C49" s="0"/>
      <c r="D49" s="0"/>
      <c r="E49" s="0"/>
      <c r="F49" s="0"/>
      <c r="G49" s="0"/>
      <c r="H49" s="0"/>
      <c r="I49" s="0"/>
      <c r="J49" s="0"/>
      <c r="K49" s="0"/>
      <c r="L49" s="0"/>
      <c r="M49" s="0"/>
      <c r="N49" s="0"/>
      <c r="O49" s="0"/>
      <c r="P49" s="0"/>
    </row>
    <row r="50" customFormat="false" ht="15" hidden="false" customHeight="false" outlineLevel="0" collapsed="false">
      <c r="A50" s="0"/>
      <c r="B50" s="0"/>
      <c r="C50" s="0"/>
      <c r="D50" s="0"/>
      <c r="E50" s="0"/>
      <c r="F50" s="0"/>
      <c r="G50" s="0"/>
      <c r="H50" s="0"/>
      <c r="I50" s="0"/>
      <c r="J50" s="0"/>
      <c r="K50" s="0"/>
      <c r="L50" s="0"/>
      <c r="M50" s="0"/>
      <c r="N50" s="0"/>
      <c r="O50" s="0"/>
      <c r="P50" s="0"/>
    </row>
    <row r="51" customFormat="false" ht="15" hidden="false" customHeight="false" outlineLevel="0" collapsed="false">
      <c r="A51" s="0"/>
      <c r="B51" s="0"/>
      <c r="C51" s="0"/>
      <c r="D51" s="0"/>
      <c r="E51" s="0"/>
      <c r="F51" s="0"/>
      <c r="G51" s="0"/>
      <c r="H51" s="0"/>
      <c r="I51" s="0"/>
      <c r="J51" s="0"/>
      <c r="K51" s="0"/>
      <c r="L51" s="0"/>
      <c r="M51" s="0"/>
      <c r="N51" s="0"/>
      <c r="O51" s="0"/>
      <c r="P51" s="0"/>
    </row>
    <row r="52" customFormat="false" ht="15" hidden="false" customHeight="false" outlineLevel="0" collapsed="false">
      <c r="A52" s="0"/>
      <c r="B52" s="0"/>
      <c r="C52" s="0"/>
      <c r="D52" s="0"/>
      <c r="E52" s="0"/>
      <c r="F52" s="0"/>
      <c r="G52" s="0"/>
      <c r="H52" s="0"/>
      <c r="I52" s="0"/>
      <c r="J52" s="0"/>
      <c r="K52" s="0"/>
      <c r="L52" s="0"/>
      <c r="M52" s="0"/>
      <c r="N52" s="0"/>
      <c r="O52" s="0"/>
      <c r="P52" s="0"/>
    </row>
    <row r="53" customFormat="false" ht="15" hidden="false" customHeight="false" outlineLevel="0" collapsed="false">
      <c r="A53" s="0"/>
      <c r="B53" s="0"/>
      <c r="C53" s="0"/>
      <c r="D53" s="0"/>
      <c r="E53" s="0"/>
      <c r="F53" s="0"/>
      <c r="G53" s="0"/>
      <c r="H53" s="0"/>
      <c r="I53" s="0"/>
      <c r="J53" s="0"/>
      <c r="K53" s="0"/>
      <c r="L53" s="0"/>
      <c r="M53" s="0"/>
      <c r="N53" s="0"/>
      <c r="O53" s="0"/>
      <c r="P53" s="0"/>
    </row>
    <row r="54" customFormat="false" ht="15" hidden="false" customHeight="false" outlineLevel="0" collapsed="false">
      <c r="A54" s="0"/>
      <c r="B54" s="0"/>
      <c r="C54" s="0"/>
      <c r="D54" s="0"/>
      <c r="E54" s="0"/>
      <c r="F54" s="0"/>
      <c r="G54" s="0"/>
      <c r="H54" s="0"/>
      <c r="I54" s="0"/>
      <c r="J54" s="0"/>
      <c r="K54" s="0"/>
      <c r="L54" s="0"/>
      <c r="M54" s="0"/>
      <c r="N54" s="0"/>
      <c r="O54" s="0"/>
      <c r="P54" s="0"/>
    </row>
    <row r="55" customFormat="false" ht="15" hidden="false" customHeight="false" outlineLevel="0" collapsed="false">
      <c r="A55" s="0"/>
      <c r="B55" s="0"/>
      <c r="C55" s="0"/>
      <c r="D55" s="0"/>
      <c r="E55" s="0"/>
      <c r="F55" s="0"/>
      <c r="G55" s="0"/>
      <c r="H55" s="0"/>
      <c r="I55" s="0"/>
      <c r="J55" s="0"/>
      <c r="K55" s="0"/>
      <c r="L55" s="0"/>
      <c r="M55" s="0"/>
      <c r="N55" s="0"/>
      <c r="O55" s="0"/>
      <c r="P55" s="0"/>
    </row>
    <row r="56" customFormat="false" ht="15" hidden="false" customHeight="false" outlineLevel="0" collapsed="false">
      <c r="A56" s="0"/>
      <c r="B56" s="0"/>
      <c r="C56" s="0"/>
      <c r="D56" s="0"/>
      <c r="E56" s="0"/>
      <c r="F56" s="0"/>
      <c r="G56" s="0"/>
      <c r="H56" s="0"/>
      <c r="I56" s="0"/>
      <c r="J56" s="0"/>
      <c r="K56" s="0"/>
      <c r="L56" s="0"/>
      <c r="M56" s="0"/>
      <c r="N56" s="0"/>
      <c r="O56" s="0"/>
      <c r="P56" s="0"/>
    </row>
    <row r="57" customFormat="false" ht="15" hidden="false" customHeight="false" outlineLevel="0" collapsed="false">
      <c r="A57" s="1199" t="s">
        <v>1485</v>
      </c>
      <c r="B57" s="0"/>
      <c r="C57" s="0"/>
      <c r="D57" s="0"/>
      <c r="E57" s="0"/>
      <c r="F57" s="0"/>
      <c r="G57" s="1199" t="s">
        <v>1486</v>
      </c>
      <c r="H57" s="1199"/>
      <c r="I57" s="1199"/>
      <c r="J57" s="1199"/>
      <c r="K57" s="1199"/>
      <c r="L57" s="1199"/>
      <c r="M57" s="1199"/>
      <c r="N57" s="1199"/>
      <c r="O57" s="1199"/>
      <c r="P57" s="1199"/>
    </row>
    <row r="58" customFormat="false" ht="15" hidden="false" customHeight="false" outlineLevel="0" collapsed="false">
      <c r="A58" s="1199"/>
      <c r="B58" s="1197" t="s">
        <v>1487</v>
      </c>
      <c r="C58" s="1197" t="s">
        <v>1488</v>
      </c>
      <c r="D58" s="1197" t="s">
        <v>1489</v>
      </c>
      <c r="E58" s="1197" t="s">
        <v>1490</v>
      </c>
      <c r="F58" s="0"/>
      <c r="G58" s="1200" t="n">
        <v>0.1</v>
      </c>
      <c r="H58" s="1201" t="n">
        <v>0.2</v>
      </c>
      <c r="I58" s="1201" t="n">
        <v>0.3</v>
      </c>
      <c r="J58" s="1201" t="n">
        <v>0.4</v>
      </c>
      <c r="K58" s="1201" t="n">
        <v>0.5</v>
      </c>
      <c r="L58" s="1201" t="n">
        <v>0.6</v>
      </c>
      <c r="M58" s="1201" t="n">
        <v>0.7</v>
      </c>
      <c r="N58" s="1201" t="n">
        <v>0.8</v>
      </c>
      <c r="O58" s="1201" t="n">
        <v>0.9</v>
      </c>
      <c r="P58" s="1202" t="n">
        <v>1</v>
      </c>
    </row>
    <row r="59" customFormat="false" ht="15" hidden="false" customHeight="false" outlineLevel="0" collapsed="false">
      <c r="A59" s="1203" t="n">
        <v>5</v>
      </c>
      <c r="B59" s="1197" t="n">
        <v>1.7005</v>
      </c>
      <c r="C59" s="1197" t="n">
        <v>-3.2459</v>
      </c>
      <c r="D59" s="1197" t="n">
        <v>1.0833</v>
      </c>
      <c r="E59" s="1197" t="n">
        <v>0.8082</v>
      </c>
      <c r="F59" s="1197" t="n">
        <v>0.9983</v>
      </c>
      <c r="G59" s="1206" t="n">
        <f aca="false">$B59*$G$58^3+$C59*$G$58^2+$D59*$G$58+$E59</f>
        <v>0.8857715</v>
      </c>
      <c r="H59" s="1206" t="n">
        <f aca="false">$B59*$H$58^3+$C59*$H$58^2+$D59*$H$58+$E59</f>
        <v>0.908628</v>
      </c>
      <c r="I59" s="1206" t="n">
        <f aca="false">$B59*$I$58^3+$C59*$I$58^2+$D59*$I$58+$E59</f>
        <v>0.8869725</v>
      </c>
      <c r="J59" s="1206" t="n">
        <f aca="false">$B59*$J$58^3+$C59*$J$58^2+$D59*$J$58+$E59</f>
        <v>0.831008</v>
      </c>
      <c r="K59" s="1206" t="n">
        <f aca="false">$B59*$K$58^3+$C59*$K$58^2+$D59*$K$58+$E59</f>
        <v>0.7509375</v>
      </c>
      <c r="L59" s="1206" t="n">
        <f aca="false">$B59*$L$58^3+$C59*$L$58^2+$D59*$L$58+$E59</f>
        <v>0.656964</v>
      </c>
      <c r="M59" s="1206" t="n">
        <f aca="false">$B59*$M$58^3+$C59*$M$58^2+$D59*$M$58+$E59</f>
        <v>0.5592905</v>
      </c>
      <c r="N59" s="1206" t="n">
        <f aca="false">$B59*$N$58^3+$C59*$N$58^2+$D59*$N$58+$E59</f>
        <v>0.46812</v>
      </c>
      <c r="O59" s="1206" t="n">
        <f aca="false">$B59*$O$58^3+$C59*$O$58^2+$D59*$O$58+$E59</f>
        <v>0.3936555</v>
      </c>
      <c r="P59" s="1206" t="n">
        <f aca="false">$B59*$P$58^3+$C59*$P$58^2+$D59*$P$58+$E59</f>
        <v>0.3461</v>
      </c>
    </row>
    <row r="60" customFormat="false" ht="15" hidden="false" customHeight="false" outlineLevel="0" collapsed="false">
      <c r="A60" s="1208" t="n">
        <v>7</v>
      </c>
      <c r="B60" s="1197" t="n">
        <v>2.8157</v>
      </c>
      <c r="C60" s="1197" t="n">
        <v>-4.9902</v>
      </c>
      <c r="D60" s="1197" t="n">
        <v>1.4572</v>
      </c>
      <c r="E60" s="1197" t="n">
        <v>1.1508</v>
      </c>
      <c r="F60" s="1197" t="n">
        <v>0.9967</v>
      </c>
      <c r="G60" s="1206" t="n">
        <f aca="false">$B60*$G$58^3+$C60*$G$58^2+$D60*$G$58+$E60</f>
        <v>1.2494337</v>
      </c>
      <c r="H60" s="1206" t="n">
        <f aca="false">$B60*$H$58^3+$C60*$H$58^2+$D60*$H$58+$E60</f>
        <v>1.2651576</v>
      </c>
      <c r="I60" s="1206" t="n">
        <f aca="false">$B60*$I$58^3+$C60*$I$58^2+$D60*$I$58+$E60</f>
        <v>1.2148659</v>
      </c>
      <c r="J60" s="1206" t="n">
        <f aca="false">$B60*$J$58^3+$C60*$J$58^2+$D60*$J$58+$E60</f>
        <v>1.1154528</v>
      </c>
      <c r="K60" s="1206" t="n">
        <f aca="false">$B60*$K$58^3+$C60*$K$58^2+$D60*$K$58+$E60</f>
        <v>0.9838125</v>
      </c>
      <c r="L60" s="1206" t="n">
        <f aca="false">$B60*$L$58^3+$C60*$L$58^2+$D60*$L$58+$E60</f>
        <v>0.8368392</v>
      </c>
      <c r="M60" s="1206" t="n">
        <f aca="false">$B60*$M$58^3+$C60*$M$58^2+$D60*$M$58+$E60</f>
        <v>0.6914271</v>
      </c>
      <c r="N60" s="1206" t="n">
        <f aca="false">$B60*$N$58^3+$C60*$N$58^2+$D60*$N$58+$E60</f>
        <v>0.5644704</v>
      </c>
      <c r="O60" s="1206" t="n">
        <f aca="false">$B60*$O$58^3+$C60*$O$58^2+$D60*$O$58+$E60</f>
        <v>0.4728633</v>
      </c>
      <c r="P60" s="1206" t="n">
        <f aca="false">$B60*$P$58^3+$C60*$P$58^2+$D60*$P$58+$E60</f>
        <v>0.4335</v>
      </c>
    </row>
    <row r="61" customFormat="false" ht="15" hidden="false" customHeight="false" outlineLevel="0" collapsed="false">
      <c r="A61" s="1208" t="n">
        <v>10</v>
      </c>
      <c r="B61" s="1197" t="n">
        <v>4.1307</v>
      </c>
      <c r="C61" s="1197" t="n">
        <v>-6.9411</v>
      </c>
      <c r="D61" s="1197" t="n">
        <v>1.762</v>
      </c>
      <c r="E61" s="1197" t="n">
        <v>1.5775</v>
      </c>
      <c r="F61" s="1197" t="n">
        <v>0.9935</v>
      </c>
      <c r="G61" s="1206" t="n">
        <f aca="false">$B61*$G$58^3+$C61*$G$58^2+$D61*$G$58+$E61</f>
        <v>1.6884197</v>
      </c>
      <c r="H61" s="1206" t="n">
        <f aca="false">$B61*$H$58^3+$C61*$H$58^2+$D61*$H$58+$E61</f>
        <v>1.6853016</v>
      </c>
      <c r="I61" s="1206" t="n">
        <f aca="false">$B61*$I$58^3+$C61*$I$58^2+$D61*$I$58+$E61</f>
        <v>1.5929299</v>
      </c>
      <c r="J61" s="1206" t="n">
        <f aca="false">$B61*$J$58^3+$C61*$J$58^2+$D61*$J$58+$E61</f>
        <v>1.4360888</v>
      </c>
      <c r="K61" s="1206" t="n">
        <f aca="false">$B61*$K$58^3+$C61*$K$58^2+$D61*$K$58+$E61</f>
        <v>1.2395625</v>
      </c>
      <c r="L61" s="1206" t="n">
        <f aca="false">$B61*$L$58^3+$C61*$L$58^2+$D61*$L$58+$E61</f>
        <v>1.0281352</v>
      </c>
      <c r="M61" s="1206" t="n">
        <f aca="false">$B61*$M$58^3+$C61*$M$58^2+$D61*$M$58+$E61</f>
        <v>0.8265911</v>
      </c>
      <c r="N61" s="1206" t="n">
        <f aca="false">$B61*$N$58^3+$C61*$N$58^2+$D61*$N$58+$E61</f>
        <v>0.6597144</v>
      </c>
      <c r="O61" s="1206" t="n">
        <f aca="false">$B61*$O$58^3+$C61*$O$58^2+$D61*$O$58+$E61</f>
        <v>0.552289300000001</v>
      </c>
      <c r="P61" s="1206" t="n">
        <f aca="false">$B61*$P$58^3+$C61*$P$58^2+$D61*$P$58+$E61</f>
        <v>0.5291</v>
      </c>
    </row>
    <row r="62" customFormat="false" ht="15" hidden="false" customHeight="false" outlineLevel="0" collapsed="false">
      <c r="A62" s="1208" t="n">
        <v>20</v>
      </c>
      <c r="B62" s="1197" t="n">
        <v>4.6131</v>
      </c>
      <c r="C62" s="1197" t="n">
        <v>-5.8161</v>
      </c>
      <c r="D62" s="1197" t="n">
        <v>-1.4217</v>
      </c>
      <c r="E62" s="1197" t="n">
        <v>3.3373</v>
      </c>
      <c r="F62" s="1197" t="n">
        <v>0.9897</v>
      </c>
      <c r="G62" s="1206" t="n">
        <f aca="false">$B62*$G$58^3+$C62*$G$58^2+$D62*$G$58+$E62</f>
        <v>3.1415821</v>
      </c>
      <c r="H62" s="1206" t="n">
        <f aca="false">$B62*$H$58^3+$C62*$H$58^2+$D62*$H$58+$E62</f>
        <v>2.8572208</v>
      </c>
      <c r="I62" s="1206" t="n">
        <f aca="false">$B62*$I$58^3+$C62*$I$58^2+$D62*$I$58+$E62</f>
        <v>2.5118947</v>
      </c>
      <c r="J62" s="1206" t="n">
        <f aca="false">$B62*$J$58^3+$C62*$J$58^2+$D62*$J$58+$E62</f>
        <v>2.1332824</v>
      </c>
      <c r="K62" s="1206" t="n">
        <f aca="false">$B62*$K$58^3+$C62*$K$58^2+$D62*$K$58+$E62</f>
        <v>1.7490625</v>
      </c>
      <c r="L62" s="1206" t="n">
        <f aca="false">$B62*$L$58^3+$C62*$L$58^2+$D62*$L$58+$E62</f>
        <v>1.3869136</v>
      </c>
      <c r="M62" s="1206" t="n">
        <f aca="false">$B62*$M$58^3+$C62*$M$58^2+$D62*$M$58+$E62</f>
        <v>1.0745143</v>
      </c>
      <c r="N62" s="1206" t="n">
        <f aca="false">$B62*$N$58^3+$C62*$N$58^2+$D62*$N$58+$E62</f>
        <v>0.839543200000001</v>
      </c>
      <c r="O62" s="1206" t="n">
        <f aca="false">$B62*$O$58^3+$C62*$O$58^2+$D62*$O$58+$E62</f>
        <v>0.709678900000001</v>
      </c>
      <c r="P62" s="1206" t="n">
        <f aca="false">$B62*$P$58^3+$C62*$P$58^2+$D62*$P$58+$E62</f>
        <v>0.712600000000001</v>
      </c>
    </row>
    <row r="63" customFormat="false" ht="15" hidden="false" customHeight="false" outlineLevel="0" collapsed="false">
      <c r="A63" s="1208" t="n">
        <v>25</v>
      </c>
      <c r="B63" s="1197" t="n">
        <v>4.5266</v>
      </c>
      <c r="C63" s="1197" t="n">
        <v>-4.8481</v>
      </c>
      <c r="D63" s="1197" t="n">
        <v>-2.9475</v>
      </c>
      <c r="E63" s="1197" t="n">
        <v>4.0397</v>
      </c>
      <c r="F63" s="1197" t="n">
        <v>0.9877</v>
      </c>
      <c r="G63" s="1206" t="n">
        <f aca="false">$B63*$G$58^3+$C63*$G$58^2+$D63*$G$58+$E63</f>
        <v>3.7009956</v>
      </c>
      <c r="H63" s="1206" t="n">
        <f aca="false">$B63*$H$58^3+$C63*$H$58^2+$D63*$H$58+$E63</f>
        <v>3.2924888</v>
      </c>
      <c r="I63" s="1206" t="n">
        <f aca="false">$B63*$I$58^3+$C63*$I$58^2+$D63*$I$58+$E63</f>
        <v>2.8413392</v>
      </c>
      <c r="J63" s="1206" t="n">
        <f aca="false">$B63*$J$58^3+$C63*$J$58^2+$D63*$J$58+$E63</f>
        <v>2.3747064</v>
      </c>
      <c r="K63" s="1206" t="n">
        <f aca="false">$B63*$K$58^3+$C63*$K$58^2+$D63*$K$58+$E63</f>
        <v>1.91975</v>
      </c>
      <c r="L63" s="1206" t="n">
        <f aca="false">$B63*$L$58^3+$C63*$L$58^2+$D63*$L$58+$E63</f>
        <v>1.5036296</v>
      </c>
      <c r="M63" s="1206" t="n">
        <f aca="false">$B63*$M$58^3+$C63*$M$58^2+$D63*$M$58+$E63</f>
        <v>1.1535048</v>
      </c>
      <c r="N63" s="1206" t="n">
        <f aca="false">$B63*$N$58^3+$C63*$N$58^2+$D63*$N$58+$E63</f>
        <v>0.8965352</v>
      </c>
      <c r="O63" s="1206" t="n">
        <f aca="false">$B63*$O$58^3+$C63*$O$58^2+$D63*$O$58+$E63</f>
        <v>0.759880400000001</v>
      </c>
      <c r="P63" s="1206" t="n">
        <f aca="false">$B63*$P$58^3+$C63*$P$58^2+$D63*$P$58+$E63</f>
        <v>0.770700000000001</v>
      </c>
    </row>
    <row r="64" customFormat="false" ht="15" hidden="false" customHeight="false" outlineLevel="0" collapsed="false">
      <c r="A64" s="1208" t="n">
        <v>30</v>
      </c>
      <c r="B64" s="1197" t="n">
        <v>4.3019</v>
      </c>
      <c r="C64" s="1197" t="n">
        <v>-3.6844</v>
      </c>
      <c r="D64" s="1197" t="n">
        <v>-4.4486</v>
      </c>
      <c r="E64" s="1197" t="n">
        <v>4.6863</v>
      </c>
      <c r="F64" s="1197" t="n">
        <v>0.9861</v>
      </c>
      <c r="G64" s="1206" t="n">
        <f aca="false">$B64*$G$58^3+$C64*$G$58^2+$D64*$G$58+$E64</f>
        <v>4.2088979</v>
      </c>
      <c r="H64" s="1206" t="n">
        <f aca="false">$B64*$H$58^3+$C64*$H$58^2+$D64*$H$58+$E64</f>
        <v>3.6836192</v>
      </c>
      <c r="I64" s="1206" t="n">
        <f aca="false">$B64*$I$58^3+$C64*$I$58^2+$D64*$I$58+$E64</f>
        <v>3.1362753</v>
      </c>
      <c r="J64" s="1206" t="n">
        <f aca="false">$B64*$J$58^3+$C64*$J$58^2+$D64*$J$58+$E64</f>
        <v>2.5926776</v>
      </c>
      <c r="K64" s="1206" t="n">
        <f aca="false">$B64*$K$58^3+$C64*$K$58^2+$D64*$K$58+$E64</f>
        <v>2.0786375</v>
      </c>
      <c r="L64" s="1206" t="n">
        <f aca="false">$B64*$L$58^3+$C64*$L$58^2+$D64*$L$58+$E64</f>
        <v>1.6199664</v>
      </c>
      <c r="M64" s="1206" t="n">
        <f aca="false">$B64*$M$58^3+$C64*$M$58^2+$D64*$M$58+$E64</f>
        <v>1.2424757</v>
      </c>
      <c r="N64" s="1206" t="n">
        <f aca="false">$B64*$N$58^3+$C64*$N$58^2+$D64*$N$58+$E64</f>
        <v>0.9719768</v>
      </c>
      <c r="O64" s="1206" t="n">
        <f aca="false">$B64*$O$58^3+$C64*$O$58^2+$D64*$O$58+$E64</f>
        <v>0.8342811</v>
      </c>
      <c r="P64" s="1206" t="n">
        <f aca="false">$B64*$P$58^3+$C64*$P$58^2+$D64*$P$58+$E64</f>
        <v>0.8552</v>
      </c>
    </row>
    <row r="65" customFormat="false" ht="15" hidden="false" customHeight="false" outlineLevel="0" collapsed="false">
      <c r="A65" s="1208" t="n">
        <v>40</v>
      </c>
      <c r="B65" s="1197" t="n">
        <v>3.467</v>
      </c>
      <c r="C65" s="1197" t="n">
        <v>-0.8129</v>
      </c>
      <c r="D65" s="1197" t="n">
        <v>-7.6351</v>
      </c>
      <c r="E65" s="1197" t="n">
        <v>5.8678</v>
      </c>
      <c r="F65" s="1197" t="n">
        <v>0.9846</v>
      </c>
      <c r="G65" s="1206" t="n">
        <f aca="false">$B65*$G$58^3+$C65*$G$58^2+$D65*$G$58+$E65</f>
        <v>5.099628</v>
      </c>
      <c r="H65" s="1206" t="n">
        <f aca="false">$B65*$H$58^3+$C65*$H$58^2+$D65*$H$58+$E65</f>
        <v>4.336</v>
      </c>
      <c r="I65" s="1206" t="n">
        <f aca="false">$B65*$I$58^3+$C65*$I$58^2+$D65*$I$58+$E65</f>
        <v>3.597718</v>
      </c>
      <c r="J65" s="1206" t="n">
        <f aca="false">$B65*$J$58^3+$C65*$J$58^2+$D65*$J$58+$E65</f>
        <v>2.905584</v>
      </c>
      <c r="K65" s="1206" t="n">
        <f aca="false">$B65*$K$58^3+$C65*$K$58^2+$D65*$K$58+$E65</f>
        <v>2.2804</v>
      </c>
      <c r="L65" s="1206" t="n">
        <f aca="false">$B65*$L$58^3+$C65*$L$58^2+$D65*$L$58+$E65</f>
        <v>1.742968</v>
      </c>
      <c r="M65" s="1206" t="n">
        <f aca="false">$B65*$M$58^3+$C65*$M$58^2+$D65*$M$58+$E65</f>
        <v>1.31409</v>
      </c>
      <c r="N65" s="1206" t="n">
        <f aca="false">$B65*$N$58^3+$C65*$N$58^2+$D65*$N$58+$E65</f>
        <v>1.014568</v>
      </c>
      <c r="O65" s="1206" t="n">
        <f aca="false">$B65*$O$58^3+$C65*$O$58^2+$D65*$O$58+$E65</f>
        <v>0.865203999999999</v>
      </c>
      <c r="P65" s="1206" t="n">
        <f aca="false">$B65*$P$58^3+$C65*$P$58^2+$D65*$P$58+$E65</f>
        <v>0.8868</v>
      </c>
    </row>
    <row r="66" customFormat="false" ht="15" hidden="false" customHeight="false" outlineLevel="0" collapsed="false">
      <c r="A66" s="1208" t="n">
        <v>50</v>
      </c>
      <c r="B66" s="1197" t="n">
        <v>1.6993</v>
      </c>
      <c r="C66" s="1197" t="n">
        <v>3.6909</v>
      </c>
      <c r="D66" s="1197" t="n">
        <v>-11.527</v>
      </c>
      <c r="E66" s="1197" t="n">
        <v>7.0695</v>
      </c>
      <c r="F66" s="1197" t="n">
        <v>0.9861</v>
      </c>
      <c r="G66" s="1206" t="n">
        <f aca="false">$B66*$G$58^3+$C66*$G$58^2+$D66*$G$58+$E66</f>
        <v>5.9554083</v>
      </c>
      <c r="H66" s="1206" t="n">
        <f aca="false">$B66*$H$58^3+$C66*$H$58^2+$D66*$H$58+$E66</f>
        <v>4.9253304</v>
      </c>
      <c r="I66" s="1206" t="n">
        <f aca="false">$B66*$I$58^3+$C66*$I$58^2+$D66*$I$58+$E66</f>
        <v>3.9894621</v>
      </c>
      <c r="J66" s="1206" t="n">
        <f aca="false">$B66*$J$58^3+$C66*$J$58^2+$D66*$J$58+$E66</f>
        <v>3.1579992</v>
      </c>
      <c r="K66" s="1206" t="n">
        <f aca="false">$B66*$K$58^3+$C66*$K$58^2+$D66*$K$58+$E66</f>
        <v>2.4411375</v>
      </c>
      <c r="L66" s="1206" t="n">
        <f aca="false">$B66*$L$58^3+$C66*$L$58^2+$D66*$L$58+$E66</f>
        <v>1.8490728</v>
      </c>
      <c r="M66" s="1206" t="n">
        <f aca="false">$B66*$M$58^3+$C66*$M$58^2+$D66*$M$58+$E66</f>
        <v>1.3920009</v>
      </c>
      <c r="N66" s="1206" t="n">
        <f aca="false">$B66*$N$58^3+$C66*$N$58^2+$D66*$N$58+$E66</f>
        <v>1.0801176</v>
      </c>
      <c r="O66" s="1206" t="n">
        <f aca="false">$B66*$O$58^3+$C66*$O$58^2+$D66*$O$58+$E66</f>
        <v>0.9236187</v>
      </c>
      <c r="P66" s="1206" t="n">
        <f aca="false">$B66*$P$58^3+$C66*$P$58^2+$D66*$P$58+$E66</f>
        <v>0.9327</v>
      </c>
    </row>
    <row r="67" customFormat="false" ht="15" hidden="false" customHeight="false" outlineLevel="0" collapsed="false">
      <c r="A67" s="1208" t="n">
        <v>70</v>
      </c>
      <c r="B67" s="1197" t="n">
        <v>-15.657</v>
      </c>
      <c r="C67" s="1197" t="n">
        <v>38.927</v>
      </c>
      <c r="D67" s="1197" t="n">
        <v>-34.231</v>
      </c>
      <c r="E67" s="1197" t="n">
        <v>11.823</v>
      </c>
      <c r="F67" s="1197" t="n">
        <v>0.9992</v>
      </c>
      <c r="G67" s="1206" t="n">
        <f aca="false">$B67*$G$58^3+$C67*$G$58^2+$D67*$G$58+$E67</f>
        <v>8.773513</v>
      </c>
      <c r="H67" s="1206" t="n">
        <f aca="false">$B67*$H$58^3+$C67*$H$58^2+$D67*$H$58+$E67</f>
        <v>6.408624</v>
      </c>
      <c r="I67" s="1206" t="n">
        <f aca="false">$B67*$I$58^3+$C67*$I$58^2+$D67*$I$58+$E67</f>
        <v>4.634391</v>
      </c>
      <c r="J67" s="1206" t="n">
        <f aca="false">$B67*$J$58^3+$C67*$J$58^2+$D67*$J$58+$E67</f>
        <v>3.356872</v>
      </c>
      <c r="K67" s="1206" t="n">
        <f aca="false">$B67*$K$58^3+$C67*$K$58^2+$D67*$K$58+$E67</f>
        <v>2.482125</v>
      </c>
      <c r="L67" s="1206" t="n">
        <f aca="false">$B67*$L$58^3+$C67*$L$58^2+$D67*$L$58+$E67</f>
        <v>1.916208</v>
      </c>
      <c r="M67" s="1206" t="n">
        <f aca="false">$B67*$M$58^3+$C67*$M$58^2+$D67*$M$58+$E67</f>
        <v>1.565179</v>
      </c>
      <c r="N67" s="1206" t="n">
        <f aca="false">$B67*$N$58^3+$C67*$N$58^2+$D67*$N$58+$E67</f>
        <v>1.335096</v>
      </c>
      <c r="O67" s="1206" t="n">
        <f aca="false">$B67*$O$58^3+$C67*$O$58^2+$D67*$O$58+$E67</f>
        <v>1.132017</v>
      </c>
      <c r="P67" s="1206" t="n">
        <f aca="false">$B67*$P$58^3+$C67*$P$58^2+$D67*$P$58+$E67</f>
        <v>0.861999999999998</v>
      </c>
    </row>
    <row r="68" customFormat="false" ht="15" hidden="false" customHeight="false" outlineLevel="0" collapsed="false">
      <c r="A68" s="1211" t="n">
        <v>100</v>
      </c>
      <c r="B68" s="1197" t="n">
        <v>-21.641</v>
      </c>
      <c r="C68" s="1197" t="n">
        <v>52.471</v>
      </c>
      <c r="D68" s="1197" t="n">
        <v>-44.426</v>
      </c>
      <c r="E68" s="1197" t="n">
        <v>14.502</v>
      </c>
      <c r="F68" s="1197" t="n">
        <v>0.9985</v>
      </c>
      <c r="G68" s="1206" t="n">
        <f aca="false">$B68*$G$58^3+$C68*$G$58^2+$D68*$G$58+$E68</f>
        <v>10.562469</v>
      </c>
      <c r="H68" s="1206" t="n">
        <f aca="false">$B68*$H$58^3+$C68*$H$58^2+$D68*$H$58+$E68</f>
        <v>7.542512</v>
      </c>
      <c r="I68" s="1206" t="n">
        <f aca="false">$B68*$I$58^3+$C68*$I$58^2+$D68*$I$58+$E68</f>
        <v>5.312283</v>
      </c>
      <c r="J68" s="1206" t="n">
        <f aca="false">$B68*$J$58^3+$C68*$J$58^2+$D68*$J$58+$E68</f>
        <v>3.741936</v>
      </c>
      <c r="K68" s="1206" t="n">
        <f aca="false">$B68*$K$58^3+$C68*$K$58^2+$D68*$K$58+$E68</f>
        <v>2.701625</v>
      </c>
      <c r="L68" s="1206" t="n">
        <f aca="false">$B68*$L$58^3+$C68*$L$58^2+$D68*$L$58+$E68</f>
        <v>2.061504</v>
      </c>
      <c r="M68" s="1206" t="n">
        <f aca="false">$B68*$M$58^3+$C68*$M$58^2+$D68*$M$58+$E68</f>
        <v>1.691727</v>
      </c>
      <c r="N68" s="1206" t="n">
        <f aca="false">$B68*$N$58^3+$C68*$N$58^2+$D68*$N$58+$E68</f>
        <v>1.462448</v>
      </c>
      <c r="O68" s="1206" t="n">
        <f aca="false">$B68*$O$58^3+$C68*$O$58^2+$D68*$O$58+$E68</f>
        <v>1.243821</v>
      </c>
      <c r="P68" s="1206" t="n">
        <f aca="false">$B68*$P$58^3+$C68*$P$58^2+$D68*$P$58+$E68</f>
        <v>0.905999999999997</v>
      </c>
    </row>
  </sheetData>
  <mergeCells count="5">
    <mergeCell ref="A4:A5"/>
    <mergeCell ref="B4:K4"/>
    <mergeCell ref="V4:AE4"/>
    <mergeCell ref="A57:A58"/>
    <mergeCell ref="G57:P5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1.xml><?xml version="1.0" encoding="utf-8"?>
<worksheet xmlns="http://schemas.openxmlformats.org/spreadsheetml/2006/main" xmlns:r="http://schemas.openxmlformats.org/officeDocument/2006/relationships">
  <sheetPr filterMode="false">
    <pageSetUpPr fitToPage="false"/>
  </sheetPr>
  <dimension ref="B1:W30"/>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025" min="1" style="1214" width="9.13917525773196"/>
  </cols>
  <sheetData>
    <row r="1" customFormat="false" ht="15" hidden="false" customHeight="false" outlineLevel="0" collapsed="false">
      <c r="B1" s="1214" t="s">
        <v>1491</v>
      </c>
      <c r="C1" s="0"/>
      <c r="D1" s="0"/>
      <c r="E1" s="0"/>
      <c r="F1" s="0"/>
      <c r="G1" s="0"/>
      <c r="H1" s="0"/>
      <c r="I1" s="0"/>
      <c r="J1" s="0"/>
      <c r="K1" s="0"/>
      <c r="L1" s="0"/>
      <c r="M1" s="0"/>
      <c r="N1" s="0"/>
      <c r="O1" s="0"/>
      <c r="P1" s="0"/>
      <c r="Q1" s="0"/>
      <c r="R1" s="0"/>
      <c r="S1" s="0"/>
      <c r="T1" s="0"/>
      <c r="U1" s="0"/>
      <c r="V1" s="0"/>
      <c r="W1" s="0"/>
    </row>
    <row r="2" customFormat="false" ht="15" hidden="false" customHeight="false" outlineLevel="0" collapsed="false">
      <c r="B2" s="1215" t="s">
        <v>1492</v>
      </c>
      <c r="C2" s="1216" t="n">
        <f aca="false">РозрахДопПружПрогин!E13</f>
        <v>506.147062686301</v>
      </c>
      <c r="D2" s="1215" t="s">
        <v>1493</v>
      </c>
      <c r="E2" s="1215" t="n">
        <f aca="false">C2/C3</f>
        <v>0.187461875069</v>
      </c>
      <c r="F2" s="1215"/>
      <c r="G2" s="1215"/>
      <c r="H2" s="1215"/>
      <c r="I2" s="0"/>
      <c r="J2" s="0"/>
      <c r="K2" s="0"/>
      <c r="L2" s="0"/>
      <c r="M2" s="0"/>
      <c r="N2" s="0"/>
      <c r="O2" s="0"/>
      <c r="P2" s="0"/>
      <c r="Q2" s="0"/>
      <c r="R2" s="0"/>
      <c r="S2" s="0"/>
      <c r="T2" s="0"/>
      <c r="U2" s="0"/>
      <c r="V2" s="0"/>
      <c r="W2" s="0"/>
    </row>
    <row r="3" customFormat="false" ht="15" hidden="false" customHeight="false" outlineLevel="0" collapsed="false">
      <c r="B3" s="1215" t="s">
        <v>1494</v>
      </c>
      <c r="C3" s="1215" t="n">
        <f aca="false">РозрахДопПружПрогин!D12</f>
        <v>2700</v>
      </c>
      <c r="D3" s="1215"/>
      <c r="E3" s="1215"/>
      <c r="F3" s="1215"/>
      <c r="G3" s="1215"/>
      <c r="H3" s="1215"/>
      <c r="I3" s="0"/>
      <c r="J3" s="0"/>
      <c r="K3" s="0"/>
      <c r="L3" s="0"/>
      <c r="M3" s="0"/>
      <c r="N3" s="0"/>
      <c r="O3" s="0"/>
      <c r="P3" s="0"/>
      <c r="Q3" s="0"/>
      <c r="R3" s="0"/>
      <c r="S3" s="0"/>
      <c r="T3" s="0"/>
      <c r="U3" s="0"/>
      <c r="V3" s="0"/>
      <c r="W3" s="0"/>
    </row>
    <row r="4" customFormat="false" ht="15" hidden="false" customHeight="false" outlineLevel="0" collapsed="false">
      <c r="B4" s="1215" t="s">
        <v>1495</v>
      </c>
      <c r="C4" s="1215" t="n">
        <f aca="false">РозрахДопПружПрогин!C12</f>
        <v>0.1</v>
      </c>
      <c r="D4" s="1215" t="s">
        <v>243</v>
      </c>
      <c r="E4" s="1215" t="n">
        <f aca="false">C4/C5</f>
        <v>0.28992410954879</v>
      </c>
      <c r="F4" s="1215"/>
      <c r="G4" s="1215" t="n">
        <f aca="false">D12</f>
        <v>0.1</v>
      </c>
      <c r="H4" s="1215" t="n">
        <f aca="false">E12</f>
        <v>0.2</v>
      </c>
      <c r="I4" s="0"/>
      <c r="J4" s="0"/>
      <c r="K4" s="0"/>
      <c r="L4" s="0"/>
      <c r="M4" s="0"/>
      <c r="N4" s="0"/>
      <c r="O4" s="0"/>
      <c r="P4" s="0"/>
      <c r="Q4" s="0"/>
      <c r="R4" s="0"/>
      <c r="S4" s="0"/>
      <c r="T4" s="0"/>
      <c r="U4" s="0"/>
      <c r="V4" s="0"/>
      <c r="W4" s="0"/>
    </row>
    <row r="5" customFormat="false" ht="15" hidden="false" customHeight="false" outlineLevel="0" collapsed="false">
      <c r="B5" s="1215" t="s">
        <v>803</v>
      </c>
      <c r="C5" s="1215" t="n">
        <f aca="false">РозрахДопПружПрогин!H7</f>
        <v>0.344917848176305</v>
      </c>
      <c r="D5" s="1215"/>
      <c r="E5" s="1215"/>
      <c r="F5" s="1215" t="n">
        <f aca="false">B27</f>
        <v>0.15</v>
      </c>
      <c r="G5" s="1215" t="n">
        <f aca="false">D27</f>
        <v>0.159</v>
      </c>
      <c r="H5" s="1215" t="n">
        <f aca="false">E27</f>
        <v>0.188</v>
      </c>
      <c r="I5" s="0"/>
      <c r="J5" s="0"/>
      <c r="K5" s="0"/>
      <c r="L5" s="0"/>
      <c r="M5" s="0"/>
      <c r="N5" s="0"/>
      <c r="O5" s="0"/>
      <c r="P5" s="0"/>
      <c r="Q5" s="0"/>
      <c r="R5" s="0"/>
      <c r="S5" s="0"/>
      <c r="T5" s="0"/>
      <c r="U5" s="0"/>
      <c r="V5" s="0"/>
      <c r="W5" s="0"/>
    </row>
    <row r="6" customFormat="false" ht="15" hidden="false" customHeight="false" outlineLevel="0" collapsed="false">
      <c r="B6" s="1215" t="s">
        <v>1496</v>
      </c>
      <c r="C6" s="1215"/>
      <c r="D6" s="1215"/>
      <c r="E6" s="1217" t="n">
        <v>0.17</v>
      </c>
      <c r="F6" s="1215" t="n">
        <f aca="false">B28</f>
        <v>0.1</v>
      </c>
      <c r="G6" s="1215" t="n">
        <f aca="false">D28</f>
        <v>0.108</v>
      </c>
      <c r="H6" s="1215" t="n">
        <f aca="false">E28</f>
        <v>0.132</v>
      </c>
      <c r="I6" s="0"/>
      <c r="J6" s="0"/>
      <c r="K6" s="0"/>
      <c r="L6" s="0"/>
      <c r="M6" s="0"/>
      <c r="N6" s="0"/>
      <c r="O6" s="0"/>
      <c r="P6" s="0"/>
      <c r="Q6" s="0"/>
      <c r="R6" s="0"/>
      <c r="S6" s="0"/>
      <c r="T6" s="0"/>
      <c r="U6" s="0"/>
      <c r="V6" s="0"/>
      <c r="W6" s="0"/>
    </row>
    <row r="7" customFormat="false" ht="15" hidden="false" customHeight="false" outlineLevel="0" collapsed="false">
      <c r="B7" s="1215" t="s">
        <v>838</v>
      </c>
      <c r="C7" s="1215"/>
      <c r="D7" s="1215"/>
      <c r="E7" s="1215" t="n">
        <f aca="false">C3*E6</f>
        <v>459</v>
      </c>
      <c r="F7" s="1215"/>
      <c r="G7" s="1215"/>
      <c r="H7" s="1215"/>
      <c r="I7" s="0"/>
      <c r="J7" s="0"/>
      <c r="K7" s="0"/>
      <c r="L7" s="0"/>
      <c r="M7" s="0"/>
      <c r="N7" s="0"/>
      <c r="O7" s="0"/>
      <c r="P7" s="0"/>
      <c r="Q7" s="0"/>
      <c r="R7" s="0"/>
      <c r="S7" s="0"/>
      <c r="T7" s="0"/>
      <c r="U7" s="0"/>
      <c r="V7" s="0"/>
      <c r="W7" s="0"/>
    </row>
    <row r="8" customFormat="false" ht="15" hidden="false" customHeight="false" outlineLevel="0" collapsed="false">
      <c r="B8" s="0"/>
      <c r="C8" s="0"/>
      <c r="D8" s="0"/>
      <c r="E8" s="0"/>
      <c r="F8" s="0"/>
      <c r="G8" s="0"/>
      <c r="H8" s="0"/>
      <c r="I8" s="0"/>
      <c r="J8" s="0"/>
      <c r="K8" s="0"/>
      <c r="L8" s="0"/>
      <c r="M8" s="0"/>
      <c r="N8" s="0"/>
      <c r="O8" s="0"/>
      <c r="P8" s="0"/>
      <c r="Q8" s="0"/>
      <c r="R8" s="0"/>
      <c r="S8" s="0"/>
      <c r="T8" s="0"/>
      <c r="U8" s="0"/>
      <c r="V8" s="0"/>
      <c r="W8" s="0"/>
    </row>
    <row r="9" customFormat="false" ht="15.75" hidden="false" customHeight="true" outlineLevel="0" collapsed="false">
      <c r="B9" s="1218" t="s">
        <v>1496</v>
      </c>
      <c r="C9" s="1219" t="s">
        <v>1497</v>
      </c>
      <c r="D9" s="1219"/>
      <c r="E9" s="1219"/>
      <c r="F9" s="1219"/>
      <c r="G9" s="1219"/>
      <c r="H9" s="1219"/>
      <c r="I9" s="1219"/>
      <c r="J9" s="1219"/>
      <c r="K9" s="1219"/>
      <c r="L9" s="1219"/>
      <c r="M9" s="1219"/>
      <c r="N9" s="1219"/>
      <c r="O9" s="1219"/>
      <c r="P9" s="1219"/>
      <c r="Q9" s="1219"/>
      <c r="R9" s="1219"/>
      <c r="S9" s="1219"/>
      <c r="T9" s="1219"/>
      <c r="U9" s="1219"/>
      <c r="V9" s="1219"/>
      <c r="W9" s="1219"/>
    </row>
    <row r="10" customFormat="false" ht="15.75" hidden="false" customHeight="true" outlineLevel="0" collapsed="false">
      <c r="B10" s="1218"/>
      <c r="C10" s="1220" t="s">
        <v>1498</v>
      </c>
      <c r="D10" s="1220"/>
      <c r="E10" s="1220"/>
      <c r="F10" s="1220"/>
      <c r="G10" s="1220"/>
      <c r="H10" s="1220"/>
      <c r="I10" s="1220"/>
      <c r="J10" s="1220"/>
      <c r="K10" s="1220"/>
      <c r="L10" s="1220"/>
      <c r="M10" s="1220"/>
      <c r="N10" s="1220"/>
      <c r="O10" s="1220"/>
      <c r="P10" s="1220"/>
      <c r="Q10" s="1220"/>
      <c r="R10" s="1220"/>
      <c r="S10" s="1220"/>
      <c r="T10" s="1220"/>
      <c r="U10" s="1220"/>
      <c r="V10" s="1220"/>
      <c r="W10" s="1220"/>
    </row>
    <row r="11" customFormat="false" ht="15.75" hidden="false" customHeight="false" outlineLevel="0" collapsed="false">
      <c r="B11" s="1218"/>
      <c r="C11" s="1221"/>
      <c r="D11" s="1221"/>
      <c r="E11" s="1221"/>
      <c r="F11" s="1221"/>
      <c r="G11" s="1221"/>
      <c r="H11" s="1221"/>
      <c r="I11" s="1221"/>
      <c r="J11" s="1221"/>
      <c r="K11" s="1221"/>
      <c r="L11" s="1221"/>
      <c r="M11" s="1221"/>
      <c r="N11" s="1221"/>
      <c r="O11" s="1221"/>
      <c r="P11" s="1221"/>
      <c r="Q11" s="1221"/>
      <c r="R11" s="1221"/>
      <c r="S11" s="1221"/>
      <c r="T11" s="1221"/>
      <c r="U11" s="1221"/>
      <c r="V11" s="1221"/>
      <c r="W11" s="1221"/>
    </row>
    <row r="12" customFormat="false" ht="15.75" hidden="false" customHeight="false" outlineLevel="0" collapsed="false">
      <c r="B12" s="1218"/>
      <c r="C12" s="1222" t="n">
        <v>0</v>
      </c>
      <c r="D12" s="1222" t="n">
        <v>0.1</v>
      </c>
      <c r="E12" s="1222" t="n">
        <v>0.2</v>
      </c>
      <c r="F12" s="1222" t="n">
        <v>0.3</v>
      </c>
      <c r="G12" s="1222" t="n">
        <v>0.4</v>
      </c>
      <c r="H12" s="1222" t="n">
        <v>0.5</v>
      </c>
      <c r="I12" s="1222" t="n">
        <v>0.6</v>
      </c>
      <c r="J12" s="1222" t="n">
        <v>0.7</v>
      </c>
      <c r="K12" s="1222" t="n">
        <v>0.8</v>
      </c>
      <c r="L12" s="1222" t="n">
        <v>0.9</v>
      </c>
      <c r="M12" s="1222" t="n">
        <v>1</v>
      </c>
      <c r="N12" s="1222" t="n">
        <v>1.1</v>
      </c>
      <c r="O12" s="1222" t="n">
        <v>1.2</v>
      </c>
      <c r="P12" s="1222" t="n">
        <v>1.3</v>
      </c>
      <c r="Q12" s="1222" t="n">
        <v>1.4</v>
      </c>
      <c r="R12" s="1222" t="n">
        <v>1.5</v>
      </c>
      <c r="S12" s="1222" t="n">
        <v>1.6</v>
      </c>
      <c r="T12" s="1222" t="n">
        <v>1.7</v>
      </c>
      <c r="U12" s="1222" t="n">
        <v>1.8</v>
      </c>
      <c r="V12" s="1222" t="n">
        <v>1.9</v>
      </c>
      <c r="W12" s="1222" t="n">
        <v>2</v>
      </c>
    </row>
    <row r="13" customFormat="false" ht="15.75" hidden="false" customHeight="false" outlineLevel="0" collapsed="false">
      <c r="B13" s="1220" t="n">
        <v>0.85</v>
      </c>
      <c r="C13" s="1223" t="n">
        <v>0.85</v>
      </c>
      <c r="D13" s="1224" t="n">
        <v>0.852</v>
      </c>
      <c r="E13" s="1224" t="n">
        <v>0.856</v>
      </c>
      <c r="F13" s="1224" t="n">
        <v>0.867</v>
      </c>
      <c r="G13" s="1224" t="n">
        <v>0.878</v>
      </c>
      <c r="H13" s="1224" t="n">
        <v>0.888</v>
      </c>
      <c r="I13" s="1224" t="n">
        <v>0.898</v>
      </c>
      <c r="J13" s="1224" t="n">
        <v>0.905</v>
      </c>
      <c r="K13" s="1224" t="s">
        <v>811</v>
      </c>
      <c r="L13" s="1224" t="s">
        <v>811</v>
      </c>
      <c r="M13" s="1224" t="s">
        <v>811</v>
      </c>
      <c r="N13" s="1224" t="s">
        <v>811</v>
      </c>
      <c r="O13" s="1224" t="s">
        <v>811</v>
      </c>
      <c r="P13" s="1224" t="s">
        <v>811</v>
      </c>
      <c r="Q13" s="1224" t="s">
        <v>811</v>
      </c>
      <c r="R13" s="1224" t="s">
        <v>811</v>
      </c>
      <c r="S13" s="1224" t="s">
        <v>811</v>
      </c>
      <c r="T13" s="1224" t="s">
        <v>811</v>
      </c>
      <c r="U13" s="1224" t="s">
        <v>811</v>
      </c>
      <c r="V13" s="1224" t="s">
        <v>811</v>
      </c>
      <c r="W13" s="1224" t="s">
        <v>811</v>
      </c>
    </row>
    <row r="14" customFormat="false" ht="15.75" hidden="false" customHeight="false" outlineLevel="0" collapsed="false">
      <c r="B14" s="1220" t="n">
        <v>0.8</v>
      </c>
      <c r="C14" s="1223" t="n">
        <v>0.8</v>
      </c>
      <c r="D14" s="1224" t="n">
        <v>0.805</v>
      </c>
      <c r="E14" s="1224" t="n">
        <v>0.816</v>
      </c>
      <c r="F14" s="1224" t="n">
        <v>0.829</v>
      </c>
      <c r="G14" s="1224" t="n">
        <v>0.845</v>
      </c>
      <c r="H14" s="1224" t="n">
        <v>0.859</v>
      </c>
      <c r="I14" s="1224" t="n">
        <v>0.872</v>
      </c>
      <c r="J14" s="1224" t="n">
        <v>0.882</v>
      </c>
      <c r="K14" s="1224" t="n">
        <v>0.891</v>
      </c>
      <c r="L14" s="1224" t="n">
        <v>0.898</v>
      </c>
      <c r="M14" s="1224" t="n">
        <v>0.904</v>
      </c>
      <c r="N14" s="1224" t="s">
        <v>811</v>
      </c>
      <c r="O14" s="1224" t="s">
        <v>811</v>
      </c>
      <c r="P14" s="1224" t="s">
        <v>811</v>
      </c>
      <c r="Q14" s="1224" t="s">
        <v>811</v>
      </c>
      <c r="R14" s="1224" t="s">
        <v>811</v>
      </c>
      <c r="S14" s="1224" t="s">
        <v>811</v>
      </c>
      <c r="T14" s="1224" t="s">
        <v>811</v>
      </c>
      <c r="U14" s="1224" t="s">
        <v>811</v>
      </c>
      <c r="V14" s="1224" t="s">
        <v>811</v>
      </c>
      <c r="W14" s="1224" t="s">
        <v>811</v>
      </c>
    </row>
    <row r="15" customFormat="false" ht="15.75" hidden="false" customHeight="false" outlineLevel="0" collapsed="false">
      <c r="B15" s="1220" t="n">
        <v>0.75</v>
      </c>
      <c r="C15" s="1223" t="n">
        <v>0.75</v>
      </c>
      <c r="D15" s="1224" t="n">
        <v>0.758</v>
      </c>
      <c r="E15" s="1224" t="n">
        <v>0.772</v>
      </c>
      <c r="F15" s="1224" t="n">
        <v>0.791</v>
      </c>
      <c r="G15" s="1224" t="n">
        <v>0.811</v>
      </c>
      <c r="H15" s="1224" t="n">
        <v>0.829</v>
      </c>
      <c r="I15" s="1224" t="n">
        <v>0.844</v>
      </c>
      <c r="J15" s="1224" t="n">
        <v>0.857</v>
      </c>
      <c r="K15" s="1224" t="n">
        <v>0.868</v>
      </c>
      <c r="L15" s="1224" t="n">
        <v>0.877</v>
      </c>
      <c r="M15" s="1224" t="n">
        <v>0.885</v>
      </c>
      <c r="N15" s="1224" t="n">
        <v>0.892</v>
      </c>
      <c r="O15" s="1224" t="n">
        <v>0.897</v>
      </c>
      <c r="P15" s="1224" t="n">
        <v>0.902</v>
      </c>
      <c r="Q15" s="1224" t="s">
        <v>811</v>
      </c>
      <c r="R15" s="1224" t="s">
        <v>811</v>
      </c>
      <c r="S15" s="1224" t="s">
        <v>811</v>
      </c>
      <c r="T15" s="1224" t="s">
        <v>811</v>
      </c>
      <c r="U15" s="1224" t="s">
        <v>811</v>
      </c>
      <c r="V15" s="1224" t="s">
        <v>811</v>
      </c>
      <c r="W15" s="1224" t="s">
        <v>811</v>
      </c>
    </row>
    <row r="16" customFormat="false" ht="15.75" hidden="false" customHeight="false" outlineLevel="0" collapsed="false">
      <c r="B16" s="1220" t="n">
        <v>0.7</v>
      </c>
      <c r="C16" s="1223" t="n">
        <v>0.7</v>
      </c>
      <c r="D16" s="1224" t="n">
        <v>0.711</v>
      </c>
      <c r="E16" s="1224" t="n">
        <v>0.728</v>
      </c>
      <c r="F16" s="1224" t="n">
        <v>0.751</v>
      </c>
      <c r="G16" s="1224" t="n">
        <v>0.776</v>
      </c>
      <c r="H16" s="1224" t="n">
        <v>0.797</v>
      </c>
      <c r="I16" s="1224" t="n">
        <v>0.816</v>
      </c>
      <c r="J16" s="1224" t="n">
        <v>0.831</v>
      </c>
      <c r="K16" s="1224" t="n">
        <v>0.844</v>
      </c>
      <c r="L16" s="1224" t="n">
        <v>0.855</v>
      </c>
      <c r="M16" s="1224" t="n">
        <v>0.864</v>
      </c>
      <c r="N16" s="1224" t="n">
        <v>0.872</v>
      </c>
      <c r="O16" s="1224" t="n">
        <v>0.88</v>
      </c>
      <c r="P16" s="1224" t="n">
        <v>0.886</v>
      </c>
      <c r="Q16" s="1224" t="n">
        <v>0.891</v>
      </c>
      <c r="R16" s="1224" t="n">
        <v>0.896</v>
      </c>
      <c r="S16" s="1223" t="n">
        <v>0.9</v>
      </c>
      <c r="T16" s="1224" t="s">
        <v>811</v>
      </c>
      <c r="U16" s="1224" t="s">
        <v>811</v>
      </c>
      <c r="V16" s="1224" t="s">
        <v>811</v>
      </c>
      <c r="W16" s="1224" t="s">
        <v>811</v>
      </c>
    </row>
    <row r="17" customFormat="false" ht="15.75" hidden="false" customHeight="false" outlineLevel="0" collapsed="false">
      <c r="B17" s="1220" t="n">
        <v>0.65</v>
      </c>
      <c r="C17" s="1223" t="n">
        <v>0.65</v>
      </c>
      <c r="D17" s="1224" t="n">
        <v>0.662</v>
      </c>
      <c r="E17" s="1224" t="n">
        <v>0.683</v>
      </c>
      <c r="F17" s="1224" t="n">
        <v>0.711</v>
      </c>
      <c r="G17" s="1224" t="n">
        <v>0.739</v>
      </c>
      <c r="H17" s="1224" t="n">
        <v>0.764</v>
      </c>
      <c r="I17" s="1224" t="n">
        <v>0.785</v>
      </c>
      <c r="J17" s="1224" t="n">
        <v>0.803</v>
      </c>
      <c r="K17" s="1224" t="n">
        <v>0.818</v>
      </c>
      <c r="L17" s="1224" t="n">
        <v>0.831</v>
      </c>
      <c r="M17" s="1224" t="n">
        <v>0.842</v>
      </c>
      <c r="N17" s="1224" t="n">
        <v>0.852</v>
      </c>
      <c r="O17" s="1224" t="n">
        <v>0.86</v>
      </c>
      <c r="P17" s="1224" t="n">
        <v>0.867</v>
      </c>
      <c r="Q17" s="1224" t="n">
        <v>0.874</v>
      </c>
      <c r="R17" s="1224" t="n">
        <v>0.879</v>
      </c>
      <c r="S17" s="1224" t="n">
        <v>0.884</v>
      </c>
      <c r="T17" s="1224" t="n">
        <v>0.889</v>
      </c>
      <c r="U17" s="1224" t="n">
        <v>0.893</v>
      </c>
      <c r="V17" s="1224" t="n">
        <v>0.896</v>
      </c>
      <c r="W17" s="1223" t="n">
        <v>0.9</v>
      </c>
    </row>
    <row r="18" customFormat="false" ht="15.75" hidden="false" customHeight="false" outlineLevel="0" collapsed="false">
      <c r="B18" s="1220" t="n">
        <v>0.6</v>
      </c>
      <c r="C18" s="1223" t="n">
        <v>0.6</v>
      </c>
      <c r="D18" s="1224" t="n">
        <v>0.614</v>
      </c>
      <c r="E18" s="1224" t="n">
        <v>0.638</v>
      </c>
      <c r="F18" s="1224" t="n">
        <v>0.669</v>
      </c>
      <c r="G18" s="1223" t="n">
        <v>0.7</v>
      </c>
      <c r="H18" s="1224" t="n">
        <v>0.729</v>
      </c>
      <c r="I18" s="1224" t="n">
        <v>0.753</v>
      </c>
      <c r="J18" s="1224" t="n">
        <v>0.773</v>
      </c>
      <c r="K18" s="1224" t="n">
        <v>0.791</v>
      </c>
      <c r="L18" s="1224" t="n">
        <v>0.806</v>
      </c>
      <c r="M18" s="1224" t="n">
        <v>0.818</v>
      </c>
      <c r="N18" s="1224" t="n">
        <v>0.829</v>
      </c>
      <c r="O18" s="1224" t="n">
        <v>0.839</v>
      </c>
      <c r="P18" s="1224" t="n">
        <v>0.847</v>
      </c>
      <c r="Q18" s="1224" t="n">
        <v>0.855</v>
      </c>
      <c r="R18" s="1224" t="n">
        <v>0.861</v>
      </c>
      <c r="S18" s="1224" t="n">
        <v>0.867</v>
      </c>
      <c r="T18" s="1224" t="n">
        <v>0.872</v>
      </c>
      <c r="U18" s="1224" t="n">
        <v>0.877</v>
      </c>
      <c r="V18" s="1224" t="n">
        <v>0.882</v>
      </c>
      <c r="W18" s="1224" t="n">
        <v>0.886</v>
      </c>
    </row>
    <row r="19" customFormat="false" ht="15.75" hidden="false" customHeight="false" outlineLevel="0" collapsed="false">
      <c r="B19" s="1220" t="n">
        <v>0.55</v>
      </c>
      <c r="C19" s="1223" t="n">
        <v>0.55</v>
      </c>
      <c r="D19" s="1224" t="n">
        <v>0.564</v>
      </c>
      <c r="E19" s="1224" t="n">
        <v>0.592</v>
      </c>
      <c r="F19" s="1224" t="n">
        <v>0.626</v>
      </c>
      <c r="G19" s="1224" t="n">
        <v>0.66</v>
      </c>
      <c r="H19" s="1224" t="n">
        <v>0.692</v>
      </c>
      <c r="I19" s="1224" t="n">
        <v>0.718</v>
      </c>
      <c r="J19" s="1224" t="n">
        <v>0.741</v>
      </c>
      <c r="K19" s="1224" t="n">
        <v>0.761</v>
      </c>
      <c r="L19" s="1224" t="n">
        <v>0.778</v>
      </c>
      <c r="M19" s="1224" t="n">
        <v>0.792</v>
      </c>
      <c r="N19" s="1224" t="n">
        <v>0.804</v>
      </c>
      <c r="O19" s="1224" t="n">
        <v>0.815</v>
      </c>
      <c r="P19" s="1224" t="n">
        <v>0.825</v>
      </c>
      <c r="Q19" s="1224" t="n">
        <v>0.834</v>
      </c>
      <c r="R19" s="1224" t="n">
        <v>0.841</v>
      </c>
      <c r="S19" s="1224" t="n">
        <v>0.848</v>
      </c>
      <c r="T19" s="1224" t="n">
        <v>0.854</v>
      </c>
      <c r="U19" s="1223" t="n">
        <v>0.86</v>
      </c>
      <c r="V19" s="1224" t="n">
        <v>0.865</v>
      </c>
      <c r="W19" s="1223" t="n">
        <v>0.87</v>
      </c>
    </row>
    <row r="20" customFormat="false" ht="15.75" hidden="false" customHeight="false" outlineLevel="0" collapsed="false">
      <c r="B20" s="1220" t="n">
        <v>0.5</v>
      </c>
      <c r="C20" s="1223" t="n">
        <v>0.5</v>
      </c>
      <c r="D20" s="1224" t="n">
        <v>0.514</v>
      </c>
      <c r="E20" s="1224" t="n">
        <v>0.544</v>
      </c>
      <c r="F20" s="1224" t="n">
        <v>0.581</v>
      </c>
      <c r="G20" s="1224" t="n">
        <v>0.619</v>
      </c>
      <c r="H20" s="1224" t="n">
        <v>0.652</v>
      </c>
      <c r="I20" s="1224" t="n">
        <v>0.682</v>
      </c>
      <c r="J20" s="1224" t="n">
        <v>0.707</v>
      </c>
      <c r="K20" s="1224" t="n">
        <v>0.728</v>
      </c>
      <c r="L20" s="1224" t="n">
        <v>0.747</v>
      </c>
      <c r="M20" s="1224" t="n">
        <v>0.763</v>
      </c>
      <c r="N20" s="1224" t="n">
        <v>0.777</v>
      </c>
      <c r="O20" s="1224" t="n">
        <v>0.79</v>
      </c>
      <c r="P20" s="1223" t="n">
        <v>0.8</v>
      </c>
      <c r="Q20" s="1223" t="n">
        <v>0.81</v>
      </c>
      <c r="R20" s="1224" t="n">
        <v>0.819</v>
      </c>
      <c r="S20" s="1224" t="n">
        <v>0.827</v>
      </c>
      <c r="T20" s="1224" t="n">
        <v>0.834</v>
      </c>
      <c r="U20" s="1224" t="n">
        <v>0.84</v>
      </c>
      <c r="V20" s="1224" t="n">
        <v>0.846</v>
      </c>
      <c r="W20" s="1224" t="n">
        <v>0.851</v>
      </c>
    </row>
    <row r="21" customFormat="false" ht="15.75" hidden="false" customHeight="false" outlineLevel="0" collapsed="false">
      <c r="B21" s="1220" t="n">
        <v>0.45</v>
      </c>
      <c r="C21" s="1223" t="n">
        <v>0.45</v>
      </c>
      <c r="D21" s="1224" t="n">
        <v>0.464</v>
      </c>
      <c r="E21" s="1224" t="n">
        <v>0.496</v>
      </c>
      <c r="F21" s="1224" t="n">
        <v>0.536</v>
      </c>
      <c r="G21" s="1224" t="n">
        <v>0.575</v>
      </c>
      <c r="H21" s="1224" t="n">
        <v>0.611</v>
      </c>
      <c r="I21" s="1224" t="n">
        <v>0.642</v>
      </c>
      <c r="J21" s="1224" t="n">
        <v>0.67</v>
      </c>
      <c r="K21" s="1224" t="n">
        <v>0.693</v>
      </c>
      <c r="L21" s="1224" t="n">
        <v>0.714</v>
      </c>
      <c r="M21" s="1224" t="n">
        <v>0.731</v>
      </c>
      <c r="N21" s="1224" t="n">
        <v>0.747</v>
      </c>
      <c r="O21" s="1224" t="n">
        <v>0.761</v>
      </c>
      <c r="P21" s="1224" t="n">
        <v>0.773</v>
      </c>
      <c r="Q21" s="1224" t="n">
        <v>0.784</v>
      </c>
      <c r="R21" s="1224" t="n">
        <v>0.794</v>
      </c>
      <c r="S21" s="1224" t="n">
        <v>0.802</v>
      </c>
      <c r="T21" s="1224" t="n">
        <v>0.811</v>
      </c>
      <c r="U21" s="1224" t="n">
        <v>0.818</v>
      </c>
      <c r="V21" s="1224" t="n">
        <v>0.824</v>
      </c>
      <c r="W21" s="1224" t="n">
        <v>0.831</v>
      </c>
    </row>
    <row r="22" customFormat="false" ht="15.75" hidden="false" customHeight="false" outlineLevel="0" collapsed="false">
      <c r="B22" s="1220" t="n">
        <v>0.4</v>
      </c>
      <c r="C22" s="1223" t="n">
        <v>0.4</v>
      </c>
      <c r="D22" s="1224" t="n">
        <v>0.414</v>
      </c>
      <c r="E22" s="1224" t="n">
        <v>0.448</v>
      </c>
      <c r="F22" s="1224" t="n">
        <v>0.488</v>
      </c>
      <c r="G22" s="1224" t="n">
        <v>0.529</v>
      </c>
      <c r="H22" s="1224" t="n">
        <v>0.567</v>
      </c>
      <c r="I22" s="1223" t="n">
        <v>0.6</v>
      </c>
      <c r="J22" s="1224" t="n">
        <v>0.628</v>
      </c>
      <c r="K22" s="1224" t="n">
        <v>0.654</v>
      </c>
      <c r="L22" s="1224" t="n">
        <v>0.677</v>
      </c>
      <c r="M22" s="1224" t="n">
        <v>0.696</v>
      </c>
      <c r="N22" s="1224" t="n">
        <v>0.713</v>
      </c>
      <c r="O22" s="1224" t="n">
        <v>0.728</v>
      </c>
      <c r="P22" s="1224" t="n">
        <v>0.742</v>
      </c>
      <c r="Q22" s="1224" t="n">
        <v>0.754</v>
      </c>
      <c r="R22" s="1224" t="n">
        <v>0.765</v>
      </c>
      <c r="S22" s="1224" t="n">
        <v>0.775</v>
      </c>
      <c r="T22" s="1224" t="n">
        <v>0.784</v>
      </c>
      <c r="U22" s="1224" t="n">
        <v>0.792</v>
      </c>
      <c r="V22" s="1224" t="n">
        <v>0.8</v>
      </c>
      <c r="W22" s="1224" t="n">
        <v>0.807</v>
      </c>
    </row>
    <row r="23" customFormat="false" ht="15.75" hidden="false" customHeight="false" outlineLevel="0" collapsed="false">
      <c r="B23" s="1220" t="n">
        <v>0.35</v>
      </c>
      <c r="C23" s="1223" t="n">
        <v>0.35</v>
      </c>
      <c r="D23" s="1224" t="n">
        <v>0.364</v>
      </c>
      <c r="E23" s="1224" t="n">
        <v>0.398</v>
      </c>
      <c r="F23" s="1224" t="n">
        <v>0.439</v>
      </c>
      <c r="G23" s="1224" t="n">
        <v>0.481</v>
      </c>
      <c r="H23" s="1223" t="n">
        <v>0.52</v>
      </c>
      <c r="I23" s="1224" t="n">
        <v>0.554</v>
      </c>
      <c r="J23" s="1224" t="n">
        <v>0.585</v>
      </c>
      <c r="K23" s="1224" t="n">
        <v>0.612</v>
      </c>
      <c r="L23" s="1224" t="n">
        <v>0.636</v>
      </c>
      <c r="M23" s="1224" t="n">
        <v>0.656</v>
      </c>
      <c r="N23" s="1224" t="n">
        <v>0.675</v>
      </c>
      <c r="O23" s="1224" t="n">
        <v>0.692</v>
      </c>
      <c r="P23" s="1224" t="n">
        <v>0.707</v>
      </c>
      <c r="Q23" s="1224" t="n">
        <v>0.72</v>
      </c>
      <c r="R23" s="1224" t="n">
        <v>0.732</v>
      </c>
      <c r="S23" s="1224" t="n">
        <v>0.743</v>
      </c>
      <c r="T23" s="1224" t="n">
        <v>0.753</v>
      </c>
      <c r="U23" s="1224" t="n">
        <v>0.763</v>
      </c>
      <c r="V23" s="1224" t="n">
        <v>0.771</v>
      </c>
      <c r="W23" s="1224" t="n">
        <v>0.779</v>
      </c>
    </row>
    <row r="24" customFormat="false" ht="15.75" hidden="false" customHeight="false" outlineLevel="0" collapsed="false">
      <c r="B24" s="1220" t="n">
        <v>0.3</v>
      </c>
      <c r="C24" s="1223" t="n">
        <v>0.3</v>
      </c>
      <c r="D24" s="1224" t="n">
        <v>0.313</v>
      </c>
      <c r="E24" s="1224" t="n">
        <v>0.347</v>
      </c>
      <c r="F24" s="1224" t="n">
        <v>0.388</v>
      </c>
      <c r="G24" s="1223" t="n">
        <v>0.43</v>
      </c>
      <c r="H24" s="1223" t="n">
        <v>0.47</v>
      </c>
      <c r="I24" s="1224" t="n">
        <v>0.505</v>
      </c>
      <c r="J24" s="1224" t="n">
        <v>0.537</v>
      </c>
      <c r="K24" s="1224" t="n">
        <v>0.565</v>
      </c>
      <c r="L24" s="1224" t="n">
        <v>0.59</v>
      </c>
      <c r="M24" s="1224" t="n">
        <v>0.612</v>
      </c>
      <c r="N24" s="1224" t="n">
        <v>0.632</v>
      </c>
      <c r="O24" s="1224" t="n">
        <v>0.65</v>
      </c>
      <c r="P24" s="1224" t="n">
        <v>0.666</v>
      </c>
      <c r="Q24" s="1224" t="n">
        <v>0.681</v>
      </c>
      <c r="R24" s="1224" t="n">
        <v>0.694</v>
      </c>
      <c r="S24" s="1224" t="n">
        <v>0.706</v>
      </c>
      <c r="T24" s="1224" t="n">
        <v>0.717</v>
      </c>
      <c r="U24" s="1224" t="n">
        <v>0.728</v>
      </c>
      <c r="V24" s="1224" t="n">
        <v>0.737</v>
      </c>
      <c r="W24" s="1224" t="n">
        <v>0.746</v>
      </c>
    </row>
    <row r="25" customFormat="false" ht="15.75" hidden="false" customHeight="false" outlineLevel="0" collapsed="false">
      <c r="B25" s="1220" t="n">
        <v>0.25</v>
      </c>
      <c r="C25" s="1223" t="n">
        <v>0.25</v>
      </c>
      <c r="D25" s="1224" t="n">
        <v>0.262</v>
      </c>
      <c r="E25" s="1224" t="n">
        <v>0.295</v>
      </c>
      <c r="F25" s="1224" t="n">
        <v>0.336</v>
      </c>
      <c r="G25" s="1224" t="n">
        <v>0.377</v>
      </c>
      <c r="H25" s="1224" t="n">
        <v>0.415</v>
      </c>
      <c r="I25" s="1224" t="n">
        <v>0.451</v>
      </c>
      <c r="J25" s="1224" t="n">
        <v>0.483</v>
      </c>
      <c r="K25" s="1224" t="n">
        <v>0.512</v>
      </c>
      <c r="L25" s="1224" t="n">
        <v>0.538</v>
      </c>
      <c r="M25" s="1224" t="n">
        <v>0.561</v>
      </c>
      <c r="N25" s="1224" t="n">
        <v>0.582</v>
      </c>
      <c r="O25" s="1224" t="n">
        <v>0.601</v>
      </c>
      <c r="P25" s="1224" t="n">
        <v>0.618</v>
      </c>
      <c r="Q25" s="1224" t="n">
        <v>0.634</v>
      </c>
      <c r="R25" s="1224" t="n">
        <v>0.649</v>
      </c>
      <c r="S25" s="1224" t="n">
        <v>0.662</v>
      </c>
      <c r="T25" s="1224" t="n">
        <v>0.674</v>
      </c>
      <c r="U25" s="1224" t="n">
        <v>0.686</v>
      </c>
      <c r="V25" s="1224" t="n">
        <v>0.696</v>
      </c>
      <c r="W25" s="1224" t="n">
        <v>0.706</v>
      </c>
    </row>
    <row r="26" customFormat="false" ht="15.75" hidden="false" customHeight="false" outlineLevel="0" collapsed="false">
      <c r="B26" s="1220" t="n">
        <v>0.2</v>
      </c>
      <c r="C26" s="1223" t="n">
        <v>0.2</v>
      </c>
      <c r="D26" s="1224" t="n">
        <v>0.211</v>
      </c>
      <c r="E26" s="1224" t="n">
        <v>0.242</v>
      </c>
      <c r="F26" s="1224" t="n">
        <v>0.28</v>
      </c>
      <c r="G26" s="1224" t="n">
        <v>0.319</v>
      </c>
      <c r="H26" s="1224" t="n">
        <v>0.357</v>
      </c>
      <c r="I26" s="1224" t="n">
        <v>0.391</v>
      </c>
      <c r="J26" s="1224" t="n">
        <v>0.421</v>
      </c>
      <c r="K26" s="1224" t="n">
        <v>0.451</v>
      </c>
      <c r="L26" s="1224" t="n">
        <v>0.478</v>
      </c>
      <c r="M26" s="1224" t="n">
        <v>0.501</v>
      </c>
      <c r="N26" s="1224" t="n">
        <v>0.523</v>
      </c>
      <c r="O26" s="1224" t="n">
        <v>0.543</v>
      </c>
      <c r="P26" s="1224" t="n">
        <v>0.561</v>
      </c>
      <c r="Q26" s="1224" t="n">
        <v>0.578</v>
      </c>
      <c r="R26" s="1224" t="n">
        <v>0.594</v>
      </c>
      <c r="S26" s="1224" t="n">
        <v>0.608</v>
      </c>
      <c r="T26" s="1224" t="n">
        <v>0.622</v>
      </c>
      <c r="U26" s="1224" t="n">
        <v>0.634</v>
      </c>
      <c r="V26" s="1224" t="n">
        <v>0.646</v>
      </c>
      <c r="W26" s="1224" t="n">
        <v>0.656</v>
      </c>
    </row>
    <row r="27" customFormat="false" ht="15.75" hidden="false" customHeight="false" outlineLevel="0" collapsed="false">
      <c r="B27" s="1220" t="n">
        <v>0.15</v>
      </c>
      <c r="C27" s="1223" t="n">
        <v>0.15</v>
      </c>
      <c r="D27" s="1224" t="n">
        <v>0.159</v>
      </c>
      <c r="E27" s="1224" t="n">
        <v>0.188</v>
      </c>
      <c r="F27" s="1224" t="n">
        <v>0.222</v>
      </c>
      <c r="G27" s="1224" t="n">
        <v>0.258</v>
      </c>
      <c r="H27" s="1224" t="n">
        <v>0.292</v>
      </c>
      <c r="I27" s="1224" t="n">
        <v>0.324</v>
      </c>
      <c r="J27" s="1224" t="n">
        <v>0.354</v>
      </c>
      <c r="K27" s="1224" t="n">
        <v>0.382</v>
      </c>
      <c r="L27" s="1224" t="n">
        <v>0.407</v>
      </c>
      <c r="M27" s="1224" t="n">
        <v>0.431</v>
      </c>
      <c r="N27" s="1224" t="n">
        <v>0.453</v>
      </c>
      <c r="O27" s="1224" t="n">
        <v>0.473</v>
      </c>
      <c r="P27" s="1224" t="n">
        <v>0.492</v>
      </c>
      <c r="Q27" s="1224" t="n">
        <v>0.509</v>
      </c>
      <c r="R27" s="1224" t="n">
        <v>0.525</v>
      </c>
      <c r="S27" s="1224" t="n">
        <v>0.54</v>
      </c>
      <c r="T27" s="1224" t="n">
        <v>0.554</v>
      </c>
      <c r="U27" s="1224" t="n">
        <v>0.568</v>
      </c>
      <c r="V27" s="1224" t="n">
        <v>0.58</v>
      </c>
      <c r="W27" s="1224" t="n">
        <v>0.592</v>
      </c>
    </row>
    <row r="28" customFormat="false" ht="15.75" hidden="false" customHeight="false" outlineLevel="0" collapsed="false">
      <c r="B28" s="1220" t="n">
        <v>0.1</v>
      </c>
      <c r="C28" s="1223" t="n">
        <v>0.1</v>
      </c>
      <c r="D28" s="1224" t="n">
        <v>0.108</v>
      </c>
      <c r="E28" s="1224" t="n">
        <v>0.132</v>
      </c>
      <c r="F28" s="1224" t="n">
        <v>0.161</v>
      </c>
      <c r="G28" s="1224" t="n">
        <v>0.191</v>
      </c>
      <c r="H28" s="1223" t="n">
        <v>0.22</v>
      </c>
      <c r="I28" s="1224" t="n">
        <v>0.248</v>
      </c>
      <c r="J28" s="1224" t="n">
        <v>0.274</v>
      </c>
      <c r="K28" s="1224" t="n">
        <v>0.299</v>
      </c>
      <c r="L28" s="1224" t="n">
        <v>0.322</v>
      </c>
      <c r="M28" s="1224" t="n">
        <v>0.344</v>
      </c>
      <c r="N28" s="1224" t="n">
        <v>0.364</v>
      </c>
      <c r="O28" s="1224" t="n">
        <v>0.384</v>
      </c>
      <c r="P28" s="1224" t="n">
        <v>0.402</v>
      </c>
      <c r="Q28" s="1224" t="n">
        <v>0.418</v>
      </c>
      <c r="R28" s="1224" t="n">
        <v>0.435</v>
      </c>
      <c r="S28" s="1224" t="n">
        <v>0.45</v>
      </c>
      <c r="T28" s="1224" t="n">
        <v>0.464</v>
      </c>
      <c r="U28" s="1224" t="n">
        <v>0.478</v>
      </c>
      <c r="V28" s="1224" t="n">
        <v>0.491</v>
      </c>
      <c r="W28" s="1224" t="n">
        <v>0.503</v>
      </c>
    </row>
    <row r="29" customFormat="false" ht="15.75" hidden="false" customHeight="false" outlineLevel="0" collapsed="false">
      <c r="B29" s="1220" t="n">
        <v>0.05</v>
      </c>
      <c r="C29" s="1223" t="n">
        <v>0.05</v>
      </c>
      <c r="D29" s="1224" t="n">
        <v>0.055</v>
      </c>
      <c r="E29" s="1224" t="n">
        <v>0.073</v>
      </c>
      <c r="F29" s="1224" t="n">
        <v>0.093</v>
      </c>
      <c r="G29" s="1224" t="n">
        <v>0.114</v>
      </c>
      <c r="H29" s="1224" t="n">
        <v>0.135</v>
      </c>
      <c r="I29" s="1224" t="n">
        <v>0.158</v>
      </c>
      <c r="J29" s="1224" t="n">
        <v>0.174</v>
      </c>
      <c r="K29" s="1224" t="n">
        <v>0.193</v>
      </c>
      <c r="L29" s="1224" t="n">
        <v>0.211</v>
      </c>
      <c r="M29" s="1224" t="n">
        <v>0.228</v>
      </c>
      <c r="N29" s="1224" t="n">
        <v>0.244</v>
      </c>
      <c r="O29" s="1224" t="n">
        <v>0.261</v>
      </c>
      <c r="P29" s="1224" t="n">
        <v>0.275</v>
      </c>
      <c r="Q29" s="1224" t="n">
        <v>0.29</v>
      </c>
      <c r="R29" s="1224" t="n">
        <v>0.304</v>
      </c>
      <c r="S29" s="1224" t="n">
        <v>0.317</v>
      </c>
      <c r="T29" s="1224" t="n">
        <v>0.33</v>
      </c>
      <c r="U29" s="1224" t="n">
        <v>0.343</v>
      </c>
      <c r="V29" s="1224" t="n">
        <v>0.355</v>
      </c>
      <c r="W29" s="1224" t="n">
        <v>0.366</v>
      </c>
    </row>
    <row r="30" customFormat="false" ht="15.75" hidden="false" customHeight="false" outlineLevel="0" collapsed="false">
      <c r="B30" s="1225" t="n">
        <v>0</v>
      </c>
      <c r="C30" s="1222" t="n">
        <v>0</v>
      </c>
      <c r="D30" s="1222" t="n">
        <v>0</v>
      </c>
      <c r="E30" s="1222" t="n">
        <v>0</v>
      </c>
      <c r="F30" s="1222" t="n">
        <v>0</v>
      </c>
      <c r="G30" s="1222" t="n">
        <v>0</v>
      </c>
      <c r="H30" s="1222" t="n">
        <v>0</v>
      </c>
      <c r="I30" s="1222" t="n">
        <v>0</v>
      </c>
      <c r="J30" s="1222" t="n">
        <v>0</v>
      </c>
      <c r="K30" s="1222" t="n">
        <v>0</v>
      </c>
      <c r="L30" s="1222" t="n">
        <v>0</v>
      </c>
      <c r="M30" s="1222" t="n">
        <v>0</v>
      </c>
      <c r="N30" s="1222" t="n">
        <v>0</v>
      </c>
      <c r="O30" s="1222" t="n">
        <v>0</v>
      </c>
      <c r="P30" s="1222" t="n">
        <v>0</v>
      </c>
      <c r="Q30" s="1222" t="n">
        <v>0</v>
      </c>
      <c r="R30" s="1222" t="n">
        <v>0</v>
      </c>
      <c r="S30" s="1222" t="n">
        <v>0</v>
      </c>
      <c r="T30" s="1222" t="n">
        <v>0</v>
      </c>
      <c r="U30" s="1222" t="n">
        <v>0</v>
      </c>
      <c r="V30" s="1222" t="n">
        <v>0</v>
      </c>
      <c r="W30" s="1222" t="n">
        <v>0</v>
      </c>
    </row>
  </sheetData>
  <mergeCells count="4">
    <mergeCell ref="B9:B12"/>
    <mergeCell ref="C9:W9"/>
    <mergeCell ref="C10:W10"/>
    <mergeCell ref="C11:W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2.xml><?xml version="1.0" encoding="utf-8"?>
<worksheet xmlns="http://schemas.openxmlformats.org/spreadsheetml/2006/main" xmlns:r="http://schemas.openxmlformats.org/officeDocument/2006/relationships">
  <sheetPr filterMode="false">
    <pageSetUpPr fitToPage="false"/>
  </sheetPr>
  <dimension ref="B1:I32"/>
  <sheetViews>
    <sheetView windowProtection="false" showFormulas="false" showGridLines="true" showRowColHeaders="true" showZeros="true" rightToLeft="false" tabSelected="false" showOutlineSymbols="true" defaultGridColor="true" view="normal" topLeftCell="A13" colorId="64" zoomScale="65" zoomScaleNormal="65" zoomScalePageLayoutView="100" workbookViewId="0">
      <selection pane="topLeft" activeCell="B46" activeCellId="0" sqref="B46"/>
    </sheetView>
  </sheetViews>
  <sheetFormatPr defaultRowHeight="15"/>
  <cols>
    <col collapsed="false" hidden="false" max="1" min="1" style="635" width="9.13917525773196"/>
    <col collapsed="false" hidden="false" max="2" min="2" style="635" width="55.6443298969072"/>
    <col collapsed="false" hidden="false" max="257" min="3" style="635" width="9.13917525773196"/>
    <col collapsed="false" hidden="false" max="258" min="258" style="635" width="55.6443298969072"/>
    <col collapsed="false" hidden="false" max="513" min="259" style="635" width="9.13917525773196"/>
    <col collapsed="false" hidden="false" max="514" min="514" style="635" width="55.6443298969072"/>
    <col collapsed="false" hidden="false" max="769" min="515" style="635" width="9.13917525773196"/>
    <col collapsed="false" hidden="false" max="770" min="770" style="635" width="55.6443298969072"/>
    <col collapsed="false" hidden="false" max="1025" min="771" style="635" width="9.13917525773196"/>
  </cols>
  <sheetData>
    <row r="1" customFormat="false" ht="18" hidden="false" customHeight="false" outlineLevel="0" collapsed="false">
      <c r="B1" s="636" t="s">
        <v>1499</v>
      </c>
      <c r="C1" s="0"/>
      <c r="D1" s="0"/>
      <c r="E1" s="0"/>
      <c r="F1" s="0"/>
      <c r="G1" s="0"/>
      <c r="H1" s="0"/>
      <c r="I1" s="0"/>
    </row>
    <row r="2" customFormat="false" ht="15" hidden="false" customHeight="false" outlineLevel="0" collapsed="false">
      <c r="B2" s="0"/>
      <c r="C2" s="0"/>
      <c r="D2" s="0"/>
      <c r="E2" s="0"/>
      <c r="F2" s="0"/>
      <c r="G2" s="0"/>
      <c r="H2" s="0"/>
      <c r="I2" s="0"/>
    </row>
    <row r="3" customFormat="false" ht="32.25" hidden="false" customHeight="true" outlineLevel="0" collapsed="false">
      <c r="B3" s="1226" t="s">
        <v>1500</v>
      </c>
      <c r="C3" s="635" t="n">
        <v>1200</v>
      </c>
      <c r="D3" s="635" t="n">
        <v>1000</v>
      </c>
      <c r="E3" s="635" t="n">
        <v>800</v>
      </c>
      <c r="F3" s="635" t="n">
        <v>600</v>
      </c>
      <c r="G3" s="635" t="n">
        <v>400</v>
      </c>
      <c r="H3" s="0"/>
      <c r="I3" s="0"/>
    </row>
    <row r="4" customFormat="false" ht="18" hidden="false" customHeight="true" outlineLevel="0" collapsed="false">
      <c r="B4" s="1226" t="s">
        <v>1501</v>
      </c>
      <c r="C4" s="635" t="n">
        <v>50</v>
      </c>
      <c r="D4" s="635" t="n">
        <v>50</v>
      </c>
      <c r="E4" s="635" t="n">
        <v>50</v>
      </c>
      <c r="F4" s="635" t="n">
        <v>50</v>
      </c>
      <c r="G4" s="635" t="n">
        <v>50</v>
      </c>
      <c r="H4" s="0"/>
      <c r="I4" s="0"/>
    </row>
    <row r="5" customFormat="false" ht="37.5" hidden="false" customHeight="false" outlineLevel="0" collapsed="false">
      <c r="B5" s="1226" t="s">
        <v>1502</v>
      </c>
      <c r="C5" s="635" t="n">
        <v>0.15</v>
      </c>
      <c r="D5" s="635" t="n">
        <v>0.15</v>
      </c>
      <c r="E5" s="635" t="n">
        <v>0.15</v>
      </c>
      <c r="F5" s="635" t="n">
        <v>0.15</v>
      </c>
      <c r="G5" s="635" t="n">
        <v>0.15</v>
      </c>
      <c r="H5" s="0"/>
      <c r="I5" s="0"/>
    </row>
    <row r="6" customFormat="false" ht="37.5" hidden="false" customHeight="false" outlineLevel="0" collapsed="false">
      <c r="B6" s="1226" t="s">
        <v>1503</v>
      </c>
      <c r="C6" s="635" t="n">
        <v>0.2</v>
      </c>
      <c r="D6" s="635" t="n">
        <v>0.2</v>
      </c>
      <c r="E6" s="635" t="n">
        <v>0.2</v>
      </c>
      <c r="F6" s="635" t="n">
        <v>0.2</v>
      </c>
      <c r="G6" s="635" t="n">
        <v>0.2</v>
      </c>
      <c r="H6" s="0"/>
      <c r="I6" s="0"/>
    </row>
    <row r="7" customFormat="false" ht="18.75" hidden="false" customHeight="false" outlineLevel="0" collapsed="false">
      <c r="B7" s="1226" t="s">
        <v>1504</v>
      </c>
      <c r="C7" s="635" t="n">
        <v>30</v>
      </c>
      <c r="D7" s="635" t="n">
        <v>30</v>
      </c>
      <c r="E7" s="635" t="n">
        <v>30</v>
      </c>
      <c r="F7" s="635" t="n">
        <v>30</v>
      </c>
      <c r="G7" s="635" t="n">
        <v>30</v>
      </c>
      <c r="H7" s="0"/>
      <c r="I7" s="0"/>
    </row>
    <row r="8" customFormat="false" ht="37.5" hidden="false" customHeight="false" outlineLevel="0" collapsed="false">
      <c r="B8" s="1226" t="s">
        <v>1505</v>
      </c>
      <c r="C8" s="635" t="n">
        <v>0.07</v>
      </c>
      <c r="D8" s="635" t="n">
        <v>0.07</v>
      </c>
      <c r="E8" s="635" t="n">
        <v>0.07</v>
      </c>
      <c r="F8" s="635" t="n">
        <v>0.07</v>
      </c>
      <c r="G8" s="635" t="n">
        <v>0.07</v>
      </c>
      <c r="H8" s="0"/>
      <c r="I8" s="0"/>
    </row>
    <row r="9" customFormat="false" ht="37.5" hidden="false" customHeight="false" outlineLevel="0" collapsed="false">
      <c r="B9" s="1226" t="s">
        <v>1506</v>
      </c>
      <c r="C9" s="641" t="n">
        <v>60</v>
      </c>
      <c r="D9" s="641" t="n">
        <v>55</v>
      </c>
      <c r="E9" s="641" t="n">
        <v>50</v>
      </c>
      <c r="F9" s="641" t="n">
        <v>40</v>
      </c>
      <c r="G9" s="642" t="n">
        <v>30</v>
      </c>
      <c r="H9" s="0"/>
      <c r="I9" s="0"/>
    </row>
    <row r="10" customFormat="false" ht="37.5" hidden="false" customHeight="false" outlineLevel="0" collapsed="false">
      <c r="B10" s="1226" t="s">
        <v>1507</v>
      </c>
      <c r="C10" s="641" t="n">
        <v>0.07</v>
      </c>
      <c r="D10" s="641" t="n">
        <v>0.07</v>
      </c>
      <c r="E10" s="641" t="n">
        <v>0.07</v>
      </c>
      <c r="F10" s="641" t="n">
        <v>0.07</v>
      </c>
      <c r="G10" s="642" t="n">
        <v>0.07</v>
      </c>
      <c r="H10" s="0"/>
      <c r="I10" s="0"/>
    </row>
    <row r="11" customFormat="false" ht="18.75" hidden="false" customHeight="false" outlineLevel="0" collapsed="false">
      <c r="B11" s="1226" t="s">
        <v>1508</v>
      </c>
      <c r="C11" s="641" t="n">
        <v>36</v>
      </c>
      <c r="D11" s="641" t="n">
        <v>36</v>
      </c>
      <c r="E11" s="641" t="n">
        <v>36</v>
      </c>
      <c r="F11" s="641" t="n">
        <v>36</v>
      </c>
      <c r="G11" s="642" t="n">
        <v>36</v>
      </c>
      <c r="H11" s="0"/>
      <c r="I11" s="0"/>
    </row>
    <row r="12" customFormat="false" ht="15" hidden="false" customHeight="false" outlineLevel="0" collapsed="false">
      <c r="B12" s="0"/>
      <c r="C12" s="641" t="s">
        <v>782</v>
      </c>
      <c r="D12" s="641"/>
      <c r="E12" s="641"/>
      <c r="F12" s="641"/>
      <c r="G12" s="642"/>
      <c r="H12" s="0"/>
      <c r="I12" s="0"/>
    </row>
    <row r="13" customFormat="false" ht="15" hidden="false" customHeight="false" outlineLevel="0" collapsed="false">
      <c r="B13" s="0"/>
      <c r="C13" s="641" t="s">
        <v>50</v>
      </c>
      <c r="D13" s="641" t="s">
        <v>51</v>
      </c>
      <c r="E13" s="641" t="s">
        <v>52</v>
      </c>
      <c r="F13" s="641" t="s">
        <v>53</v>
      </c>
      <c r="G13" s="642" t="s">
        <v>54</v>
      </c>
      <c r="H13" s="0"/>
      <c r="I13" s="0"/>
    </row>
    <row r="14" customFormat="false" ht="15" hidden="false" customHeight="false" outlineLevel="0" collapsed="false">
      <c r="B14" s="0"/>
      <c r="C14" s="641"/>
      <c r="D14" s="641"/>
      <c r="E14" s="641"/>
      <c r="F14" s="641"/>
      <c r="G14" s="642"/>
      <c r="H14" s="0"/>
      <c r="I14" s="0"/>
    </row>
    <row r="15" customFormat="false" ht="37.5" hidden="false" customHeight="false" outlineLevel="0" collapsed="false">
      <c r="B15" s="1226" t="s">
        <v>1509</v>
      </c>
      <c r="C15" s="1227" t="n">
        <f aca="false">SQRT((C7/33)^2*C8^2+C10^2/((50/57*(C11/C9)^2*(C4/C3)^(2/3)+(1/2))^2+(C5^2+C6^2)^2/(50/19*(C11/C9)^2*(C4/C3)^(2/3)+(3/2))^2)^2)</f>
        <v>0.2489094188727</v>
      </c>
      <c r="D15" s="1227" t="n">
        <f aca="false">SQRT((D7/33)^2*D8^2+D10^2/((50/57*(D11/D9)^2*(D4/D3)^(2/3)+(1/2))^2+(D5^2+D6^2)^2/(50/19*(D11/D9)^2*(D4/D3)^(2/3)+(3/2))^2)^2)</f>
        <v>0.23814019310333</v>
      </c>
      <c r="E15" s="1227" t="n">
        <f aca="false">SQRT((E7/33)^2*E8^2+E10^2/((50/57*(E11/E9)^2*(E4/E3)^(2/3)+(1/2))^2+(E5^2+E6^2)^2/(50/19*(E11/E9)^2*(E4/E3)^(2/3)+(3/2))^2)^2)</f>
        <v>0.222654204824078</v>
      </c>
      <c r="F15" s="1227" t="n">
        <f aca="false">SQRT((F7/33)^2*F8^2+F10^2/((50/57*(F11/F9)^2*(F4/F3)^(2/3)+(1/2))^2+(F5^2+F6^2)^2/(50/19*(F11/F9)^2*(F4/F3)^(2/3)+(3/2))^2)^2)</f>
        <v>0.184178668844789</v>
      </c>
      <c r="G15" s="1227" t="n">
        <f aca="false">SQRT((G7/33)^2*G8^2+G10^2/((50/57*(G11/G9)^2*(G4/G3)^(2/3)+(1/2))^2+(G5^2+G6^2)^2/(50/19*(G11/G9)^2*(G4/G3)^(2/3)+(3/2))^2)^2)</f>
        <v>0.122846286925214</v>
      </c>
      <c r="H15" s="0"/>
      <c r="I15" s="0"/>
    </row>
    <row r="16" customFormat="false" ht="15" hidden="false" customHeight="false" outlineLevel="0" collapsed="false">
      <c r="B16" s="0"/>
      <c r="C16" s="0"/>
      <c r="D16" s="0"/>
      <c r="E16" s="0"/>
      <c r="F16" s="0"/>
      <c r="G16" s="0"/>
      <c r="H16" s="0"/>
      <c r="I16" s="0"/>
    </row>
    <row r="17" customFormat="false" ht="15" hidden="false" customHeight="false" outlineLevel="0" collapsed="false">
      <c r="B17" s="0"/>
      <c r="C17" s="0"/>
      <c r="D17" s="0"/>
      <c r="E17" s="0"/>
      <c r="F17" s="0"/>
      <c r="G17" s="0"/>
      <c r="H17" s="0"/>
      <c r="I17" s="0"/>
    </row>
    <row r="18" customFormat="false" ht="15" hidden="false" customHeight="false" outlineLevel="0" collapsed="false">
      <c r="B18" s="0"/>
      <c r="C18" s="0"/>
      <c r="D18" s="0"/>
      <c r="E18" s="0"/>
      <c r="F18" s="0"/>
      <c r="G18" s="0"/>
      <c r="H18" s="0"/>
      <c r="I18" s="0"/>
    </row>
    <row r="19" customFormat="false" ht="18.75" hidden="false" customHeight="false" outlineLevel="0" collapsed="false">
      <c r="B19" s="1228" t="s">
        <v>1510</v>
      </c>
      <c r="C19" s="1229" t="n">
        <v>150000</v>
      </c>
      <c r="D19" s="1230"/>
      <c r="E19" s="1229" t="n">
        <f aca="false">1.8*10^6</f>
        <v>1800000</v>
      </c>
      <c r="F19" s="1229" t="n">
        <v>600000</v>
      </c>
      <c r="G19" s="1230"/>
      <c r="H19" s="1230"/>
      <c r="I19" s="1230"/>
    </row>
    <row r="20" customFormat="false" ht="18.75" hidden="false" customHeight="false" outlineLevel="0" collapsed="false">
      <c r="B20" s="1231" t="s">
        <v>1511</v>
      </c>
      <c r="C20" s="1232" t="n">
        <f aca="false">98.65*(LOG10(C19)-3.55)</f>
        <v>160.413902705843</v>
      </c>
      <c r="D20" s="635" t="n">
        <f aca="false">[2]Езаг!N28</f>
        <v>276.65018534502</v>
      </c>
      <c r="E20" s="635" t="n">
        <f aca="false">98.65*(LOG10(E19)-3.55)</f>
        <v>266.875132628441</v>
      </c>
      <c r="F20" s="1232" t="n">
        <f aca="false">98.65*(LOG10(F19)-3.55)</f>
        <v>219.807120850347</v>
      </c>
      <c r="G20" s="0"/>
    </row>
    <row r="21" customFormat="false" ht="18.75" hidden="false" customHeight="false" outlineLevel="0" collapsed="false">
      <c r="B21" s="1231" t="s">
        <v>1512</v>
      </c>
      <c r="C21" s="1233" t="e">
        <f aca="false">C8/e25c18</f>
        <v>#NAME?</v>
      </c>
      <c r="D21" s="1233" t="n">
        <f aca="false">D8/D20</f>
        <v>0.000253027121282064</v>
      </c>
      <c r="E21" s="1233" t="n">
        <f aca="false">E8/E20</f>
        <v>0.000262294951614911</v>
      </c>
      <c r="F21" s="1233" t="n">
        <f aca="false">F8/F20</f>
        <v>0.000318461020412795</v>
      </c>
      <c r="G21" s="0"/>
    </row>
    <row r="22" customFormat="false" ht="18.75" hidden="false" customHeight="false" outlineLevel="0" collapsed="false">
      <c r="B22" s="1234" t="s">
        <v>945</v>
      </c>
      <c r="C22" s="1235" t="e">
        <f aca="false">(C21-1)/SQRT(C16^2*C21+C14^2)</f>
        <v>#NAME?</v>
      </c>
      <c r="D22" s="1235" t="e">
        <f aca="false">(D21-1)/SQRT(D16^2*D21+D14^2)</f>
        <v>#DIV/0!</v>
      </c>
      <c r="E22" s="1235" t="e">
        <f aca="false">(E21-1)/SQRT(E16^2*E21+E14^2)</f>
        <v>#DIV/0!</v>
      </c>
      <c r="F22" s="1235" t="e">
        <f aca="false">(F21-1)/SQRT(F16^2*F21+F14^2)</f>
        <v>#DIV/0!</v>
      </c>
      <c r="G22" s="0"/>
    </row>
    <row r="23" customFormat="false" ht="18.75" hidden="false" customHeight="false" outlineLevel="0" collapsed="false">
      <c r="B23" s="1231" t="s">
        <v>946</v>
      </c>
      <c r="C23" s="1233" t="e">
        <f aca="false">0.5+0.5*ERF(C22/(SQRT(2)))</f>
        <v>#NAME?</v>
      </c>
      <c r="D23" s="1233" t="e">
        <f aca="false">0.5+0.5*ERF(D22/(SQRT(2)))</f>
        <v>#DIV/0!</v>
      </c>
      <c r="E23" s="1233" t="e">
        <f aca="false">0.5+0.5*ERF(E22/(SQRT(2)))</f>
        <v>#DIV/0!</v>
      </c>
      <c r="F23" s="1233" t="e">
        <f aca="false">0.5+0.5*ERF(F22/(SQRT(2)))</f>
        <v>#DIV/0!</v>
      </c>
      <c r="G23" s="0"/>
    </row>
    <row r="24" customFormat="false" ht="15" hidden="false" customHeight="false" outlineLevel="0" collapsed="false">
      <c r="B24" s="0"/>
      <c r="C24" s="0"/>
      <c r="D24" s="0"/>
      <c r="E24" s="0"/>
      <c r="F24" s="0"/>
      <c r="G24" s="0"/>
    </row>
    <row r="25" customFormat="false" ht="15" hidden="false" customHeight="false" outlineLevel="0" collapsed="false">
      <c r="B25" s="0"/>
      <c r="C25" s="0"/>
      <c r="D25" s="0"/>
      <c r="E25" s="0"/>
      <c r="F25" s="0"/>
      <c r="G25" s="0"/>
    </row>
    <row r="26" customFormat="false" ht="15" hidden="false" customHeight="false" outlineLevel="0" collapsed="false">
      <c r="B26" s="0"/>
      <c r="C26" s="0"/>
      <c r="D26" s="0"/>
      <c r="E26" s="0"/>
      <c r="F26" s="0"/>
      <c r="G26" s="0"/>
    </row>
    <row r="27" customFormat="false" ht="15" hidden="false" customHeight="false" outlineLevel="0" collapsed="false">
      <c r="B27" s="0"/>
      <c r="C27" s="0"/>
      <c r="D27" s="0"/>
      <c r="E27" s="0"/>
      <c r="F27" s="0"/>
      <c r="G27" s="0"/>
    </row>
    <row r="28" customFormat="false" ht="18.75" hidden="false" customHeight="false" outlineLevel="0" collapsed="false">
      <c r="B28" s="1236" t="s">
        <v>1513</v>
      </c>
      <c r="C28" s="0"/>
      <c r="D28" s="0"/>
      <c r="E28" s="0"/>
      <c r="F28" s="0"/>
      <c r="G28" s="0"/>
    </row>
    <row r="29" customFormat="false" ht="18.75" hidden="false" customHeight="false" outlineLevel="0" collapsed="false">
      <c r="B29" s="1237" t="s">
        <v>6</v>
      </c>
      <c r="C29" s="1238" t="s">
        <v>749</v>
      </c>
      <c r="D29" s="1238" t="s">
        <v>1514</v>
      </c>
      <c r="E29" s="1238" t="s">
        <v>52</v>
      </c>
      <c r="F29" s="1238" t="s">
        <v>53</v>
      </c>
      <c r="G29" s="1239" t="s">
        <v>54</v>
      </c>
    </row>
    <row r="30" customFormat="false" ht="18.75" hidden="false" customHeight="false" outlineLevel="0" collapsed="false">
      <c r="B30" s="1240" t="s">
        <v>1515</v>
      </c>
      <c r="C30" s="1241" t="n">
        <v>0.97</v>
      </c>
      <c r="D30" s="1241" t="n">
        <v>0.95</v>
      </c>
      <c r="E30" s="1241" t="n">
        <v>0.9</v>
      </c>
      <c r="F30" s="1241" t="n">
        <v>0.85</v>
      </c>
      <c r="G30" s="1242" t="n">
        <v>0.8</v>
      </c>
    </row>
    <row r="31" customFormat="false" ht="18.75" hidden="false" customHeight="false" outlineLevel="0" collapsed="false">
      <c r="B31" s="1243" t="s">
        <v>1516</v>
      </c>
      <c r="C31" s="1244" t="n">
        <v>1.875</v>
      </c>
      <c r="D31" s="1244" t="n">
        <v>1.6449</v>
      </c>
      <c r="E31" s="1244" t="n">
        <v>1.28</v>
      </c>
      <c r="F31" s="1244" t="n">
        <v>1.035</v>
      </c>
      <c r="G31" s="1245" t="n">
        <v>0.841</v>
      </c>
    </row>
    <row r="32" customFormat="false" ht="18.75" hidden="false" customHeight="false" outlineLevel="0" collapsed="false">
      <c r="B32" s="1246" t="s">
        <v>1517</v>
      </c>
      <c r="C32" s="1247" t="n">
        <v>1.58</v>
      </c>
      <c r="D32" s="1247" t="n">
        <v>1.5</v>
      </c>
      <c r="E32" s="1247" t="n">
        <v>1.4</v>
      </c>
      <c r="F32" s="1248" t="n">
        <v>1.35</v>
      </c>
      <c r="G32" s="1248" t="n">
        <v>1.2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3.xml><?xml version="1.0" encoding="utf-8"?>
<worksheet xmlns="http://schemas.openxmlformats.org/spreadsheetml/2006/main" xmlns:r="http://schemas.openxmlformats.org/officeDocument/2006/relationships">
  <sheetPr filterMode="false">
    <pageSetUpPr fitToPage="false"/>
  </sheetPr>
  <dimension ref="A3:A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7" activeCellId="0" sqref="A57"/>
    </sheetView>
  </sheetViews>
  <sheetFormatPr defaultRowHeight="15"/>
  <cols>
    <col collapsed="false" hidden="false" max="1" min="1" style="0" width="7.63917525773196"/>
    <col collapsed="false" hidden="false" max="2" min="2" style="0" width="62.3247422680412"/>
    <col collapsed="false" hidden="false" max="1025" min="3" style="0" width="7.63917525773196"/>
  </cols>
  <sheetData>
    <row r="3" customFormat="false" ht="18" hidden="false" customHeight="true" outlineLevel="0" collapsed="false"/>
    <row r="9" customFormat="false" ht="20.25" hidden="false" customHeight="true" outlineLevel="0" collapsed="false"/>
    <row r="10" customFormat="false" ht="24.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2:AC20"/>
  <sheetViews>
    <sheetView windowProtection="false" showFormulas="false" showGridLines="true" showRowColHeaders="true" showZeros="true" rightToLeft="false" tabSelected="false" showOutlineSymbols="true" defaultGridColor="true" view="normal" topLeftCell="K1" colorId="64" zoomScale="65" zoomScaleNormal="65" zoomScalePageLayoutView="100" workbookViewId="0">
      <selection pane="topLeft" activeCell="A57" activeCellId="0" sqref="A57"/>
    </sheetView>
  </sheetViews>
  <sheetFormatPr defaultRowHeight="15"/>
  <cols>
    <col collapsed="false" hidden="false" max="3" min="1" style="0" width="7.77319587628866"/>
    <col collapsed="false" hidden="false" max="4" min="4" style="0" width="7.63917525773196"/>
    <col collapsed="false" hidden="false" max="5" min="5" style="0" width="10.2268041237113"/>
    <col collapsed="false" hidden="false" max="6" min="6" style="0" width="9.41237113402062"/>
    <col collapsed="false" hidden="false" max="7" min="7" style="0" width="12.4123711340206"/>
    <col collapsed="false" hidden="false" max="8" min="8" style="0" width="7.77319587628866"/>
    <col collapsed="false" hidden="false" max="9" min="9" style="0" width="16.3659793814433"/>
    <col collapsed="false" hidden="false" max="10" min="10" style="0" width="25.5051546391753"/>
    <col collapsed="false" hidden="false" max="20" min="11" style="0" width="7.63917525773196"/>
    <col collapsed="false" hidden="false" max="21" min="21" style="0" width="10.639175257732"/>
    <col collapsed="false" hidden="false" max="1025" min="22" style="0" width="7.63917525773196"/>
  </cols>
  <sheetData>
    <row r="2" customFormat="false" ht="29.25" hidden="false" customHeight="true" outlineLevel="0" collapsed="false">
      <c r="A2" s="0" t="s">
        <v>205</v>
      </c>
      <c r="B2" s="0" t="s">
        <v>206</v>
      </c>
      <c r="D2" s="219"/>
      <c r="E2" s="220" t="str">
        <f aca="false">'Вхідні параметри'!B14</f>
        <v>Матеріали шарів</v>
      </c>
      <c r="F2" s="221" t="s">
        <v>207</v>
      </c>
      <c r="G2" s="221" t="str">
        <f aca="false">'Вхідні параметри'!D14</f>
        <v>Товщина, см</v>
      </c>
      <c r="H2" s="221" t="s">
        <v>208</v>
      </c>
      <c r="I2" s="221"/>
      <c r="J2" s="222" t="str">
        <f aca="false">'Вхідні параметри'!H14</f>
        <v>Конструкція дорожнього одягу</v>
      </c>
      <c r="K2" s="219"/>
      <c r="L2" s="223" t="str">
        <f aca="false">ВихідніДаніПеревірка!B2</f>
        <v>Розрахунок за критерієм пружного прогину (загального модуля пружності)</v>
      </c>
      <c r="M2" s="223"/>
      <c r="N2" s="223"/>
      <c r="O2" s="223"/>
      <c r="P2" s="223"/>
      <c r="Q2" s="223"/>
      <c r="R2" s="223"/>
      <c r="S2" s="223"/>
      <c r="T2" s="223"/>
      <c r="U2" s="223"/>
      <c r="V2" s="219"/>
      <c r="W2" s="223" t="str">
        <f aca="false">ВихідніДаніПеревірка!M2</f>
        <v>Умова міцності:</v>
      </c>
      <c r="X2" s="223"/>
      <c r="Y2" s="223"/>
      <c r="Z2" s="223"/>
      <c r="AA2" s="223"/>
      <c r="AB2" s="223"/>
      <c r="AC2" s="223"/>
    </row>
    <row r="3" s="187" customFormat="true" ht="15" hidden="false" customHeight="true" outlineLevel="0" collapsed="false">
      <c r="A3" s="187" t="n">
        <f aca="false">VLOOKUP(J3,ТовщиниВартості!C2:F133,2,0)</f>
        <v>5</v>
      </c>
      <c r="B3" s="187" t="n">
        <f aca="false">VLOOKUP(J3,ТовщиниВартості!C2:F133,3,0)</f>
        <v>7</v>
      </c>
      <c r="C3" s="187" t="n">
        <f aca="false">IF(F3&gt;0,A3,0)</f>
        <v>5</v>
      </c>
      <c r="D3" s="224" t="n">
        <f aca="false">IF(F3&gt;0,B3,0)</f>
        <v>7</v>
      </c>
      <c r="E3" s="225" t="n">
        <f aca="false">'Вхідні параметри'!B15</f>
        <v>1</v>
      </c>
      <c r="F3" s="225" t="n">
        <v>5</v>
      </c>
      <c r="G3" s="225" t="n">
        <f aca="false">'Вхідні параметри'!D15</f>
        <v>10</v>
      </c>
      <c r="H3" s="225" t="n">
        <f aca="false">IF(F3&gt;0,VLOOKUP(J3,ТовщиниВартості!C2:F133,4,0),0)</f>
        <v>2432.43</v>
      </c>
      <c r="I3" s="226" t="str">
        <f aca="false">'Вхідні параметри'!E15</f>
        <v>Асфальтобетон</v>
      </c>
      <c r="J3" s="227" t="str">
        <f aca="false">'Вхідні параметри'!H15</f>
        <v>ЩМА12 Щебеневомастиковий асфальтобетон виду ЩМА-20 БМПА 60/90-52</v>
      </c>
      <c r="K3" s="224"/>
      <c r="L3" s="228" t="str">
        <f aca="false">ВихідніДаніПеревірка!B3</f>
        <v>Загальний показник міцності за критерієм пружного прогину</v>
      </c>
      <c r="M3" s="228"/>
      <c r="N3" s="228"/>
      <c r="O3" s="228"/>
      <c r="P3" s="228"/>
      <c r="Q3" s="228"/>
      <c r="R3" s="228"/>
      <c r="S3" s="228"/>
      <c r="T3" s="228"/>
      <c r="U3" s="229" t="n">
        <f aca="false">(R4-O4)/O4</f>
        <v>0.156785675731906</v>
      </c>
      <c r="V3" s="219"/>
      <c r="W3" s="230"/>
      <c r="X3" s="231" t="n">
        <f aca="false">ВихідніДаніПеревірка!N3</f>
        <v>0.97</v>
      </c>
      <c r="Y3" s="231" t="str">
        <f aca="false">ВихідніДаніПеревірка!O3</f>
        <v>&lt;</v>
      </c>
      <c r="Z3" s="232" t="n">
        <f aca="false">ПрогинОптим!M25</f>
        <v>0.991802464075404</v>
      </c>
      <c r="AA3" s="233" t="str">
        <f aca="false">ВихідніДаніПеревірка!Q3</f>
        <v>виконується.</v>
      </c>
      <c r="AB3" s="233"/>
      <c r="AC3" s="233"/>
    </row>
    <row r="4" customFormat="false" ht="15" hidden="false" customHeight="true" outlineLevel="0" collapsed="false">
      <c r="A4" s="187" t="n">
        <f aca="false">VLOOKUP(J4,ТовщиниВартості!C3:F134,2,0)</f>
        <v>5</v>
      </c>
      <c r="B4" s="187" t="n">
        <f aca="false">VLOOKUP(J4,ТовщиниВартості!C3:F134,3,0)</f>
        <v>10</v>
      </c>
      <c r="C4" s="187" t="n">
        <f aca="false">IF(F4&gt;0,A4,0)</f>
        <v>5</v>
      </c>
      <c r="D4" s="224" t="n">
        <f aca="false">IF(F4&gt;0,B4,0)</f>
        <v>10</v>
      </c>
      <c r="E4" s="225" t="n">
        <f aca="false">'Вхідні параметри'!B16</f>
        <v>2</v>
      </c>
      <c r="F4" s="225" t="n">
        <v>5.26254596642143</v>
      </c>
      <c r="G4" s="225" t="n">
        <f aca="false">'Вхідні параметри'!D16</f>
        <v>10</v>
      </c>
      <c r="H4" s="225" t="n">
        <f aca="false">IF(F4&gt;0,VLOOKUP(J4,ТовщиниВартості!C3:F134,4,0),0)</f>
        <v>1841.61</v>
      </c>
      <c r="I4" s="226"/>
      <c r="J4" s="227" t="str">
        <f aca="false">'Вхідні параметри'!H16</f>
        <v>АЩ2 Щільний асфальтобетон I – II марки БНД 60/90</v>
      </c>
      <c r="K4" s="224"/>
      <c r="L4" s="228" t="str">
        <f aca="false">ВихідніДаніПеревірка!B4</f>
        <v>Умова міцності:</v>
      </c>
      <c r="M4" s="228"/>
      <c r="N4" s="231" t="str">
        <f aca="false">ВихідніДаніПеревірка!D4</f>
        <v>Кпотр =</v>
      </c>
      <c r="O4" s="231" t="n">
        <f aca="false">ВихідніДаніПеревірка!E4</f>
        <v>1.5</v>
      </c>
      <c r="P4" s="231" t="str">
        <f aca="false">ВихідніДаніПеревірка!F4</f>
        <v>&lt;</v>
      </c>
      <c r="Q4" s="231" t="str">
        <f aca="false">ВихідніДаніПеревірка!G4</f>
        <v>Крозр =</v>
      </c>
      <c r="R4" s="232" t="n">
        <f aca="false">ПрогинОптим!E25</f>
        <v>1.73517851359786</v>
      </c>
      <c r="S4" s="234" t="str">
        <f aca="false">ВихідніДаніПеревірка!I4</f>
        <v>виконується.</v>
      </c>
      <c r="T4" s="234"/>
      <c r="U4" s="229"/>
      <c r="V4" s="219"/>
      <c r="W4" s="235" t="str">
        <f aca="false">ВихідніДаніПеревірка!M4</f>
        <v>Відповідно, вибрана конструкція задовольняє умову надійності за допустимим пружним прогином.</v>
      </c>
      <c r="X4" s="235"/>
      <c r="Y4" s="235"/>
      <c r="Z4" s="235"/>
      <c r="AA4" s="235"/>
      <c r="AB4" s="235"/>
      <c r="AC4" s="235"/>
    </row>
    <row r="5" customFormat="false" ht="15" hidden="false" customHeight="true" outlineLevel="0" collapsed="false">
      <c r="A5" s="187" t="n">
        <f aca="false">VLOOKUP(J5,ТовщиниВартості!C4:F135,2,0)</f>
        <v>8</v>
      </c>
      <c r="B5" s="187" t="n">
        <f aca="false">VLOOKUP(J5,ТовщиниВартості!C4:F135,3,0)</f>
        <v>12</v>
      </c>
      <c r="C5" s="187" t="n">
        <f aca="false">IF(F5&gt;0,A5,0)</f>
        <v>8</v>
      </c>
      <c r="D5" s="224" t="n">
        <f aca="false">IF(F5&gt;0,B5,0)</f>
        <v>12</v>
      </c>
      <c r="E5" s="225" t="n">
        <f aca="false">'Вхідні параметри'!B17</f>
        <v>3</v>
      </c>
      <c r="F5" s="225" t="n">
        <v>8</v>
      </c>
      <c r="G5" s="225" t="n">
        <f aca="false">'Вхідні параметри'!D17</f>
        <v>10</v>
      </c>
      <c r="H5" s="225" t="n">
        <f aca="false">IF(F5&gt;0,VLOOKUP(J5,ТовщиниВартості!C4:F135,4,0),0)</f>
        <v>1830.02</v>
      </c>
      <c r="I5" s="226"/>
      <c r="J5" s="227" t="str">
        <f aca="false">'Вхідні параметри'!H17</f>
        <v>АП2 Пористий асфальтобетон БНД 60/90</v>
      </c>
      <c r="K5" s="224"/>
      <c r="L5" s="235" t="str">
        <f aca="false">ВихідніДаніПеревірка!B5</f>
        <v>Відповідно, вибрана конструкція задовольняє умову міцності за допустимим пружним прогином.</v>
      </c>
      <c r="M5" s="235"/>
      <c r="N5" s="235"/>
      <c r="O5" s="235"/>
      <c r="P5" s="235"/>
      <c r="Q5" s="235"/>
      <c r="R5" s="235"/>
      <c r="S5" s="235"/>
      <c r="T5" s="235"/>
      <c r="U5" s="235"/>
      <c r="V5" s="219"/>
      <c r="W5" s="235"/>
      <c r="X5" s="235"/>
      <c r="Y5" s="235"/>
      <c r="Z5" s="235"/>
      <c r="AA5" s="235"/>
      <c r="AB5" s="235"/>
      <c r="AC5" s="235"/>
    </row>
    <row r="6" customFormat="false" ht="15" hidden="false" customHeight="true" outlineLevel="0" collapsed="false">
      <c r="A6" s="187" t="n">
        <f aca="false">VLOOKUP(J6,ТовщиниВартості!C5:F136,2,0)</f>
        <v>18</v>
      </c>
      <c r="B6" s="187" t="n">
        <f aca="false">VLOOKUP(J6,ТовщиниВартості!C5:F136,3,0)</f>
        <v>25</v>
      </c>
      <c r="C6" s="187" t="n">
        <f aca="false">IF(F6&gt;0,A6,0)</f>
        <v>18</v>
      </c>
      <c r="D6" s="224" t="n">
        <f aca="false">IF(F6&gt;0,B6,0)</f>
        <v>25</v>
      </c>
      <c r="E6" s="225" t="n">
        <f aca="false">'Вхідні параметри'!B18</f>
        <v>4</v>
      </c>
      <c r="F6" s="225" t="n">
        <v>18</v>
      </c>
      <c r="G6" s="225" t="n">
        <f aca="false">'Вхідні параметри'!D18</f>
        <v>10</v>
      </c>
      <c r="H6" s="225" t="n">
        <f aca="false">IF(F6&gt;0,VLOOKUP(J6,ТовщиниВартості!C5:F136,4,0),0)</f>
        <v>650</v>
      </c>
      <c r="I6" s="226" t="str">
        <f aca="false">'Вхідні параметри'!E18</f>
        <v>Матеріали і ґрунти, укріплені в’яжучими речовинами</v>
      </c>
      <c r="J6" s="227" t="str">
        <f aca="false">'Вхідні параметри'!H18</f>
        <v>ОУ3 ЩПС, укріплений цементом, мароки М40</v>
      </c>
      <c r="K6" s="224"/>
      <c r="L6" s="219"/>
      <c r="M6" s="219"/>
      <c r="N6" s="219"/>
      <c r="O6" s="219"/>
      <c r="P6" s="219"/>
      <c r="Q6" s="219"/>
      <c r="R6" s="219"/>
      <c r="S6" s="219"/>
      <c r="T6" s="219"/>
      <c r="U6" s="219"/>
      <c r="V6" s="219"/>
      <c r="W6" s="219"/>
      <c r="X6" s="219"/>
      <c r="Y6" s="219"/>
      <c r="Z6" s="219"/>
      <c r="AA6" s="219"/>
      <c r="AB6" s="219"/>
      <c r="AC6" s="219"/>
    </row>
    <row r="7" customFormat="false" ht="15" hidden="false" customHeight="true" outlineLevel="0" collapsed="false">
      <c r="A7" s="187" t="n">
        <f aca="false">VLOOKUP(J7,ТовщиниВартості!C6:F137,2,0)</f>
        <v>16</v>
      </c>
      <c r="B7" s="187" t="n">
        <f aca="false">VLOOKUP(J7,ТовщиниВартості!C6:F137,3,0)</f>
        <v>25</v>
      </c>
      <c r="C7" s="187" t="n">
        <f aca="false">IF(F7&gt;0,A7,0)</f>
        <v>0</v>
      </c>
      <c r="D7" s="224" t="n">
        <f aca="false">IF(F7&gt;0,B7,0)</f>
        <v>0</v>
      </c>
      <c r="E7" s="225" t="n">
        <f aca="false">'Вхідні параметри'!B19</f>
        <v>5</v>
      </c>
      <c r="F7" s="225" t="n">
        <v>0</v>
      </c>
      <c r="G7" s="225" t="n">
        <f aca="false">'Вхідні параметри'!D19</f>
        <v>0</v>
      </c>
      <c r="H7" s="225" t="n">
        <f aca="false">IF(F7&gt;0,VLOOKUP(J7,ТовщиниВартості!C6:F137,4,0),0)</f>
        <v>0</v>
      </c>
      <c r="I7" s="226"/>
      <c r="J7" s="227" t="str">
        <f aca="false">'Вхідні параметри'!H19</f>
        <v>ОУ2 ЩПС, укріплений цементом, мароки М60</v>
      </c>
      <c r="K7" s="224"/>
      <c r="L7" s="223" t="str">
        <f aca="false">ВихідніДаніПеревірка!B7</f>
        <v>Розрахунок за критерієм зсуву грунті земляного полотна</v>
      </c>
      <c r="M7" s="223"/>
      <c r="N7" s="223"/>
      <c r="O7" s="223"/>
      <c r="P7" s="223"/>
      <c r="Q7" s="223"/>
      <c r="R7" s="223"/>
      <c r="S7" s="223"/>
      <c r="T7" s="223"/>
      <c r="U7" s="223"/>
      <c r="V7" s="219"/>
      <c r="W7" s="223" t="str">
        <f aca="false">ВихідніДаніПеревірка!M7</f>
        <v>Умова міцності:</v>
      </c>
      <c r="X7" s="223"/>
      <c r="Y7" s="223"/>
      <c r="Z7" s="223"/>
      <c r="AA7" s="223"/>
      <c r="AB7" s="223"/>
      <c r="AC7" s="223"/>
    </row>
    <row r="8" customFormat="false" ht="15" hidden="false" customHeight="true" outlineLevel="0" collapsed="false">
      <c r="A8" s="187" t="n">
        <f aca="false">VLOOKUP(J8,ТовщиниВартості!C7:F138,2,0)</f>
        <v>15</v>
      </c>
      <c r="B8" s="187" t="n">
        <f aca="false">VLOOKUP(J8,ТовщиниВартості!C7:F138,3,0)</f>
        <v>25</v>
      </c>
      <c r="C8" s="187" t="n">
        <f aca="false">IF(F8&gt;0,A8,0)</f>
        <v>15</v>
      </c>
      <c r="D8" s="224" t="n">
        <f aca="false">IF(F8&gt;0,B8,0)</f>
        <v>25</v>
      </c>
      <c r="E8" s="225" t="n">
        <f aca="false">'Вхідні параметри'!B20</f>
        <v>6</v>
      </c>
      <c r="F8" s="225" t="n">
        <v>15</v>
      </c>
      <c r="G8" s="225" t="n">
        <f aca="false">'Вхідні параметри'!D20</f>
        <v>10</v>
      </c>
      <c r="H8" s="225" t="n">
        <f aca="false">IF(F8&gt;0,VLOOKUP(J8,ТовщиниВартості!C7:F138,4,0),0)</f>
        <v>400</v>
      </c>
      <c r="I8" s="226"/>
      <c r="J8" s="227" t="str">
        <f aca="false">'Вхідні параметри'!H20</f>
        <v>ОУ30 Крупноуламкові ґрунти і ПГС оптимального чи близьких до оптимального складів, укріплені активною золою-виносу або гранульованим шлаком, вапном, фосфатними в’яжучими та іншими композиційними в’яжучими з них з добавками чи без добавок ПАР, марки  М40</v>
      </c>
      <c r="K8" s="224"/>
      <c r="L8" s="228" t="str">
        <f aca="false">ВихідніДаніПеревірка!B8</f>
        <v>Загальний показник міцності за критерієм зсуву в грунті земляного полотна</v>
      </c>
      <c r="M8" s="228"/>
      <c r="N8" s="228"/>
      <c r="O8" s="228"/>
      <c r="P8" s="228"/>
      <c r="Q8" s="228"/>
      <c r="R8" s="228"/>
      <c r="S8" s="228"/>
      <c r="T8" s="228"/>
      <c r="U8" s="236" t="n">
        <f aca="false">(R9-O9)/O9</f>
        <v>0.24022563797762</v>
      </c>
      <c r="V8" s="219"/>
      <c r="W8" s="230"/>
      <c r="X8" s="231" t="n">
        <f aca="false">ВихідніДаніПеревірка!N8</f>
        <v>0.97</v>
      </c>
      <c r="Y8" s="231" t="str">
        <f aca="false">ВихідніДаніПеревірка!O8</f>
        <v>&lt;</v>
      </c>
      <c r="Z8" s="232" t="n">
        <f aca="false">ЗсувЗемлОптим!M36</f>
        <v>0.996533026196959</v>
      </c>
      <c r="AA8" s="233" t="str">
        <f aca="false">ВихідніДаніПеревірка!Q8</f>
        <v>виконується.</v>
      </c>
      <c r="AB8" s="233"/>
      <c r="AC8" s="233"/>
    </row>
    <row r="9" customFormat="false" ht="15" hidden="false" customHeight="true" outlineLevel="0" collapsed="false">
      <c r="A9" s="187" t="n">
        <f aca="false">VLOOKUP(J9,ТовщиниВартості!C8:F139,2,0)</f>
        <v>18</v>
      </c>
      <c r="B9" s="187" t="n">
        <f aca="false">VLOOKUP(J9,ТовщиниВартості!C8:F139,3,0)</f>
        <v>25</v>
      </c>
      <c r="C9" s="187" t="n">
        <f aca="false">IF(F9&gt;0,A9,0)</f>
        <v>18</v>
      </c>
      <c r="D9" s="224" t="n">
        <f aca="false">IF(F9&gt;0,B9,0)</f>
        <v>25</v>
      </c>
      <c r="E9" s="225" t="n">
        <f aca="false">'Вхідні параметри'!B21</f>
        <v>7</v>
      </c>
      <c r="F9" s="225" t="n">
        <v>18</v>
      </c>
      <c r="G9" s="225" t="n">
        <f aca="false">'Вхідні параметри'!D21</f>
        <v>10</v>
      </c>
      <c r="H9" s="225" t="n">
        <f aca="false">IF(F9&gt;0,VLOOKUP(J9,ТовщиниВартості!C8:F139,4,0),0)</f>
        <v>330</v>
      </c>
      <c r="I9" s="226" t="str">
        <f aca="false">'Вхідні параметри'!E21</f>
        <v>Неукріплені матеріали покриття</v>
      </c>
      <c r="J9" s="227" t="str">
        <f aca="false">'Вхідні параметри'!H21</f>
        <v>ОН17 Щебенево-піщана суміш для шарів основи С5</v>
      </c>
      <c r="K9" s="224"/>
      <c r="L9" s="228" t="str">
        <f aca="false">ВихідніДаніПеревірка!B9</f>
        <v>Умова міцності:</v>
      </c>
      <c r="M9" s="228"/>
      <c r="N9" s="231" t="str">
        <f aca="false">ВихідніДаніПеревірка!D9</f>
        <v>Кпотр =</v>
      </c>
      <c r="O9" s="231" t="n">
        <f aca="false">ВихідніДаніПеревірка!E9</f>
        <v>1.51</v>
      </c>
      <c r="P9" s="231" t="str">
        <f aca="false">ВихідніДаніПеревірка!F9</f>
        <v>&lt;</v>
      </c>
      <c r="Q9" s="231" t="str">
        <f aca="false">ВихідніДаніПеревірка!G9</f>
        <v>Крозр =</v>
      </c>
      <c r="R9" s="232" t="n">
        <f aca="false">ЗсувЗемлОптим!E36</f>
        <v>1.87274071334621</v>
      </c>
      <c r="S9" s="234" t="str">
        <f aca="false">ВихідніДаніПеревірка!I9</f>
        <v>виконується.</v>
      </c>
      <c r="T9" s="234"/>
      <c r="U9" s="229"/>
      <c r="V9" s="219"/>
      <c r="W9" s="235" t="str">
        <f aca="false">ВихідніДаніПеревірка!M9</f>
        <v>Відповідно, вибрана конструкція задовольняє умову надійності за критерієм опору зсуву земляного полотна.</v>
      </c>
      <c r="X9" s="235"/>
      <c r="Y9" s="235"/>
      <c r="Z9" s="235"/>
      <c r="AA9" s="235"/>
      <c r="AB9" s="235"/>
      <c r="AC9" s="235"/>
    </row>
    <row r="10" customFormat="false" ht="15" hidden="false" customHeight="true" outlineLevel="0" collapsed="false">
      <c r="A10" s="187" t="n">
        <f aca="false">VLOOKUP(J10,ТовщиниВартості!C9:F140,2,0)</f>
        <v>18</v>
      </c>
      <c r="B10" s="187" t="n">
        <f aca="false">VLOOKUP(J10,ТовщиниВартості!C9:F140,3,0)</f>
        <v>25</v>
      </c>
      <c r="C10" s="187" t="n">
        <f aca="false">IF(F10&gt;0,A10,0)</f>
        <v>0</v>
      </c>
      <c r="D10" s="224" t="n">
        <f aca="false">IF(F10&gt;0,B10,0)</f>
        <v>0</v>
      </c>
      <c r="E10" s="225" t="n">
        <f aca="false">'Вхідні параметри'!B22</f>
        <v>8</v>
      </c>
      <c r="F10" s="225" t="n">
        <v>0</v>
      </c>
      <c r="G10" s="225" t="n">
        <f aca="false">'Вхідні параметри'!D22</f>
        <v>0</v>
      </c>
      <c r="H10" s="225" t="n">
        <f aca="false">IF(F10&gt;0,VLOOKUP(J10,ТовщиниВартості!C9:F140,4,0),0)</f>
        <v>0</v>
      </c>
      <c r="I10" s="226"/>
      <c r="J10" s="227" t="str">
        <f aca="false">'Вхідні параметри'!H22</f>
        <v>ОН17 Щебенево-піщана суміш для шарів основи С5</v>
      </c>
      <c r="K10" s="224"/>
      <c r="L10" s="235" t="str">
        <f aca="false">ВихідніДаніПеревірка!B10</f>
        <v>Відповідно, вибрана конструкція задовольняє умову міцності за критерієм опору зсуву земляного полотна.</v>
      </c>
      <c r="M10" s="235"/>
      <c r="N10" s="235"/>
      <c r="O10" s="235"/>
      <c r="P10" s="235"/>
      <c r="Q10" s="235"/>
      <c r="R10" s="235"/>
      <c r="S10" s="235"/>
      <c r="T10" s="235"/>
      <c r="U10" s="235"/>
      <c r="V10" s="219"/>
      <c r="W10" s="235"/>
      <c r="X10" s="235"/>
      <c r="Y10" s="235"/>
      <c r="Z10" s="235"/>
      <c r="AA10" s="235"/>
      <c r="AB10" s="235"/>
      <c r="AC10" s="235"/>
    </row>
    <row r="11" customFormat="false" ht="15" hidden="false" customHeight="true" outlineLevel="0" collapsed="false">
      <c r="A11" s="187" t="n">
        <f aca="false">VLOOKUP(J11,ТовщиниВартості!C10:F141,2,0)</f>
        <v>8</v>
      </c>
      <c r="B11" s="187" t="n">
        <f aca="false">VLOOKUP(J11,ТовщиниВартості!C10:F141,3,0)</f>
        <v>25</v>
      </c>
      <c r="C11" s="187" t="n">
        <f aca="false">IF(F11&gt;0,A11,0)</f>
        <v>8</v>
      </c>
      <c r="D11" s="224" t="n">
        <f aca="false">IF(F11&gt;0,B11,0)</f>
        <v>25</v>
      </c>
      <c r="E11" s="225" t="n">
        <f aca="false">'Вхідні параметри'!B23</f>
        <v>9</v>
      </c>
      <c r="F11" s="225" t="n">
        <v>8</v>
      </c>
      <c r="G11" s="225" t="n">
        <f aca="false">'Вхідні параметри'!D23</f>
        <v>10</v>
      </c>
      <c r="H11" s="225" t="n">
        <f aca="false">IF(F11&gt;0,VLOOKUP(J11,ТовщиниВартості!C10:F141,4,0),0)</f>
        <v>530</v>
      </c>
      <c r="I11" s="237" t="str">
        <f aca="false">'Вхідні параметри'!E23</f>
        <v>Неукріплені матеріали основ</v>
      </c>
      <c r="J11" s="227" t="str">
        <f aca="false">'Вхідні параметри'!H23</f>
        <v>ОН21 Щебенево-піщана суміш для шарів основи С9</v>
      </c>
      <c r="K11" s="224"/>
      <c r="L11" s="219"/>
      <c r="M11" s="219"/>
      <c r="N11" s="219"/>
      <c r="O11" s="219"/>
      <c r="P11" s="219"/>
      <c r="Q11" s="219"/>
      <c r="R11" s="219"/>
      <c r="S11" s="219"/>
      <c r="T11" s="219"/>
      <c r="U11" s="219"/>
      <c r="V11" s="219"/>
      <c r="W11" s="219"/>
      <c r="X11" s="219"/>
      <c r="Y11" s="219"/>
      <c r="Z11" s="219"/>
      <c r="AA11" s="219"/>
      <c r="AB11" s="219"/>
      <c r="AC11" s="219"/>
    </row>
    <row r="12" customFormat="false" ht="15" hidden="false" customHeight="true" outlineLevel="0" collapsed="false">
      <c r="A12" s="187" t="n">
        <f aca="false">VLOOKUP(J12,ТовщиниВартості!C11:F142,2,0)</f>
        <v>15</v>
      </c>
      <c r="B12" s="187" t="n">
        <f aca="false">VLOOKUP(J12,ТовщиниВартості!C11:F142,3,0)</f>
        <v>30</v>
      </c>
      <c r="C12" s="187" t="n">
        <f aca="false">IF(F12&gt;0,A12,0)</f>
        <v>15</v>
      </c>
      <c r="D12" s="224" t="n">
        <f aca="false">IF(F12&gt;0,B12,0)</f>
        <v>30</v>
      </c>
      <c r="E12" s="225" t="n">
        <f aca="false">'Вхідні параметри'!B24</f>
        <v>10</v>
      </c>
      <c r="F12" s="225" t="n">
        <v>15</v>
      </c>
      <c r="G12" s="225" t="n">
        <f aca="false">'Вхідні параметри'!D24</f>
        <v>10</v>
      </c>
      <c r="H12" s="225" t="n">
        <f aca="false">IF(F12&gt;0,VLOOKUP(J12,ТовщиниВартості!C11:F142,4,0),0)</f>
        <v>408</v>
      </c>
      <c r="I12" s="237" t="str">
        <f aca="false">'Вхідні параметри'!E24</f>
        <v>Шар нев’язкого середовища</v>
      </c>
      <c r="J12" s="227" t="str">
        <f aca="false">'Вхідні параметри'!H24</f>
        <v>G1 Пісок крупний</v>
      </c>
      <c r="K12" s="224"/>
      <c r="L12" s="223" t="str">
        <f aca="false">ВихідніДаніПеревірка!B12</f>
        <v>Розрахунок за критерієм зсуву у незв'язних матеріалах та грунті земляного полотна</v>
      </c>
      <c r="M12" s="223"/>
      <c r="N12" s="223"/>
      <c r="O12" s="223"/>
      <c r="P12" s="223"/>
      <c r="Q12" s="223"/>
      <c r="R12" s="223"/>
      <c r="S12" s="223"/>
      <c r="T12" s="223"/>
      <c r="U12" s="223"/>
      <c r="V12" s="219"/>
      <c r="W12" s="223" t="str">
        <f aca="false">ВихідніДаніПеревірка!M12</f>
        <v>Умова міцності:</v>
      </c>
      <c r="X12" s="223"/>
      <c r="Y12" s="223"/>
      <c r="Z12" s="223"/>
      <c r="AA12" s="223"/>
      <c r="AB12" s="223"/>
      <c r="AC12" s="223"/>
    </row>
    <row r="13" s="238" customFormat="true" ht="15" hidden="false" customHeight="true" outlineLevel="0" collapsed="false">
      <c r="D13" s="239"/>
      <c r="E13" s="240"/>
      <c r="F13" s="240"/>
      <c r="G13" s="240"/>
      <c r="H13" s="240"/>
      <c r="I13" s="240"/>
      <c r="J13" s="240"/>
      <c r="K13" s="239"/>
      <c r="L13" s="228" t="str">
        <f aca="false">ВихідніДаніПеревірка!B13</f>
        <v>Загальний показник міцності за критерієм зсуву в незв'язних матеріалах земляного полотна</v>
      </c>
      <c r="M13" s="228"/>
      <c r="N13" s="228"/>
      <c r="O13" s="228"/>
      <c r="P13" s="228"/>
      <c r="Q13" s="228"/>
      <c r="R13" s="228"/>
      <c r="S13" s="228"/>
      <c r="T13" s="228"/>
      <c r="U13" s="229" t="n">
        <f aca="false">(R14-O14)/O14</f>
        <v>0.505952881196039</v>
      </c>
      <c r="V13" s="219"/>
      <c r="W13" s="230"/>
      <c r="X13" s="231" t="n">
        <f aca="false">ВихідніДаніПеревірка!N13</f>
        <v>0.97</v>
      </c>
      <c r="Y13" s="231" t="str">
        <f aca="false">ВихідніДаніПеревірка!O13</f>
        <v>&lt;</v>
      </c>
      <c r="Z13" s="232" t="n">
        <f aca="false">ЗсувНевязкихОптим!M36</f>
        <v>0.999549912759408</v>
      </c>
      <c r="AA13" s="233" t="str">
        <f aca="false">ВихідніДаніПеревірка!Q13</f>
        <v>виконується.</v>
      </c>
      <c r="AB13" s="233"/>
      <c r="AC13" s="233"/>
    </row>
    <row r="14" customFormat="false" ht="15" hidden="false" customHeight="true" outlineLevel="0" collapsed="false">
      <c r="A14" s="238"/>
      <c r="B14" s="238"/>
      <c r="C14" s="238"/>
      <c r="D14" s="239"/>
      <c r="E14" s="241" t="str">
        <f aca="false">'Вхідні параметри'!B26</f>
        <v>Сумарна товщина, см</v>
      </c>
      <c r="F14" s="240" t="n">
        <f aca="false">SUM(F3:F12)</f>
        <v>92.2625459664214</v>
      </c>
      <c r="G14" s="240" t="n">
        <f aca="false">SUM(G3:G12)</f>
        <v>80</v>
      </c>
      <c r="H14" s="240"/>
      <c r="I14" s="240"/>
      <c r="J14" s="240"/>
      <c r="K14" s="239"/>
      <c r="L14" s="228" t="str">
        <f aca="false">ВихідніДаніПеревірка!B14</f>
        <v>Умова міцності:</v>
      </c>
      <c r="M14" s="228"/>
      <c r="N14" s="231" t="str">
        <f aca="false">ВихідніДаніПеревірка!D14</f>
        <v>Кпотр =</v>
      </c>
      <c r="O14" s="231" t="n">
        <f aca="false">ВихідніДаніПеревірка!E14</f>
        <v>1.51</v>
      </c>
      <c r="P14" s="231" t="str">
        <f aca="false">ВихідніДаніПеревірка!F14</f>
        <v>&lt;</v>
      </c>
      <c r="Q14" s="231" t="str">
        <f aca="false">ВихідніДаніПеревірка!G14</f>
        <v>Крозр =</v>
      </c>
      <c r="R14" s="232" t="n">
        <f aca="false">ЗсувНевязкихОптим!E36</f>
        <v>2.27398885060602</v>
      </c>
      <c r="S14" s="234" t="str">
        <f aca="false">ВихідніДаніПеревірка!I14</f>
        <v>виконується.</v>
      </c>
      <c r="T14" s="234"/>
      <c r="U14" s="229"/>
      <c r="V14" s="219"/>
      <c r="W14" s="235" t="str">
        <f aca="false">ВихідніДаніПеревірка!M14</f>
        <v>Відповідно, вибрана конструкція задовольняє умову надійності за критерієм опору зсуву в нев’язких матеріалах земляного полотна.</v>
      </c>
      <c r="X14" s="235"/>
      <c r="Y14" s="235"/>
      <c r="Z14" s="235"/>
      <c r="AA14" s="235"/>
      <c r="AB14" s="235"/>
      <c r="AC14" s="235"/>
    </row>
    <row r="15" customFormat="false" ht="15" hidden="false" customHeight="true" outlineLevel="0" collapsed="false">
      <c r="D15" s="219"/>
      <c r="E15" s="219"/>
      <c r="F15" s="219"/>
      <c r="G15" s="219"/>
      <c r="H15" s="219"/>
      <c r="I15" s="219"/>
      <c r="J15" s="219"/>
      <c r="K15" s="219"/>
      <c r="L15" s="235" t="str">
        <f aca="false">ВихідніДаніПеревірка!B15</f>
        <v>Відповідно, вибрана конструкція задовольняє умову міцності за критерієм опору зсуву піску.</v>
      </c>
      <c r="M15" s="235"/>
      <c r="N15" s="235"/>
      <c r="O15" s="235"/>
      <c r="P15" s="235"/>
      <c r="Q15" s="235"/>
      <c r="R15" s="235"/>
      <c r="S15" s="235"/>
      <c r="T15" s="235"/>
      <c r="U15" s="235"/>
      <c r="V15" s="219"/>
      <c r="W15" s="235"/>
      <c r="X15" s="235"/>
      <c r="Y15" s="235"/>
      <c r="Z15" s="235"/>
      <c r="AA15" s="235"/>
      <c r="AB15" s="235"/>
      <c r="AC15" s="235"/>
    </row>
    <row r="16" customFormat="false" ht="15" hidden="false" customHeight="true" outlineLevel="0" collapsed="false">
      <c r="D16" s="219"/>
      <c r="E16" s="219"/>
      <c r="F16" s="219"/>
      <c r="G16" s="219" t="s">
        <v>208</v>
      </c>
      <c r="H16" s="219" t="n">
        <f aca="false">SUM(F3*H3,F4*H4,F5*H5,F6*H6,F7*H7,F8*H8,F9*H9,F10*H10,F11*H11,F12*H12, )</f>
        <v>70493.8672772214</v>
      </c>
      <c r="I16" s="219"/>
      <c r="J16" s="219"/>
      <c r="K16" s="219"/>
      <c r="L16" s="219"/>
      <c r="M16" s="219"/>
      <c r="N16" s="219"/>
      <c r="O16" s="219"/>
      <c r="P16" s="219"/>
      <c r="Q16" s="219"/>
      <c r="R16" s="219"/>
      <c r="S16" s="219"/>
      <c r="T16" s="219"/>
      <c r="U16" s="219"/>
      <c r="V16" s="219"/>
      <c r="W16" s="219"/>
      <c r="X16" s="219"/>
      <c r="Y16" s="219"/>
      <c r="Z16" s="219"/>
      <c r="AA16" s="219"/>
      <c r="AB16" s="219"/>
      <c r="AC16" s="219"/>
    </row>
    <row r="17" customFormat="false" ht="15" hidden="false" customHeight="true" outlineLevel="0" collapsed="false">
      <c r="D17" s="219"/>
      <c r="E17" s="219"/>
      <c r="F17" s="219"/>
      <c r="G17" s="219"/>
      <c r="H17" s="219"/>
      <c r="I17" s="219"/>
      <c r="J17" s="219"/>
      <c r="K17" s="219"/>
      <c r="L17" s="223" t="str">
        <f aca="false">ВихідніДаніПеревірка!B17</f>
        <v>Розрахунок за критерієм опору шарів з монолітних матеріалів розтягу при згині</v>
      </c>
      <c r="M17" s="223"/>
      <c r="N17" s="223"/>
      <c r="O17" s="223"/>
      <c r="P17" s="223"/>
      <c r="Q17" s="223"/>
      <c r="R17" s="223"/>
      <c r="S17" s="223"/>
      <c r="T17" s="223"/>
      <c r="U17" s="223"/>
      <c r="V17" s="219"/>
      <c r="W17" s="223" t="str">
        <f aca="false">ВихідніДаніПеревірка!M17</f>
        <v>Умова міцності:</v>
      </c>
      <c r="X17" s="223"/>
      <c r="Y17" s="223"/>
      <c r="Z17" s="223"/>
      <c r="AA17" s="223"/>
      <c r="AB17" s="223"/>
      <c r="AC17" s="223"/>
    </row>
    <row r="18" customFormat="false" ht="15" hidden="false" customHeight="true" outlineLevel="0" collapsed="false">
      <c r="D18" s="219"/>
      <c r="E18" s="219"/>
      <c r="F18" s="219"/>
      <c r="G18" s="219"/>
      <c r="H18" s="219"/>
      <c r="I18" s="219"/>
      <c r="J18" s="219"/>
      <c r="K18" s="219"/>
      <c r="L18" s="228" t="str">
        <f aca="false">ВихідніДаніПеревірка!B18</f>
        <v>Загальний показник міцності за критерієм опору розтягу при згині</v>
      </c>
      <c r="M18" s="228"/>
      <c r="N18" s="228"/>
      <c r="O18" s="228"/>
      <c r="P18" s="228"/>
      <c r="Q18" s="228"/>
      <c r="R18" s="228"/>
      <c r="S18" s="228"/>
      <c r="T18" s="228"/>
      <c r="U18" s="229" t="n">
        <f aca="false">(R19-O19)/O19</f>
        <v>0.010712982989154</v>
      </c>
      <c r="V18" s="219"/>
      <c r="W18" s="230"/>
      <c r="X18" s="231" t="n">
        <f aca="false">ВихідніДаніПеревірка!N18</f>
        <v>0.97</v>
      </c>
      <c r="Y18" s="231" t="str">
        <f aca="false">ВихідніДаніПеревірка!O18</f>
        <v>&lt;</v>
      </c>
      <c r="Z18" s="232" t="n">
        <f aca="false">ЗгинОптим!P22</f>
        <v>0.977249868051821</v>
      </c>
      <c r="AA18" s="233" t="str">
        <f aca="false">ВихідніДаніПеревірка!Q18</f>
        <v>виконується.</v>
      </c>
      <c r="AB18" s="233"/>
      <c r="AC18" s="233"/>
    </row>
    <row r="19" customFormat="false" ht="15" hidden="false" customHeight="true" outlineLevel="0" collapsed="false">
      <c r="L19" s="228" t="str">
        <f aca="false">ВихідніДаніПеревірка!B19</f>
        <v>Умова міцності:</v>
      </c>
      <c r="M19" s="228"/>
      <c r="N19" s="231" t="str">
        <f aca="false">ВихідніДаніПеревірка!D19</f>
        <v>Кпотр =</v>
      </c>
      <c r="O19" s="231" t="n">
        <f aca="false">ВихідніДаніПеревірка!E19</f>
        <v>1.39</v>
      </c>
      <c r="P19" s="231" t="str">
        <f aca="false">ВихідніДаніПеревірка!F19</f>
        <v>&lt;</v>
      </c>
      <c r="Q19" s="231" t="str">
        <f aca="false">ВихідніДаніПеревірка!G19</f>
        <v>Крозр =</v>
      </c>
      <c r="R19" s="232" t="n">
        <f aca="false">ЗгинОптим!E20</f>
        <v>1.40489104635492</v>
      </c>
      <c r="S19" s="234" t="str">
        <f aca="false">ВихідніДаніПеревірка!I19</f>
        <v>виконується.</v>
      </c>
      <c r="T19" s="234"/>
      <c r="U19" s="229"/>
      <c r="V19" s="219"/>
      <c r="W19" s="235" t="str">
        <f aca="false">ВихідніДаніПеревірка!M19</f>
        <v>Відповідно, вибрана конструкція задовольняє вимоги надійності за критерієм опору шарів з монолітних матеріалів розтягу при згині.</v>
      </c>
      <c r="X19" s="235"/>
      <c r="Y19" s="235"/>
      <c r="Z19" s="235"/>
      <c r="AA19" s="235"/>
      <c r="AB19" s="235"/>
      <c r="AC19" s="235"/>
    </row>
    <row r="20" customFormat="false" ht="15" hidden="false" customHeight="true" outlineLevel="0" collapsed="false">
      <c r="L20" s="235" t="str">
        <f aca="false">ВихідніДаніПеревірка!B20</f>
        <v>Відповідно, вибрана конструкція задовольняє умову міцності за критерієм опору шарів з монолітних матеріалів розтягу при згині.</v>
      </c>
      <c r="M20" s="235"/>
      <c r="N20" s="235"/>
      <c r="O20" s="235"/>
      <c r="P20" s="235"/>
      <c r="Q20" s="235"/>
      <c r="R20" s="235"/>
      <c r="S20" s="235"/>
      <c r="T20" s="235"/>
      <c r="U20" s="235"/>
      <c r="V20" s="219"/>
      <c r="W20" s="235"/>
      <c r="X20" s="235"/>
      <c r="Y20" s="235"/>
      <c r="Z20" s="235"/>
      <c r="AA20" s="235"/>
      <c r="AB20" s="235"/>
      <c r="AC20" s="235"/>
    </row>
  </sheetData>
  <mergeCells count="35">
    <mergeCell ref="L2:U2"/>
    <mergeCell ref="W2:AC2"/>
    <mergeCell ref="I3:I5"/>
    <mergeCell ref="L3:T3"/>
    <mergeCell ref="AA3:AC3"/>
    <mergeCell ref="L4:M4"/>
    <mergeCell ref="S4:T4"/>
    <mergeCell ref="W4:AC5"/>
    <mergeCell ref="L5:U5"/>
    <mergeCell ref="I6:I8"/>
    <mergeCell ref="L7:U7"/>
    <mergeCell ref="W7:AC7"/>
    <mergeCell ref="L8:T8"/>
    <mergeCell ref="AA8:AC8"/>
    <mergeCell ref="I9:I10"/>
    <mergeCell ref="L9:M9"/>
    <mergeCell ref="S9:T9"/>
    <mergeCell ref="W9:AC10"/>
    <mergeCell ref="L10:U10"/>
    <mergeCell ref="L12:U12"/>
    <mergeCell ref="W12:AC12"/>
    <mergeCell ref="L13:T13"/>
    <mergeCell ref="AA13:AC13"/>
    <mergeCell ref="L14:M14"/>
    <mergeCell ref="S14:T14"/>
    <mergeCell ref="W14:AC15"/>
    <mergeCell ref="L15:U15"/>
    <mergeCell ref="L17:U17"/>
    <mergeCell ref="W17:AC17"/>
    <mergeCell ref="L18:T18"/>
    <mergeCell ref="AA18:AC18"/>
    <mergeCell ref="L19:M19"/>
    <mergeCell ref="S19:T19"/>
    <mergeCell ref="W19:AC20"/>
    <mergeCell ref="L20:U20"/>
  </mergeCells>
  <conditionalFormatting sqref="U4">
    <cfRule type="expression" priority="2" aboveAverage="0" equalAverage="0" bottom="0" percent="0" rank="0" text="" dxfId="0">
      <formula>$O$4&gt;$R$4</formula>
    </cfRule>
    <cfRule type="expression" priority="3" aboveAverage="0" equalAverage="0" bottom="0" percent="0" rank="0" text="" dxfId="1">
      <formula>$O$4&lt;$R$4</formula>
    </cfRule>
  </conditionalFormatting>
  <conditionalFormatting sqref="U9">
    <cfRule type="expression" priority="4" aboveAverage="0" equalAverage="0" bottom="0" percent="0" rank="0" text="" dxfId="2">
      <formula>$O$9&gt;$R$9</formula>
    </cfRule>
    <cfRule type="expression" priority="5" aboveAverage="0" equalAverage="0" bottom="0" percent="0" rank="0" text="" dxfId="3">
      <formula>$O$9&lt;$R$9</formula>
    </cfRule>
  </conditionalFormatting>
  <conditionalFormatting sqref="U14">
    <cfRule type="expression" priority="6" aboveAverage="0" equalAverage="0" bottom="0" percent="0" rank="0" text="" dxfId="4">
      <formula>$O$14&gt;$R$14</formula>
    </cfRule>
    <cfRule type="expression" priority="7" aboveAverage="0" equalAverage="0" bottom="0" percent="0" rank="0" text="" dxfId="5">
      <formula>$O$14&lt;$R$14</formula>
    </cfRule>
  </conditionalFormatting>
  <conditionalFormatting sqref="U19">
    <cfRule type="expression" priority="8" aboveAverage="0" equalAverage="0" bottom="0" percent="0" rank="0" text="" dxfId="6">
      <formula>$O$19&gt;$R$19</formula>
    </cfRule>
    <cfRule type="expression" priority="9" aboveAverage="0" equalAverage="0" bottom="0" percent="0" rank="0" text="" dxfId="7">
      <formula>$O$19&lt;$R$19</formula>
    </cfRule>
  </conditionalFormatting>
  <conditionalFormatting sqref="W3">
    <cfRule type="expression" priority="10" aboveAverage="0" equalAverage="0" bottom="0" percent="0" rank="0" text="" dxfId="8">
      <formula>$X$3&gt;$Z$3</formula>
    </cfRule>
    <cfRule type="expression" priority="11" aboveAverage="0" equalAverage="0" bottom="0" percent="0" rank="0" text="" dxfId="9">
      <formula>$X$3&lt;$Z$3</formula>
    </cfRule>
  </conditionalFormatting>
  <conditionalFormatting sqref="W8">
    <cfRule type="expression" priority="12" aboveAverage="0" equalAverage="0" bottom="0" percent="0" rank="0" text="" dxfId="10">
      <formula>$X$8&gt;$Z$8</formula>
    </cfRule>
    <cfRule type="expression" priority="13" aboveAverage="0" equalAverage="0" bottom="0" percent="0" rank="0" text="" dxfId="11">
      <formula>$X$8&lt;$Z$8</formula>
    </cfRule>
  </conditionalFormatting>
  <conditionalFormatting sqref="W13">
    <cfRule type="expression" priority="14" aboveAverage="0" equalAverage="0" bottom="0" percent="0" rank="0" text="" dxfId="12">
      <formula>$X$13&gt;$Z$13</formula>
    </cfRule>
    <cfRule type="expression" priority="15" aboveAverage="0" equalAverage="0" bottom="0" percent="0" rank="0" text="" dxfId="13">
      <formula>$X$13&lt;$Z$13</formula>
    </cfRule>
  </conditionalFormatting>
  <conditionalFormatting sqref="W18">
    <cfRule type="expression" priority="16" aboveAverage="0" equalAverage="0" bottom="0" percent="0" rank="0" text="" dxfId="14">
      <formula>$X$18&gt;$Z$18</formula>
    </cfRule>
    <cfRule type="expression" priority="17" aboveAverage="0" equalAverage="0" bottom="0" percent="0" rank="0" text="" dxfId="15">
      <formula>$X$18&lt;$Z$18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00FF"/>
    <pageSetUpPr fitToPage="false"/>
  </sheetPr>
  <dimension ref="B1:R57"/>
  <sheetViews>
    <sheetView windowProtection="false" showFormulas="false" showGridLines="true" showRowColHeaders="true" showZeros="true" rightToLeft="false" tabSelected="false" showOutlineSymbols="true" defaultGridColor="true" view="normal" topLeftCell="K1" colorId="64" zoomScale="65" zoomScaleNormal="65" zoomScalePageLayoutView="100" workbookViewId="0">
      <selection pane="topLeft" activeCell="A57" activeCellId="0" sqref="A57"/>
    </sheetView>
  </sheetViews>
  <sheetFormatPr defaultRowHeight="15"/>
  <cols>
    <col collapsed="false" hidden="false" max="1" min="1" style="0" width="4.3659793814433"/>
    <col collapsed="false" hidden="false" max="3" min="2" style="0" width="7.63917525773196"/>
    <col collapsed="false" hidden="false" max="4" min="4" style="0" width="10.639175257732"/>
    <col collapsed="false" hidden="false" max="5" min="5" style="0" width="15.4123711340206"/>
    <col collapsed="false" hidden="false" max="6" min="6" style="0" width="7.63917525773196"/>
    <col collapsed="false" hidden="false" max="7" min="7" style="0" width="16.2319587628866"/>
    <col collapsed="false" hidden="false" max="8" min="8" style="0" width="13.3659793814433"/>
    <col collapsed="false" hidden="false" max="9" min="9" style="0" width="7.77319587628866"/>
    <col collapsed="false" hidden="false" max="10" min="10" style="0" width="13.2268041237113"/>
    <col collapsed="false" hidden="false" max="11" min="11" style="0" width="13.3659793814433"/>
    <col collapsed="false" hidden="false" max="12" min="12" style="0" width="7.63917525773196"/>
    <col collapsed="false" hidden="false" max="13" min="13" style="0" width="64.7835051546392"/>
    <col collapsed="false" hidden="false" max="14" min="14" style="0" width="25.9123711340206"/>
    <col collapsed="false" hidden="false" max="1025" min="15" style="0" width="7.63917525773196"/>
  </cols>
  <sheetData>
    <row r="1" customFormat="false" ht="40.5" hidden="false" customHeight="true" outlineLevel="0" collapsed="false">
      <c r="B1" s="242" t="s">
        <v>144</v>
      </c>
      <c r="C1" s="242"/>
      <c r="D1" s="242"/>
      <c r="E1" s="242"/>
      <c r="F1" s="242"/>
      <c r="G1" s="242"/>
      <c r="H1" s="242"/>
      <c r="M1" s="4" t="s">
        <v>209</v>
      </c>
    </row>
    <row r="2" customFormat="false" ht="36" hidden="false" customHeight="true" outlineLevel="0" collapsed="false">
      <c r="B2" s="243" t="s">
        <v>210</v>
      </c>
      <c r="C2" s="243"/>
      <c r="D2" s="243"/>
      <c r="E2" s="243"/>
      <c r="F2" s="243"/>
      <c r="G2" s="243"/>
      <c r="H2" s="83" t="n">
        <f aca="false">'Розрахункові параметриПеревірка'!H7</f>
        <v>1.39</v>
      </c>
      <c r="M2" s="244" t="s">
        <v>211</v>
      </c>
      <c r="N2" s="245" t="n">
        <f aca="false">SUM(C26:C28)</f>
        <v>0.3</v>
      </c>
    </row>
    <row r="3" customFormat="false" ht="19.5" hidden="false" customHeight="true" outlineLevel="0" collapsed="false">
      <c r="B3" s="246" t="str">
        <f aca="false">РозрахДопПружПрогин!B7</f>
        <v>Діаметр розрахункового відбитку колеса, D, м</v>
      </c>
      <c r="C3" s="246"/>
      <c r="D3" s="246"/>
      <c r="E3" s="246"/>
      <c r="F3" s="246"/>
      <c r="G3" s="246"/>
      <c r="H3" s="247" t="n">
        <f aca="false">РозрахДопПружПрогин!H7</f>
        <v>0.344917848176305</v>
      </c>
      <c r="M3" s="248" t="s">
        <v>212</v>
      </c>
      <c r="N3" s="249" t="n">
        <f aca="false">SUM(D26*C26,D27*C27,D28*C28)/N2</f>
        <v>3666.66666666667</v>
      </c>
    </row>
    <row r="4" customFormat="false" ht="34.5" hidden="false" customHeight="true" outlineLevel="0" collapsed="false">
      <c r="B4" s="250" t="s">
        <v>213</v>
      </c>
      <c r="C4" s="250"/>
      <c r="D4" s="250"/>
      <c r="E4" s="250"/>
      <c r="F4" s="250"/>
      <c r="G4" s="250"/>
      <c r="H4" s="251" t="n">
        <f aca="false">'Розрахункові параметриПеревірка'!Z60*H14*H16*H15</f>
        <v>0.713350997992306</v>
      </c>
      <c r="M4" s="246" t="s">
        <v>214</v>
      </c>
      <c r="N4" s="252" t="n">
        <f aca="false">1/(N3*N2)*SQRT(SUM(((J26+K26)^2)*((D26*C26)^2),((D27*C27)^2)*((J27+K27)^2),((D28*C28)^2)*((J28+K28)^2)))</f>
        <v>0.212664346713643</v>
      </c>
    </row>
    <row r="5" customFormat="false" ht="37.5" hidden="false" customHeight="true" outlineLevel="0" collapsed="false">
      <c r="B5" s="250" t="s">
        <v>215</v>
      </c>
      <c r="C5" s="250"/>
      <c r="D5" s="250"/>
      <c r="E5" s="250"/>
      <c r="F5" s="250"/>
      <c r="G5" s="250"/>
      <c r="H5" s="251" t="n">
        <f aca="false">H6*H7*H8</f>
        <v>0.422633744508907</v>
      </c>
      <c r="M5" s="20" t="s">
        <v>216</v>
      </c>
      <c r="N5" s="253" t="n">
        <f aca="false">1/N2*SQRT(SUM((J26*C26)^2,(J27*C27)^2,(J28*C28)^2))</f>
        <v>0.159191724708596</v>
      </c>
    </row>
    <row r="6" customFormat="false" ht="18.75" hidden="false" customHeight="true" outlineLevel="0" collapsed="false">
      <c r="B6" s="250" t="s">
        <v>217</v>
      </c>
      <c r="C6" s="250"/>
      <c r="D6" s="250"/>
      <c r="E6" s="250"/>
      <c r="F6" s="250"/>
      <c r="G6" s="250"/>
      <c r="H6" s="251" t="n">
        <f aca="false">1.28*H12*H13*((1-0.637*ATAN(H11))*ATAN(1/H11)^2)</f>
        <v>0.621520212513098</v>
      </c>
      <c r="M6" s="250" t="s">
        <v>218</v>
      </c>
      <c r="N6" s="254" t="n">
        <f aca="false">VLOOKUP('Вхідні параметри'!H8,Таблица611[],5,0)</f>
        <v>0.2</v>
      </c>
    </row>
    <row r="7" customFormat="false" ht="34.5" hidden="false" customHeight="true" outlineLevel="0" collapsed="false">
      <c r="B7" s="250" t="s">
        <v>219</v>
      </c>
      <c r="C7" s="250"/>
      <c r="D7" s="250"/>
      <c r="E7" s="250"/>
      <c r="F7" s="250"/>
      <c r="G7" s="250"/>
      <c r="H7" s="255" t="n">
        <f aca="false">'Розрахункові параметриПеревірка'!H25</f>
        <v>0.8</v>
      </c>
      <c r="M7" s="250" t="s">
        <v>220</v>
      </c>
      <c r="N7" s="256" t="n">
        <f aca="false">0.0565 + 0.065*LN(E29)</f>
        <v>0.288696623501531</v>
      </c>
    </row>
    <row r="8" customFormat="false" ht="69.75" hidden="false" customHeight="true" outlineLevel="0" collapsed="false">
      <c r="B8" s="250" t="s">
        <v>221</v>
      </c>
      <c r="C8" s="250"/>
      <c r="D8" s="250"/>
      <c r="E8" s="250"/>
      <c r="F8" s="250"/>
      <c r="G8" s="250"/>
      <c r="H8" s="255" t="n">
        <v>0.85</v>
      </c>
      <c r="M8" s="257" t="s">
        <v>88</v>
      </c>
      <c r="N8" s="258" t="n">
        <f aca="false">'Розрахункові параметриПеревірка'!H21</f>
        <v>16.3992</v>
      </c>
    </row>
    <row r="9" customFormat="false" ht="15.75" hidden="false" customHeight="true" outlineLevel="0" collapsed="false">
      <c r="B9" s="259" t="s">
        <v>222</v>
      </c>
      <c r="C9" s="259"/>
      <c r="D9" s="259"/>
      <c r="E9" s="259"/>
      <c r="F9" s="259"/>
      <c r="G9" s="259"/>
      <c r="H9" s="260" t="n">
        <f aca="false">0.083*(LN(H12))^2.2+1.87</f>
        <v>2.41269679973672</v>
      </c>
      <c r="M9" s="261" t="s">
        <v>223</v>
      </c>
      <c r="N9" s="262" t="n">
        <f aca="false">H3</f>
        <v>0.344917848176305</v>
      </c>
    </row>
    <row r="10" customFormat="false" ht="16.5" hidden="false" customHeight="true" outlineLevel="0" collapsed="false">
      <c r="B10" s="263" t="s">
        <v>224</v>
      </c>
      <c r="C10" s="263"/>
      <c r="D10" s="263"/>
      <c r="E10" s="263"/>
      <c r="F10" s="263"/>
      <c r="G10" s="263"/>
      <c r="H10" s="264" t="n">
        <f aca="false">0.00004*H12^(1.4)+0.007</f>
        <v>0.00807050374525692</v>
      </c>
      <c r="M10" s="265" t="s">
        <v>225</v>
      </c>
      <c r="N10" s="262" t="n">
        <f aca="false">VLOOKUP('Вхідні параметри'!H4,'Таблиця 6.1'!B4:M9,10,0)</f>
        <v>0.12</v>
      </c>
    </row>
    <row r="11" customFormat="false" ht="18.75" hidden="false" customHeight="true" outlineLevel="0" collapsed="false">
      <c r="B11" s="266" t="s">
        <v>226</v>
      </c>
      <c r="C11" s="266"/>
      <c r="D11" s="266"/>
      <c r="E11" s="266"/>
      <c r="F11" s="266"/>
      <c r="G11" s="266"/>
      <c r="H11" s="260" t="n">
        <f aca="false">H9*H13^(0.9)+H10</f>
        <v>2.13605165173296</v>
      </c>
      <c r="M11" s="267" t="s">
        <v>227</v>
      </c>
      <c r="N11" s="262" t="n">
        <f aca="false">VLOOKUP('Вхідні параметри'!H4,'Таблиця 6.1'!B4:M9,7,0)</f>
        <v>0.12</v>
      </c>
    </row>
    <row r="12" customFormat="false" ht="15.75" hidden="false" customHeight="true" outlineLevel="0" collapsed="false">
      <c r="B12" s="268" t="s">
        <v>228</v>
      </c>
      <c r="C12" s="268"/>
      <c r="D12" s="268"/>
      <c r="E12" s="268"/>
      <c r="F12" s="268"/>
      <c r="G12" s="268"/>
      <c r="H12" s="269" t="n">
        <f aca="false">E26/E29</f>
        <v>10.4631632117898</v>
      </c>
      <c r="M12" s="270" t="s">
        <v>229</v>
      </c>
      <c r="N12" s="262" t="n">
        <f aca="false">MROUND((H17-1)/SQRT(N11^2*H17^2+N10^2),0.2)</f>
        <v>3</v>
      </c>
    </row>
    <row r="13" customFormat="false" ht="16.5" hidden="false" customHeight="true" outlineLevel="0" collapsed="false">
      <c r="B13" s="268" t="s">
        <v>230</v>
      </c>
      <c r="C13" s="268"/>
      <c r="D13" s="268"/>
      <c r="E13" s="268"/>
      <c r="F13" s="268"/>
      <c r="G13" s="268"/>
      <c r="H13" s="271" t="n">
        <f aca="false">SUM(C26:C28)/H3</f>
        <v>0.869772328646371</v>
      </c>
      <c r="I13" s="272"/>
      <c r="M13" s="273" t="s">
        <v>173</v>
      </c>
      <c r="N13" s="274" t="n">
        <f aca="false">0.5+0.5*ERF(N12/SQRT(2))</f>
        <v>0.99865010196837</v>
      </c>
    </row>
    <row r="14" customFormat="false" ht="38.25" hidden="false" customHeight="true" outlineLevel="0" collapsed="false">
      <c r="B14" s="268" t="s">
        <v>231</v>
      </c>
      <c r="C14" s="268"/>
      <c r="D14" s="268"/>
      <c r="E14" s="268"/>
      <c r="F14" s="268"/>
      <c r="G14" s="268"/>
      <c r="H14" s="275" t="n">
        <f aca="false">VLOOKUP('Вхідні параметри'!H17,Таблица22[[Матеріал]:[km]],9,0)</f>
        <v>0.75</v>
      </c>
      <c r="I14" s="276"/>
      <c r="J14" s="276"/>
      <c r="K14" s="276"/>
      <c r="L14" s="276"/>
      <c r="M14" s="277" t="s">
        <v>232</v>
      </c>
      <c r="N14" s="278" t="n">
        <v>0.25</v>
      </c>
      <c r="O14" s="167"/>
    </row>
    <row r="15" customFormat="false" ht="28.5" hidden="false" customHeight="true" outlineLevel="0" collapsed="false">
      <c r="B15" s="279" t="s">
        <v>233</v>
      </c>
      <c r="C15" s="279"/>
      <c r="D15" s="279"/>
      <c r="E15" s="279"/>
      <c r="F15" s="279"/>
      <c r="G15" s="279"/>
      <c r="H15" s="275" t="n">
        <f aca="false">VLOOKUP('Вхідні параметри'!H17,Таблица22[[Матеріал]:[kT]],10,0)</f>
        <v>0.8</v>
      </c>
      <c r="I15" s="276"/>
      <c r="J15" s="276"/>
      <c r="K15" s="276"/>
      <c r="L15" s="276"/>
      <c r="M15" s="277" t="s">
        <v>234</v>
      </c>
      <c r="N15" s="280" t="n">
        <f aca="false">PI()*H7*(1+N14)*H8</f>
        <v>2.67035375555132</v>
      </c>
      <c r="O15" s="167"/>
    </row>
    <row r="16" customFormat="false" ht="33" hidden="false" customHeight="true" outlineLevel="0" collapsed="false">
      <c r="B16" s="268" t="s">
        <v>235</v>
      </c>
      <c r="C16" s="268"/>
      <c r="D16" s="268"/>
      <c r="E16" s="268"/>
      <c r="F16" s="268"/>
      <c r="G16" s="268"/>
      <c r="H16" s="281" t="n">
        <f aca="false">'Розрахункові параметриПеревірка'!Z55*'Вхідні параметри'!H27^(-1/'Розрахункові параметриПеревірка'!Z54)</f>
        <v>0.189729083682366</v>
      </c>
      <c r="I16" s="276"/>
      <c r="J16" s="276"/>
      <c r="K16" s="276"/>
      <c r="L16" s="282"/>
      <c r="M16" s="167"/>
      <c r="N16" s="167"/>
      <c r="O16" s="167"/>
    </row>
    <row r="17" customFormat="false" ht="15.75" hidden="false" customHeight="false" outlineLevel="0" collapsed="false">
      <c r="B17" s="283" t="s">
        <v>236</v>
      </c>
      <c r="C17" s="283"/>
      <c r="D17" s="283"/>
      <c r="E17" s="283"/>
      <c r="F17" s="283"/>
      <c r="G17" s="283"/>
      <c r="H17" s="284" t="n">
        <f aca="false">H4/H5</f>
        <v>1.68787042506795</v>
      </c>
    </row>
    <row r="18" customFormat="false" ht="18.75" hidden="false" customHeight="false" outlineLevel="0" collapsed="false">
      <c r="B18" s="285"/>
      <c r="C18" s="285"/>
      <c r="D18" s="285"/>
      <c r="E18" s="285"/>
      <c r="F18" s="285"/>
      <c r="G18" s="285"/>
      <c r="H18" s="285"/>
    </row>
    <row r="19" customFormat="false" ht="18.75" hidden="false" customHeight="false" outlineLevel="0" collapsed="false">
      <c r="B19" s="286" t="s">
        <v>140</v>
      </c>
      <c r="C19" s="287"/>
      <c r="D19" s="287"/>
      <c r="E19" s="287"/>
      <c r="F19" s="287"/>
      <c r="G19" s="287"/>
      <c r="H19" s="288"/>
    </row>
    <row r="20" customFormat="false" ht="18.75" hidden="false" customHeight="false" outlineLevel="0" collapsed="false">
      <c r="B20" s="289"/>
      <c r="C20" s="290" t="n">
        <f aca="false">H2</f>
        <v>1.39</v>
      </c>
      <c r="D20" s="291" t="s">
        <v>141</v>
      </c>
      <c r="E20" s="290" t="n">
        <f aca="false">H17</f>
        <v>1.68787042506795</v>
      </c>
      <c r="F20" s="292" t="str">
        <f aca="false">IF(C20&lt;E20," виконується.","НЕвиконується.")</f>
        <v>виконується.</v>
      </c>
      <c r="G20" s="292"/>
      <c r="H20" s="293"/>
    </row>
    <row r="21" customFormat="false" ht="60" hidden="false" customHeight="true" outlineLevel="0" collapsed="false">
      <c r="B21" s="294" t="str">
        <f aca="false">IF(C20&lt;E20,"Відповідно, вибрана конструкція задовольняє умову міцності за критерієм опору шарів з монолітних матеріалів розтягу при згині.","Відповідно, вибрана конструкція НЕзадовольняє умову міцності за критерієм опору шарів з монолітних матеріалів розтягу при згині.")</f>
        <v>Відповідно, вибрана конструкція задовольняє умову міцності за критерієм опору шарів з монолітних матеріалів розтягу при згині.</v>
      </c>
      <c r="C21" s="294"/>
      <c r="D21" s="294"/>
      <c r="E21" s="294"/>
      <c r="F21" s="294"/>
      <c r="G21" s="294"/>
      <c r="H21" s="294"/>
      <c r="M21" s="295" t="s">
        <v>140</v>
      </c>
      <c r="N21" s="296"/>
      <c r="O21" s="296"/>
      <c r="P21" s="296"/>
      <c r="Q21" s="296"/>
      <c r="R21" s="297"/>
    </row>
    <row r="22" customFormat="false" ht="37.5" hidden="false" customHeight="true" outlineLevel="0" collapsed="false">
      <c r="B22" s="298" t="s">
        <v>237</v>
      </c>
      <c r="C22" s="298"/>
      <c r="D22" s="298"/>
      <c r="E22" s="298"/>
      <c r="F22" s="298"/>
      <c r="G22" s="298"/>
      <c r="H22" s="298"/>
      <c r="M22" s="299"/>
      <c r="N22" s="300" t="n">
        <f aca="false">'Розрахункові параметриПеревірка'!H5</f>
        <v>0.97</v>
      </c>
      <c r="O22" s="301" t="s">
        <v>141</v>
      </c>
      <c r="P22" s="300" t="n">
        <f aca="false">N13</f>
        <v>0.99865010196837</v>
      </c>
      <c r="Q22" s="302" t="str">
        <f aca="false">IF(N22&lt;P22," виконується."," НЕвиконується.")</f>
        <v>виконується.</v>
      </c>
      <c r="R22" s="303"/>
    </row>
    <row r="23" customFormat="false" ht="60" hidden="false" customHeight="true" outlineLevel="0" collapsed="false">
      <c r="M23" s="304" t="str">
        <f aca="false">IF(N22&lt;P22,"Відповідно, вибрана конструкція задовольняє вимоги надійності за критерієм опору шарів з монолітних матеріалів розтягу при згині.","Відповідно, вибрана конструкція НЕзадовольняє вимогу надійності за критерієм опору шарів з монолітних матеріалів розтягу при згині.")</f>
        <v>Відповідно, вибрана конструкція задовольняє вимоги надійності за критерієм опору шарів з монолітних матеріалів розтягу при згині.</v>
      </c>
      <c r="N23" s="304"/>
      <c r="O23" s="304"/>
      <c r="P23" s="304"/>
      <c r="Q23" s="304"/>
      <c r="R23" s="304"/>
    </row>
    <row r="24" customFormat="false" ht="18.75" hidden="false" customHeight="false" outlineLevel="0" collapsed="false">
      <c r="B24" s="201" t="s">
        <v>238</v>
      </c>
      <c r="C24" s="201"/>
      <c r="D24" s="201"/>
      <c r="E24" s="201"/>
      <c r="F24" s="201"/>
      <c r="G24" s="201"/>
    </row>
    <row r="25" customFormat="false" ht="20.25" hidden="false" customHeight="false" outlineLevel="0" collapsed="false">
      <c r="B25" s="305" t="s">
        <v>239</v>
      </c>
      <c r="C25" s="306" t="s">
        <v>240</v>
      </c>
      <c r="D25" s="306" t="s">
        <v>241</v>
      </c>
      <c r="E25" s="307" t="s">
        <v>242</v>
      </c>
      <c r="F25" s="306" t="s">
        <v>243</v>
      </c>
      <c r="G25" s="308" t="s">
        <v>244</v>
      </c>
      <c r="J25" s="306" t="s">
        <v>245</v>
      </c>
      <c r="K25" s="306" t="s">
        <v>246</v>
      </c>
    </row>
    <row r="26" customFormat="false" ht="18.75" hidden="false" customHeight="false" outlineLevel="0" collapsed="false">
      <c r="B26" s="309" t="n">
        <v>1</v>
      </c>
      <c r="C26" s="310" t="n">
        <f aca="false">'Вхідні параметри'!$D$15*0.01</f>
        <v>0.1</v>
      </c>
      <c r="D26" s="311" t="n">
        <f aca="false">'Розрахункові параметриПеревірка'!H50</f>
        <v>3700</v>
      </c>
      <c r="E26" s="312" t="n">
        <f aca="false">IF(C26=0,E27,((1.05-0.1*C26/$H$3*(1-POWER(E27/D26,1/3)))*D26)/(0.71*POWER(E27/D26,1/3)*ATAN(1.35*2*C26/$H$3*POWER(D26/(6*E27),1/3))+(D26/E27)*2/PI()*ATAN($H$3/(2*C26*POWER(D26/(6*E27),1/3)))))</f>
        <v>372.45512821744</v>
      </c>
      <c r="F26" s="313" t="n">
        <f aca="false">C26/$H$3</f>
        <v>0.28992410954879</v>
      </c>
      <c r="G26" s="314" t="s">
        <v>247</v>
      </c>
      <c r="J26" s="315" t="n">
        <f aca="false">2.84/(10.2+C26)</f>
        <v>0.275728155339806</v>
      </c>
      <c r="K26" s="316" t="n">
        <f aca="false">0.9056*D26^(-0.285)</f>
        <v>0.0870961429037354</v>
      </c>
    </row>
    <row r="27" customFormat="false" ht="18.75" hidden="false" customHeight="false" outlineLevel="0" collapsed="false">
      <c r="B27" s="317" t="n">
        <v>2</v>
      </c>
      <c r="C27" s="318" t="n">
        <f aca="false">'Вхідні параметри'!$D$16*0.01</f>
        <v>0.1</v>
      </c>
      <c r="D27" s="319" t="n">
        <f aca="false">'Розрахункові параметриПеревірка'!Q50</f>
        <v>4500</v>
      </c>
      <c r="E27" s="312" t="n">
        <f aca="false">IF(C27=0,E28,((1.05-0.1*C27/$H$3*(1-POWER(E28/D27,1/3)))*D27)/(0.71*POWER(E28/D27,1/3)*ATAN(1.35*2*C27/$H$3*POWER(D27/(6*E28),1/3))+(D27/E28)*2/PI()*ATAN($H$3/(2*C27*POWER(D27/(6*E28),1/3)))))</f>
        <v>205.440686932336</v>
      </c>
      <c r="F27" s="313" t="n">
        <f aca="false">C27/$H$3</f>
        <v>0.28992410954879</v>
      </c>
      <c r="G27" s="314"/>
      <c r="J27" s="315" t="n">
        <f aca="false">2.84/(10.2+C27)</f>
        <v>0.275728155339806</v>
      </c>
      <c r="K27" s="316" t="n">
        <f aca="false">0.9056*D27^(-0.285)</f>
        <v>0.082370337874576</v>
      </c>
      <c r="M27" s="320" t="s">
        <v>248</v>
      </c>
    </row>
    <row r="28" customFormat="false" ht="18.75" hidden="false" customHeight="false" outlineLevel="0" collapsed="false">
      <c r="B28" s="321" t="n">
        <v>3</v>
      </c>
      <c r="C28" s="322" t="n">
        <f aca="false">'Вхідні параметри'!$D$17*0.01</f>
        <v>0.1</v>
      </c>
      <c r="D28" s="323" t="n">
        <f aca="false">'Розрахункові параметриПеревірка'!Z50</f>
        <v>2800</v>
      </c>
      <c r="E28" s="312" t="n">
        <f aca="false">IF(C28=0,E29,((1.05-0.1*C28/$H$3*(1-POWER(E29/D28,1/3)))*D28)/(0.71*POWER(E29/D28,1/3)*ATAN(1.35*2*C28/$H$3*POWER(D28/(6*E29),1/3))+(D28/E29)*2/PI()*ATAN($H$3/(2*C28*POWER(D28/(6*E29),1/3)))))</f>
        <v>90.4950152049059</v>
      </c>
      <c r="F28" s="313" t="n">
        <f aca="false">C28/$H$3</f>
        <v>0.28992410954879</v>
      </c>
      <c r="G28" s="314"/>
      <c r="J28" s="315" t="n">
        <f aca="false">2.84/(10.2+C28)</f>
        <v>0.275728155339806</v>
      </c>
      <c r="K28" s="316" t="n">
        <f aca="false">0.9056*D28^(-0.285)</f>
        <v>0.0942966740413545</v>
      </c>
      <c r="M28" s="324"/>
    </row>
    <row r="29" customFormat="false" ht="55.5" hidden="false" customHeight="true" outlineLevel="0" collapsed="false">
      <c r="B29" s="325" t="s">
        <v>249</v>
      </c>
      <c r="C29" s="325"/>
      <c r="D29" s="325"/>
      <c r="E29" s="326" t="n">
        <f aca="false">'Розрахункові параметриПеревірка'!$H$20</f>
        <v>35.5968</v>
      </c>
      <c r="F29" s="327"/>
      <c r="G29" s="328"/>
      <c r="J29" s="315"/>
      <c r="K29" s="316" t="n">
        <f aca="false">0.9056*E29^(-0.285)</f>
        <v>0.327178148697233</v>
      </c>
      <c r="M29" s="329" t="s">
        <v>250</v>
      </c>
      <c r="N29" s="28" t="s">
        <v>251</v>
      </c>
      <c r="O29" s="28"/>
      <c r="P29" s="28"/>
      <c r="Q29" s="28"/>
    </row>
    <row r="30" customFormat="false" ht="82.5" hidden="false" customHeight="true" outlineLevel="0" collapsed="false">
      <c r="M30" s="329"/>
      <c r="N30" s="28" t="s">
        <v>252</v>
      </c>
      <c r="O30" s="28"/>
      <c r="P30" s="330" t="s">
        <v>253</v>
      </c>
      <c r="Q30" s="330" t="s">
        <v>254</v>
      </c>
    </row>
    <row r="31" customFormat="false" ht="31.5" hidden="false" customHeight="false" outlineLevel="0" collapsed="false">
      <c r="M31" s="329"/>
      <c r="N31" s="330" t="s">
        <v>255</v>
      </c>
      <c r="O31" s="330" t="s">
        <v>256</v>
      </c>
      <c r="P31" s="330" t="s">
        <v>257</v>
      </c>
      <c r="Q31" s="330" t="s">
        <v>257</v>
      </c>
    </row>
    <row r="32" customFormat="false" ht="15.75" hidden="false" customHeight="false" outlineLevel="0" collapsed="false">
      <c r="M32" s="331" t="s">
        <v>86</v>
      </c>
      <c r="N32" s="330"/>
      <c r="O32" s="330"/>
      <c r="P32" s="330"/>
      <c r="Q32" s="330"/>
    </row>
    <row r="33" customFormat="false" ht="15.75" hidden="false" customHeight="false" outlineLevel="0" collapsed="false">
      <c r="M33" s="332" t="s">
        <v>258</v>
      </c>
      <c r="N33" s="330" t="n">
        <v>0.37</v>
      </c>
      <c r="O33" s="330" t="n">
        <v>0.37</v>
      </c>
      <c r="P33" s="330" t="n">
        <v>0.05</v>
      </c>
      <c r="Q33" s="330" t="n">
        <v>0.4</v>
      </c>
    </row>
    <row r="34" customFormat="false" ht="15.75" hidden="false" customHeight="false" outlineLevel="0" collapsed="false">
      <c r="M34" s="332" t="s">
        <v>259</v>
      </c>
      <c r="N34" s="330" t="n">
        <v>0.37</v>
      </c>
      <c r="O34" s="330" t="n">
        <v>0.37</v>
      </c>
      <c r="P34" s="330" t="n">
        <v>0.07</v>
      </c>
      <c r="Q34" s="330" t="n">
        <v>0.4</v>
      </c>
    </row>
    <row r="35" customFormat="false" ht="15.75" hidden="false" customHeight="false" outlineLevel="0" collapsed="false">
      <c r="M35" s="332" t="s">
        <v>260</v>
      </c>
      <c r="N35" s="330" t="n">
        <v>0.36</v>
      </c>
      <c r="O35" s="330" t="n">
        <v>0.36</v>
      </c>
      <c r="P35" s="330" t="n">
        <v>0.1</v>
      </c>
      <c r="Q35" s="330" t="n">
        <v>0.4</v>
      </c>
    </row>
    <row r="36" customFormat="false" ht="15.75" hidden="false" customHeight="false" outlineLevel="0" collapsed="false">
      <c r="M36" s="332" t="s">
        <v>261</v>
      </c>
      <c r="N36" s="330" t="n">
        <v>0.34</v>
      </c>
      <c r="O36" s="330" t="n">
        <v>0.34</v>
      </c>
      <c r="P36" s="330" t="n">
        <v>0.12</v>
      </c>
      <c r="Q36" s="330" t="n">
        <v>0.4</v>
      </c>
    </row>
    <row r="37" customFormat="false" ht="15.75" hidden="false" customHeight="false" outlineLevel="0" collapsed="false">
      <c r="M37" s="332" t="s">
        <v>262</v>
      </c>
      <c r="N37" s="330" t="n">
        <v>0.34</v>
      </c>
      <c r="O37" s="330" t="n">
        <v>0.31</v>
      </c>
      <c r="P37" s="330" t="n">
        <v>0.14</v>
      </c>
      <c r="Q37" s="330" t="n">
        <v>0.4</v>
      </c>
    </row>
    <row r="38" customFormat="false" ht="15.75" hidden="false" customHeight="false" outlineLevel="0" collapsed="false">
      <c r="M38" s="333" t="s">
        <v>263</v>
      </c>
      <c r="N38" s="330"/>
      <c r="O38" s="330"/>
      <c r="P38" s="330"/>
      <c r="Q38" s="330"/>
    </row>
    <row r="39" customFormat="false" ht="15.75" hidden="false" customHeight="false" outlineLevel="0" collapsed="false">
      <c r="M39" s="332" t="s">
        <v>264</v>
      </c>
      <c r="N39" s="330" t="n">
        <v>0.32</v>
      </c>
      <c r="O39" s="330" t="n">
        <v>0.3</v>
      </c>
      <c r="P39" s="330" t="n">
        <v>0.16</v>
      </c>
      <c r="Q39" s="330" t="n">
        <v>0.3</v>
      </c>
    </row>
    <row r="40" customFormat="false" ht="15.75" hidden="false" customHeight="false" outlineLevel="0" collapsed="false">
      <c r="M40" s="332" t="s">
        <v>265</v>
      </c>
      <c r="N40" s="330" t="n">
        <v>0.33</v>
      </c>
      <c r="O40" s="330" t="n">
        <v>0.27</v>
      </c>
      <c r="P40" s="330" t="n">
        <v>0.18</v>
      </c>
      <c r="Q40" s="330" t="n">
        <v>0.34</v>
      </c>
    </row>
    <row r="41" customFormat="false" ht="15.75" hidden="false" customHeight="false" outlineLevel="0" collapsed="false">
      <c r="M41" s="332" t="s">
        <v>258</v>
      </c>
      <c r="N41" s="330" t="n">
        <v>0.33</v>
      </c>
      <c r="O41" s="330" t="n">
        <v>0.33</v>
      </c>
      <c r="P41" s="330" t="n">
        <v>0.2</v>
      </c>
      <c r="Q41" s="330" t="n">
        <v>0.38</v>
      </c>
    </row>
    <row r="42" customFormat="false" ht="15.75" hidden="false" customHeight="false" outlineLevel="0" collapsed="false">
      <c r="M42" s="331" t="s">
        <v>266</v>
      </c>
      <c r="N42" s="330"/>
      <c r="O42" s="330"/>
      <c r="P42" s="330"/>
      <c r="Q42" s="330"/>
    </row>
    <row r="43" customFormat="false" ht="15.75" hidden="false" customHeight="false" outlineLevel="0" collapsed="false">
      <c r="M43" s="332" t="s">
        <v>267</v>
      </c>
      <c r="N43" s="330" t="n">
        <v>0.32</v>
      </c>
      <c r="O43" s="330" t="n">
        <v>0.27</v>
      </c>
      <c r="P43" s="330" t="n">
        <v>0.2</v>
      </c>
      <c r="Q43" s="330" t="n">
        <v>0.38</v>
      </c>
    </row>
    <row r="44" customFormat="false" ht="15.75" hidden="false" customHeight="false" outlineLevel="0" collapsed="false">
      <c r="M44" s="331" t="s">
        <v>268</v>
      </c>
      <c r="N44" s="330" t="n">
        <v>0.32</v>
      </c>
      <c r="O44" s="330" t="n">
        <v>0.27</v>
      </c>
      <c r="P44" s="330" t="n">
        <v>0.22</v>
      </c>
      <c r="Q44" s="330" t="n">
        <v>0.42</v>
      </c>
    </row>
    <row r="45" customFormat="false" ht="50.25" hidden="false" customHeight="true" outlineLevel="0" collapsed="false">
      <c r="M45" s="334" t="s">
        <v>269</v>
      </c>
      <c r="N45" s="334"/>
      <c r="O45" s="334"/>
      <c r="P45" s="334"/>
      <c r="Q45" s="334"/>
    </row>
    <row r="46" customFormat="false" ht="15.75" hidden="false" customHeight="true" outlineLevel="0" collapsed="false">
      <c r="M46" s="335" t="s">
        <v>270</v>
      </c>
      <c r="N46" s="335"/>
      <c r="O46" s="335"/>
      <c r="P46" s="335"/>
      <c r="Q46" s="335"/>
    </row>
    <row r="47" customFormat="false" ht="15" hidden="false" customHeight="false" outlineLevel="0" collapsed="false">
      <c r="M47" s="336"/>
      <c r="N47" s="336"/>
      <c r="O47" s="336"/>
      <c r="P47" s="336"/>
      <c r="Q47" s="336"/>
    </row>
    <row r="48" customFormat="false" ht="18.75" hidden="false" customHeight="true" outlineLevel="0" collapsed="false">
      <c r="M48" s="337" t="s">
        <v>271</v>
      </c>
      <c r="N48" s="337"/>
      <c r="O48" s="337"/>
      <c r="P48" s="337"/>
      <c r="Q48" s="337"/>
    </row>
    <row r="49" customFormat="false" ht="15" hidden="false" customHeight="false" outlineLevel="0" collapsed="false">
      <c r="M49" s="338"/>
      <c r="N49" s="338"/>
      <c r="O49" s="338"/>
      <c r="P49" s="338"/>
      <c r="Q49" s="338"/>
    </row>
    <row r="50" customFormat="false" ht="18.75" hidden="false" customHeight="true" outlineLevel="0" collapsed="false">
      <c r="M50" s="339" t="s">
        <v>272</v>
      </c>
      <c r="N50" s="339"/>
      <c r="O50" s="339"/>
      <c r="P50" s="339"/>
      <c r="Q50" s="339"/>
    </row>
    <row r="51" customFormat="false" ht="34.5" hidden="false" customHeight="true" outlineLevel="0" collapsed="false">
      <c r="M51" s="335" t="s">
        <v>273</v>
      </c>
      <c r="N51" s="335"/>
      <c r="O51" s="335"/>
      <c r="P51" s="335"/>
      <c r="Q51" s="335"/>
    </row>
    <row r="52" customFormat="false" ht="15" hidden="false" customHeight="false" outlineLevel="0" collapsed="false">
      <c r="M52" s="336"/>
      <c r="N52" s="336"/>
      <c r="O52" s="336"/>
      <c r="P52" s="336"/>
      <c r="Q52" s="336"/>
    </row>
    <row r="53" customFormat="false" ht="18.75" hidden="false" customHeight="true" outlineLevel="0" collapsed="false">
      <c r="M53" s="340" t="s">
        <v>274</v>
      </c>
      <c r="N53" s="340"/>
      <c r="O53" s="340"/>
      <c r="P53" s="340"/>
      <c r="Q53" s="340"/>
    </row>
    <row r="54" customFormat="false" ht="15" hidden="false" customHeight="false" outlineLevel="0" collapsed="false">
      <c r="M54" s="338"/>
      <c r="N54" s="338"/>
      <c r="O54" s="338"/>
      <c r="P54" s="338"/>
      <c r="Q54" s="338"/>
    </row>
    <row r="55" customFormat="false" ht="15.75" hidden="false" customHeight="true" outlineLevel="0" collapsed="false">
      <c r="M55" s="335" t="s">
        <v>275</v>
      </c>
      <c r="N55" s="335"/>
      <c r="O55" s="335"/>
      <c r="P55" s="335"/>
      <c r="Q55" s="335"/>
    </row>
    <row r="56" customFormat="false" ht="15" hidden="false" customHeight="false" outlineLevel="0" collapsed="false">
      <c r="M56" s="341"/>
      <c r="N56" s="341"/>
      <c r="O56" s="341"/>
      <c r="P56" s="341"/>
      <c r="Q56" s="341"/>
    </row>
    <row r="57" customFormat="false" ht="18.75" hidden="false" customHeight="true" outlineLevel="0" collapsed="false">
      <c r="M57" s="342" t="s">
        <v>276</v>
      </c>
      <c r="N57" s="342"/>
      <c r="O57" s="342"/>
      <c r="P57" s="342"/>
      <c r="Q57" s="342"/>
    </row>
  </sheetData>
  <mergeCells count="38">
    <mergeCell ref="B1:H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21:H21"/>
    <mergeCell ref="B22:H22"/>
    <mergeCell ref="M23:R23"/>
    <mergeCell ref="G26:G28"/>
    <mergeCell ref="B29:D29"/>
    <mergeCell ref="M29:M31"/>
    <mergeCell ref="N29:Q29"/>
    <mergeCell ref="N30:O30"/>
    <mergeCell ref="M45:Q45"/>
    <mergeCell ref="M46:Q46"/>
    <mergeCell ref="M47:Q47"/>
    <mergeCell ref="M48:Q48"/>
    <mergeCell ref="M49:Q49"/>
    <mergeCell ref="M50:Q50"/>
    <mergeCell ref="M51:Q51"/>
    <mergeCell ref="M52:Q52"/>
    <mergeCell ref="M53:Q53"/>
    <mergeCell ref="M54:Q54"/>
    <mergeCell ref="M55:Q55"/>
    <mergeCell ref="M56:Q56"/>
    <mergeCell ref="M57:Q57"/>
  </mergeCells>
  <conditionalFormatting sqref="H17">
    <cfRule type="cellIs" priority="2" operator="lessThan" aboveAverage="0" equalAverage="0" bottom="0" percent="0" rank="0" text="" dxfId="0">
      <formula>$H$2</formula>
    </cfRule>
    <cfRule type="cellIs" priority="3" operator="greaterThan" aboveAverage="0" equalAverage="0" bottom="0" percent="0" rank="0" text="" dxfId="1">
      <formula>$H$2</formula>
    </cfRule>
  </conditionalFormatting>
  <dataValidations count="1">
    <dataValidation allowBlank="true" operator="between" prompt="для автомобілів зі спареними балонами kb = 0,85&#10;для автомобілів з одним балоном kb = 1&#10;" promptTitle="kb" showDropDown="false" showErrorMessage="true" showInputMessage="true" sqref="H8"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6699"/>
    <pageSetUpPr fitToPage="false"/>
  </sheetPr>
  <dimension ref="B1:R26"/>
  <sheetViews>
    <sheetView windowProtection="false" showFormulas="false" showGridLines="true" showRowColHeaders="true" showZeros="true" rightToLeft="false" tabSelected="false" showOutlineSymbols="true" defaultGridColor="true" view="normal" topLeftCell="A11" colorId="64" zoomScale="65" zoomScaleNormal="65" zoomScalePageLayoutView="100" workbookViewId="0">
      <selection pane="topLeft" activeCell="A57" activeCellId="0" sqref="A57"/>
    </sheetView>
  </sheetViews>
  <sheetFormatPr defaultRowHeight="15"/>
  <cols>
    <col collapsed="false" hidden="false" max="1" min="1" style="0" width="4.3659793814433"/>
    <col collapsed="false" hidden="false" max="2" min="2" style="0" width="12.6855670103093"/>
    <col collapsed="false" hidden="false" max="3" min="3" style="0" width="13.3659793814433"/>
    <col collapsed="false" hidden="false" max="4" min="4" style="0" width="10.5"/>
    <col collapsed="false" hidden="false" max="5" min="5" style="0" width="14.0463917525773"/>
    <col collapsed="false" hidden="false" max="6" min="6" style="0" width="13.639175257732"/>
    <col collapsed="false" hidden="false" max="7" min="7" style="0" width="13.7731958762887"/>
    <col collapsed="false" hidden="false" max="8" min="8" style="0" width="16.3659793814433"/>
    <col collapsed="false" hidden="false" max="9" min="9" style="0" width="7.63917525773196"/>
    <col collapsed="false" hidden="false" max="10" min="10" style="0" width="10.3659793814433"/>
    <col collapsed="false" hidden="false" max="11" min="11" style="0" width="13.3659793814433"/>
    <col collapsed="false" hidden="false" max="12" min="12" style="0" width="12.4123711340206"/>
    <col collapsed="false" hidden="false" max="13" min="13" style="0" width="41.0515463917526"/>
    <col collapsed="false" hidden="false" max="14" min="14" style="0" width="15.4123711340206"/>
    <col collapsed="false" hidden="false" max="15" min="15" style="0" width="16.3659793814433"/>
    <col collapsed="false" hidden="false" max="1025" min="16" style="0" width="7.63917525773196"/>
  </cols>
  <sheetData>
    <row r="1" customFormat="false" ht="18.75" hidden="false" customHeight="false" outlineLevel="0" collapsed="false">
      <c r="B1" s="4" t="s">
        <v>134</v>
      </c>
      <c r="C1" s="201"/>
      <c r="D1" s="201"/>
      <c r="E1" s="201"/>
      <c r="F1" s="201"/>
      <c r="G1" s="201"/>
      <c r="H1" s="201"/>
      <c r="M1" s="4" t="s">
        <v>277</v>
      </c>
    </row>
    <row r="2" customFormat="false" ht="19.5" hidden="false" customHeight="true" outlineLevel="0" collapsed="false">
      <c r="B2" s="343" t="str">
        <f aca="false">IF('Вхідні параметри'!H10='Tаблиця Б РозрахПараметНавантаж'!E13,"Для розрахункового навантаження А1 розрахунок  конструкції нежорсткого дорожнього одягу за критерієм загального модуля пружності не виконується"," ")</f>
        <v> </v>
      </c>
      <c r="C2" s="343"/>
      <c r="D2" s="343"/>
      <c r="E2" s="343"/>
      <c r="F2" s="343"/>
      <c r="G2" s="343"/>
      <c r="H2" s="343"/>
      <c r="M2" s="244" t="s">
        <v>211</v>
      </c>
      <c r="N2" s="245" t="n">
        <f aca="false">SUM(C12:C21)</f>
        <v>0.8</v>
      </c>
      <c r="O2" s="344"/>
      <c r="P2" s="344"/>
      <c r="Q2" s="344"/>
      <c r="R2" s="344"/>
    </row>
    <row r="3" customFormat="false" ht="41.25" hidden="false" customHeight="true" outlineLevel="0" collapsed="false">
      <c r="B3" s="345" t="s">
        <v>278</v>
      </c>
      <c r="C3" s="345"/>
      <c r="D3" s="345"/>
      <c r="E3" s="345"/>
      <c r="F3" s="345"/>
      <c r="G3" s="345"/>
      <c r="H3" s="346" t="n">
        <f aca="false">'Розрахункові параметриПеревірка'!H8</f>
        <v>1.5</v>
      </c>
      <c r="M3" s="248" t="s">
        <v>212</v>
      </c>
      <c r="N3" s="249" t="n">
        <f aca="false">SUM(D12*C12,D13*C13,D14*C14,D15*C15,D16*C16,D17*C17,D18*C18,D19*C19,D20*C20,D21*C21)/N2</f>
        <v>1236.25</v>
      </c>
      <c r="O3" s="347"/>
      <c r="P3" s="347"/>
      <c r="Q3" s="347"/>
      <c r="R3" s="347"/>
    </row>
    <row r="4" customFormat="false" ht="37.5" hidden="false" customHeight="true" outlineLevel="0" collapsed="false">
      <c r="B4" s="348" t="s">
        <v>279</v>
      </c>
      <c r="C4" s="348"/>
      <c r="D4" s="348"/>
      <c r="E4" s="348"/>
      <c r="F4" s="348"/>
      <c r="G4" s="348"/>
      <c r="H4" s="349" t="n">
        <f aca="false">IF('Вхідні параметри'!H10='Tаблиця Б РозрахПараметНавантаж'!E13,"-",IF('Вхідні параметри'!H10='Tаблиця Б РозрахПараметНавантаж'!E14,315.68,IF('Вхідні параметри'!H10='Tаблиця Б РозрахПараметНавантаж'!E15,350.21,IF('Вхідні параметри'!H10='Tаблиця Б РозрахПараметНавантаж'!E16,409.4,"error"))))</f>
        <v>315.68</v>
      </c>
      <c r="M4" s="246" t="s">
        <v>214</v>
      </c>
      <c r="N4" s="253" t="n">
        <f aca="false">1/(N3*N2)*SQRT(SUM((D12*C12)^2*(J12+K12)^2,(D13*C13)^2*(J13+K13)^2,(D14*C14)^2*(J14+K14)^2,(D15*C15)^2*(J15+K15)^2,(D16*C16)^2*(J16+K16)^2,(D17*C17)^2*(J17+K17)^2,(D18*C18)^2*(J18+K18)^2,(D19*C19)^2*(J19+K19)^2,(D20*C20)^2*(J20+K20)^2,(D21*C21)^2*(J21+K21)^2))</f>
        <v>0.17953067888396</v>
      </c>
      <c r="O4" s="167"/>
      <c r="P4" s="167"/>
      <c r="Q4" s="167"/>
      <c r="R4" s="167"/>
    </row>
    <row r="5" customFormat="false" ht="34.5" hidden="false" customHeight="false" outlineLevel="0" collapsed="false">
      <c r="B5" s="350" t="s">
        <v>280</v>
      </c>
      <c r="C5" s="350"/>
      <c r="D5" s="350"/>
      <c r="E5" s="350"/>
      <c r="F5" s="350"/>
      <c r="G5" s="350"/>
      <c r="H5" s="351" t="n">
        <f aca="false">IF(AND('Вхідні параметри'!H4='Таблиця 6.1'!B4,42.843*LN('Вхідні параметри'!H27)-H4&lt;'Таблиця 6.6'!C7),'Таблиця 6.6'!C7,IF(AND('Вхідні параметри'!H4='Таблиця 6.6'!B8,42.843*LN('Вхідні параметри'!H27)-H4&lt;'Таблиця 6.6'!C8),'Таблиця 6.6'!C8,IF(AND('Вхідні параметри'!H4='Таблиця 6.6'!B9,42.843*LN('Вхідні параметри'!H27)-H4&lt;'Таблиця 6.6'!C9),'Таблиця 6.6'!C9,IF(AND('Вхідні параметри'!H4='Таблиця 6.6'!B10,42.843*LN('Вхідні параметри'!H27)-H4&lt;'Таблиця 6.6'!C10),'Таблиця 6.6'!C10,IF(AND('Вхідні параметри'!H4='Таблиця 6.6'!B10,42.843*LN('Вхідні параметри'!H27)-H4&lt;'Таблиця 6.6'!D10,'Вхідні параметри'!H9='Таблиця 6.6'!D5),'Таблиця 6.6'!D10,IF(AND('Вхідні параметри'!H4='Таблиця 6.6'!B11,42.843*LN('Вхідні параметри'!H27)-H4&lt;'Таблиця 6.6'!C11),'Таблиця 6.6'!C11,IF(AND('Вхідні параметри'!H4='Таблиця 6.6'!B11,42.843*LN('Вхідні параметри'!H27)-H4&lt;'Таблиця 6.6'!D11,'Вхідні параметри'!H9='Таблиця 6.6'!D5),'Таблиця 6.6'!D11,IF(AND('Вхідні параметри'!H4='Таблиця 6.6'!B11,42.843*LN('Вхідні параметри'!H27)-H4&lt;'Таблиця 6.6'!E11,'Вхідні параметри'!H9='Таблиця 6.6'!E5),'Таблиця 6.6'!E11,IF(AND('Вхідні параметри'!H4='Таблиця 6.6'!B12,42.843*LN('Вхідні параметри'!H27)-H4&lt;'Таблиця 6.6'!E12),'Таблиця 6.6'!E12,42.843*LN('Вхідні параметри'!H27)-H4)))))))))</f>
        <v>378.164813859402</v>
      </c>
      <c r="M5" s="246" t="s">
        <v>216</v>
      </c>
      <c r="N5" s="253" t="n">
        <f aca="false">1/N2*SQRT(SUM((J12*C12)^2,(J13*C13)^2,(J14*C14)^2,(J15*C15)^2,(J16*C16)^2,(J17*C17)^2,(J18*C18)^2,(J19*C19)^2,(J20*C20)^2,(J21*C21)^2))</f>
        <v>0.0974846242024172</v>
      </c>
    </row>
    <row r="6" customFormat="false" ht="34.5" hidden="false" customHeight="false" outlineLevel="0" collapsed="false">
      <c r="B6" s="350" t="s">
        <v>281</v>
      </c>
      <c r="C6" s="350"/>
      <c r="D6" s="350"/>
      <c r="E6" s="350"/>
      <c r="F6" s="350"/>
      <c r="G6" s="350"/>
      <c r="H6" s="352" t="n">
        <f aca="false">VLOOKUP('Вхідні параметри'!H4,Таблица28,5,0)</f>
        <v>150</v>
      </c>
      <c r="M6" s="250" t="s">
        <v>218</v>
      </c>
      <c r="N6" s="353" t="n">
        <f aca="false">VLOOKUP('Вхідні параметри'!H8,Таблица611[],5,0)</f>
        <v>0.2</v>
      </c>
    </row>
    <row r="7" customFormat="false" ht="34.5" hidden="false" customHeight="false" outlineLevel="0" collapsed="false">
      <c r="B7" s="350" t="s">
        <v>282</v>
      </c>
      <c r="C7" s="350"/>
      <c r="D7" s="350"/>
      <c r="E7" s="350"/>
      <c r="F7" s="350"/>
      <c r="G7" s="350"/>
      <c r="H7" s="354" t="n">
        <f aca="false">SQRT(4*'Розрахункові параметриПеревірка'!H29*10/(2*3.1415926*'Розрахункові параметриПеревірка'!H25))*0.01</f>
        <v>0.344917848176305</v>
      </c>
      <c r="M7" s="250" t="s">
        <v>220</v>
      </c>
      <c r="N7" s="353" t="n">
        <f aca="false">VLOOKUP('Вхідні параметри'!H8,Таблица611[],6,0)</f>
        <v>0.27</v>
      </c>
    </row>
    <row r="8" customFormat="false" ht="20.25" hidden="false" customHeight="false" outlineLevel="0" collapsed="false">
      <c r="B8" s="355" t="s">
        <v>283</v>
      </c>
      <c r="C8" s="355"/>
      <c r="D8" s="355"/>
      <c r="E8" s="355"/>
      <c r="F8" s="355"/>
      <c r="G8" s="355"/>
      <c r="H8" s="356" t="n">
        <f aca="false">E12/H5</f>
        <v>1.91461064234007</v>
      </c>
      <c r="M8" s="257" t="s">
        <v>88</v>
      </c>
      <c r="N8" s="258" t="n">
        <f aca="false">'Розрахункові параметриПеревірка'!H21</f>
        <v>16.3992</v>
      </c>
    </row>
    <row r="9" customFormat="false" ht="41.25" hidden="false" customHeight="true" outlineLevel="0" collapsed="false">
      <c r="B9" s="357" t="s">
        <v>284</v>
      </c>
      <c r="C9" s="357"/>
      <c r="D9" s="357"/>
      <c r="E9" s="357"/>
      <c r="F9" s="357"/>
      <c r="G9" s="357"/>
      <c r="H9" s="357"/>
      <c r="K9" s="154"/>
      <c r="L9" s="154"/>
      <c r="M9" s="261" t="s">
        <v>223</v>
      </c>
      <c r="N9" s="358" t="n">
        <f aca="false">H7</f>
        <v>0.344917848176305</v>
      </c>
      <c r="P9" s="154"/>
    </row>
    <row r="10" customFormat="false" ht="42.75" hidden="false" customHeight="true" outlineLevel="0" collapsed="false">
      <c r="B10" s="201" t="s">
        <v>285</v>
      </c>
      <c r="C10" s="201"/>
      <c r="D10" s="201"/>
      <c r="E10" s="201"/>
      <c r="F10" s="201"/>
      <c r="G10" s="201"/>
      <c r="H10" s="201"/>
      <c r="I10" s="359"/>
      <c r="J10" s="360"/>
      <c r="K10" s="359"/>
      <c r="L10" s="359"/>
      <c r="M10" s="265" t="s">
        <v>286</v>
      </c>
      <c r="N10" s="262" t="n">
        <f aca="false">VLOOKUP('Вхідні параметри'!H4,'Таблиця 6.1'!B4:M9,11,0)</f>
        <v>0.08</v>
      </c>
      <c r="P10" s="359"/>
      <c r="Q10" s="359"/>
      <c r="R10" s="359"/>
    </row>
    <row r="11" customFormat="false" ht="31.5" hidden="false" customHeight="false" outlineLevel="0" collapsed="false">
      <c r="B11" s="305" t="s">
        <v>239</v>
      </c>
      <c r="C11" s="306" t="s">
        <v>240</v>
      </c>
      <c r="D11" s="306" t="s">
        <v>241</v>
      </c>
      <c r="E11" s="307" t="s">
        <v>242</v>
      </c>
      <c r="F11" s="306" t="s">
        <v>243</v>
      </c>
      <c r="G11" s="308" t="s">
        <v>244</v>
      </c>
      <c r="I11" s="359"/>
      <c r="J11" s="306" t="s">
        <v>245</v>
      </c>
      <c r="K11" s="306" t="s">
        <v>246</v>
      </c>
      <c r="M11" s="361" t="s">
        <v>287</v>
      </c>
      <c r="N11" s="353" t="n">
        <f aca="false">VLOOKUP('Вхідні параметри'!H4,'Таблиця 6.1'!B4:M9,8,0)</f>
        <v>0.17</v>
      </c>
      <c r="P11" s="359"/>
      <c r="Q11" s="359"/>
      <c r="R11" s="359"/>
    </row>
    <row r="12" customFormat="false" ht="18.75" hidden="false" customHeight="false" outlineLevel="0" collapsed="false">
      <c r="B12" s="309" t="n">
        <v>1</v>
      </c>
      <c r="C12" s="310" t="n">
        <f aca="false">'Вхідні параметри'!$D$15*0.01</f>
        <v>0.1</v>
      </c>
      <c r="D12" s="311" t="n">
        <f aca="false">'Розрахункові параметриПеревірка'!$H$56</f>
        <v>2700</v>
      </c>
      <c r="E12" s="362" t="n">
        <f aca="false">IF(C12=0,E13,((1.05-0.1*C12/$H$7*(1-POWER(E13/D12,1/3)))*D12)/(0.71*POWER(E13/D12,1/3)*ATAN(1.35*2*C12/$H$7*POWER(D12/(6*E13),1/3))+(D12/E13)*2/PI()*ATAN($H$7/(2*C12*POWER(D12/(6*E13),1/3)))))</f>
        <v>724.038377173764</v>
      </c>
      <c r="F12" s="363" t="n">
        <f aca="false">C12/$H$7</f>
        <v>0.28992410954879</v>
      </c>
      <c r="G12" s="314" t="s">
        <v>247</v>
      </c>
      <c r="I12" s="359"/>
      <c r="J12" s="315" t="n">
        <f aca="false">2.84/(10.2+C12)</f>
        <v>0.275728155339806</v>
      </c>
      <c r="K12" s="316" t="n">
        <f aca="false">0.9056*D12^(-0.285)</f>
        <v>0.0952791208158631</v>
      </c>
      <c r="M12" s="261" t="s">
        <v>229</v>
      </c>
      <c r="N12" s="262" t="n">
        <f aca="false">MROUND((H8-1)/SQRT(N11^2*H8^2+N10^2),0.02)</f>
        <v>2.72</v>
      </c>
      <c r="P12" s="359"/>
      <c r="Q12" s="359"/>
      <c r="R12" s="359"/>
    </row>
    <row r="13" customFormat="false" ht="18.75" hidden="false" customHeight="false" outlineLevel="0" collapsed="false">
      <c r="B13" s="317" t="n">
        <v>2</v>
      </c>
      <c r="C13" s="318" t="n">
        <f aca="false">'Вхідні параметри'!$D$16*0.01</f>
        <v>0.1</v>
      </c>
      <c r="D13" s="319" t="n">
        <f aca="false">'Розрахункові параметриПеревірка'!$Q$56</f>
        <v>3200</v>
      </c>
      <c r="E13" s="364" t="n">
        <f aca="false">IF(C13=0,E14,((1.05-0.1*C13/$H$7*(1-POWER(E14/D13,1/3)))*D13)/(0.71*POWER(E14/D13,1/3)*ATAN(1.35*2*C13/$H$7*POWER(D13/(6*E14),1/3))+(D13/E14)*2/PI()*ATAN($H$7/(2*C13*POWER(D13/(6*E14),1/3)))))</f>
        <v>506.147062686301</v>
      </c>
      <c r="F13" s="365" t="n">
        <f aca="false">C13/$H$7</f>
        <v>0.28992410954879</v>
      </c>
      <c r="G13" s="314"/>
      <c r="I13" s="359"/>
      <c r="J13" s="315" t="n">
        <f aca="false">2.84/(10.2+C13)</f>
        <v>0.275728155339806</v>
      </c>
      <c r="K13" s="316" t="n">
        <f aca="false">0.9056*D13^(-0.285)</f>
        <v>0.0907755042423637</v>
      </c>
      <c r="M13" s="273" t="s">
        <v>173</v>
      </c>
      <c r="N13" s="366" t="n">
        <f aca="false">0.5+0.5*ERF(N12/SQRT(2))</f>
        <v>0.996735904184109</v>
      </c>
      <c r="P13" s="359"/>
      <c r="Q13" s="359"/>
      <c r="R13" s="359"/>
    </row>
    <row r="14" customFormat="false" ht="18.75" hidden="false" customHeight="false" outlineLevel="0" collapsed="false">
      <c r="B14" s="321" t="n">
        <v>3</v>
      </c>
      <c r="C14" s="322" t="n">
        <f aca="false">'Вхідні параметри'!$D$17*0.01</f>
        <v>0.1</v>
      </c>
      <c r="D14" s="323" t="n">
        <f aca="false">'Розрахункові параметриПеревірка'!$Z$56</f>
        <v>2000</v>
      </c>
      <c r="E14" s="312" t="n">
        <f aca="false">IF(C14=0,E15,((1.05-0.1*C14/$H$7*(1-POWER(E15/D14,1/3)))*D14)/(0.71*POWER(E15/D14,1/3)*ATAN(1.35*2*C14/$H$7*POWER(D14/(6*E15),1/3))+(D14/E15)*2/PI()*ATAN($H$7/(2*C14*POWER(D14/(6*E15),1/3)))))</f>
        <v>312.266818305322</v>
      </c>
      <c r="F14" s="313" t="n">
        <f aca="false">C14/$H$7</f>
        <v>0.28992410954879</v>
      </c>
      <c r="G14" s="314"/>
      <c r="I14" s="359"/>
      <c r="J14" s="315" t="n">
        <f aca="false">2.84/(10.2+C14)</f>
        <v>0.275728155339806</v>
      </c>
      <c r="K14" s="316" t="n">
        <f aca="false">0.9056*D14^(-0.285)</f>
        <v>0.103786977627543</v>
      </c>
      <c r="M14" s="277" t="s">
        <v>288</v>
      </c>
      <c r="N14" s="0" t="n">
        <v>0.05</v>
      </c>
      <c r="P14" s="359"/>
      <c r="Q14" s="359"/>
      <c r="R14" s="359"/>
    </row>
    <row r="15" customFormat="false" ht="18.75" hidden="false" customHeight="false" outlineLevel="0" collapsed="false">
      <c r="B15" s="309" t="n">
        <v>4</v>
      </c>
      <c r="C15" s="310" t="n">
        <f aca="false">'Вхідні параметри'!$D$18*0.01</f>
        <v>0.1</v>
      </c>
      <c r="D15" s="311" t="n">
        <f aca="false">'Розрахункові параметриПеревірка'!$H$64</f>
        <v>700</v>
      </c>
      <c r="E15" s="362" t="n">
        <f aca="false">IF(C15=0,E16,((1.05-0.1*C15/$H$7*(1-POWER(E16/D15,1/3)))*D15)/(0.71*POWER(E16/D15,1/3)*ATAN(1.35*2*C15/$H$7*POWER(D15/(6*E16),1/3))+(D15/E16)*2/PI()*ATAN($H$7/(2*C15*POWER(D15/(6*E16),1/3)))))</f>
        <v>192.054952511894</v>
      </c>
      <c r="F15" s="363" t="n">
        <f aca="false">C15/$H$7</f>
        <v>0.28992410954879</v>
      </c>
      <c r="G15" s="367" t="s">
        <v>289</v>
      </c>
      <c r="I15" s="359"/>
      <c r="J15" s="315" t="n">
        <f aca="false">2.84/(10.2+C15)</f>
        <v>0.275728155339806</v>
      </c>
      <c r="K15" s="316" t="n">
        <f aca="false">0.9056*D15^(-0.285)</f>
        <v>0.139985635246315</v>
      </c>
      <c r="P15" s="359"/>
      <c r="Q15" s="359"/>
      <c r="R15" s="359"/>
    </row>
    <row r="16" customFormat="false" ht="18.75" hidden="false" customHeight="false" outlineLevel="0" collapsed="false">
      <c r="B16" s="317" t="n">
        <v>5</v>
      </c>
      <c r="C16" s="318" t="n">
        <f aca="false">'Вхідні параметри'!$D$19*0.01</f>
        <v>0</v>
      </c>
      <c r="D16" s="319" t="n">
        <f aca="false">'Розрахункові параметриПеревірка'!$Q$64</f>
        <v>900</v>
      </c>
      <c r="E16" s="364" t="n">
        <f aca="false">IF(C16=0,E17,((1.05-0.1*C16/$H$7*(1-POWER(E17/D16,1/3)))*D16)/(0.71*POWER(E17/D16,1/3)*ATAN(1.35*2*C16/$H$7*POWER(D16/(6*E17),1/3))+(D16/E17)*2/PI()*ATAN($H$7/(2*C16*POWER(D16/(6*E17),1/3)))))</f>
        <v>134.993554032825</v>
      </c>
      <c r="F16" s="365" t="n">
        <f aca="false">C16/$H$7</f>
        <v>0</v>
      </c>
      <c r="G16" s="367"/>
      <c r="I16" s="359"/>
      <c r="J16" s="315" t="n">
        <f aca="false">2.84/(10.2+C16)</f>
        <v>0.27843137254902</v>
      </c>
      <c r="K16" s="316" t="n">
        <f aca="false">0.9056*D16^(-0.285)</f>
        <v>0.130309866138427</v>
      </c>
      <c r="P16" s="359"/>
      <c r="Q16" s="359"/>
      <c r="R16" s="359"/>
    </row>
    <row r="17" customFormat="false" ht="18.75" hidden="false" customHeight="false" outlineLevel="0" collapsed="false">
      <c r="B17" s="368" t="n">
        <v>6</v>
      </c>
      <c r="C17" s="369" t="n">
        <f aca="false">'Вхідні параметри'!$D$20*0.01</f>
        <v>0.1</v>
      </c>
      <c r="D17" s="370" t="n">
        <f aca="false">'Розрахункові параметриПеревірка'!$Z$64</f>
        <v>700</v>
      </c>
      <c r="E17" s="371" t="n">
        <f aca="false">IF(C17=0,E18,((1.05-0.1*C17/$H$7*(1-POWER(E18/D17,1/3)))*D17)/(0.71*POWER(E18/D17,1/3)*ATAN(1.35*2*C17/$H$7*POWER(D17/(6*E18),1/3))+(D17/E18)*2/PI()*ATAN($H$7/(2*C17*POWER(D17/(6*E18),1/3)))))</f>
        <v>134.993554032825</v>
      </c>
      <c r="F17" s="372" t="n">
        <f aca="false">C17/$H$7</f>
        <v>0.28992410954879</v>
      </c>
      <c r="G17" s="367"/>
      <c r="I17" s="359"/>
      <c r="J17" s="315" t="n">
        <f aca="false">2.84/(10.2+C17)</f>
        <v>0.275728155339806</v>
      </c>
      <c r="K17" s="316" t="n">
        <f aca="false">0.9056*D17^(-0.285)</f>
        <v>0.139985635246315</v>
      </c>
      <c r="P17" s="359"/>
      <c r="Q17" s="359"/>
      <c r="R17" s="359"/>
    </row>
    <row r="18" customFormat="false" ht="18.75" hidden="false" customHeight="false" outlineLevel="0" collapsed="false">
      <c r="B18" s="373" t="n">
        <v>7</v>
      </c>
      <c r="C18" s="374" t="n">
        <f aca="false">'Вхідні параметри'!$D$21*0.01</f>
        <v>0.1</v>
      </c>
      <c r="D18" s="375" t="n">
        <f aca="false">'Розрахункові параметриПеревірка'!$H$72</f>
        <v>280</v>
      </c>
      <c r="E18" s="376" t="n">
        <f aca="false">IF(C18=0,E19,((1.05-0.1*C18/$H$7*(1-POWER(E19/D18,1/3)))*D18)/(0.71*POWER(E19/D18,1/3)*ATAN(1.35*2*C18/$H$7*POWER(D18/(6*E19),1/3))+(D18/E19)*2/PI()*ATAN($H$7/(2*C18*POWER(D18/(6*E19),1/3)))))</f>
        <v>87.2972969894023</v>
      </c>
      <c r="F18" s="377" t="n">
        <f aca="false">C18/$H$7</f>
        <v>0.28992410954879</v>
      </c>
      <c r="G18" s="378" t="s">
        <v>290</v>
      </c>
      <c r="I18" s="359"/>
      <c r="J18" s="315" t="n">
        <f aca="false">2.84/(10.2+C18)</f>
        <v>0.275728155339806</v>
      </c>
      <c r="K18" s="316" t="n">
        <f aca="false">0.9056*D18^(-0.285)</f>
        <v>0.181759188445756</v>
      </c>
      <c r="P18" s="359"/>
      <c r="Q18" s="359"/>
      <c r="R18" s="359"/>
    </row>
    <row r="19" customFormat="false" ht="18.75" hidden="false" customHeight="false" outlineLevel="0" collapsed="false">
      <c r="B19" s="317" t="n">
        <v>8</v>
      </c>
      <c r="C19" s="318" t="n">
        <f aca="false">'Вхідні параметри'!$D$22*0.01</f>
        <v>0</v>
      </c>
      <c r="D19" s="319" t="n">
        <f aca="false">'Розрахункові параметриПеревірка'!$Q$72</f>
        <v>280</v>
      </c>
      <c r="E19" s="364" t="n">
        <f aca="false">IF(C19=0,E20,((1.05-0.1*C19/$H$7*(1-POWER(E20/D19,1/3)))*D19)/(0.71*POWER(E20/D19,1/3)*ATAN(1.35*2*C19/$H$7*POWER(D19/(6*E20),1/3))+(D19/E20)*2/PI()*ATAN($H$7/(2*C19*POWER(D19/(6*E20),1/3)))))</f>
        <v>63.284807817838</v>
      </c>
      <c r="F19" s="365" t="n">
        <f aca="false">C19/$H$7</f>
        <v>0</v>
      </c>
      <c r="G19" s="378"/>
      <c r="I19" s="359"/>
      <c r="J19" s="315" t="n">
        <f aca="false">2.84/(10.2+C19)</f>
        <v>0.27843137254902</v>
      </c>
      <c r="K19" s="316" t="n">
        <f aca="false">0.9056*D19^(-0.285)</f>
        <v>0.181759188445756</v>
      </c>
      <c r="P19" s="359"/>
      <c r="Q19" s="359"/>
      <c r="R19" s="359"/>
    </row>
    <row r="20" customFormat="false" ht="18.75" hidden="false" customHeight="false" outlineLevel="0" collapsed="false">
      <c r="B20" s="321" t="n">
        <v>9</v>
      </c>
      <c r="C20" s="322" t="n">
        <f aca="false">'Вхідні параметри'!$D$23*0.01</f>
        <v>0.1</v>
      </c>
      <c r="D20" s="323" t="n">
        <f aca="false">'Розрахункові параметриПеревірка'!$Z$72</f>
        <v>180</v>
      </c>
      <c r="E20" s="379" t="n">
        <f aca="false">IF(C20=0,E21,((1.05-0.1*C20/$H$7*(1-POWER(E21/D20,1/3)))*D20)/(0.71*POWER(E21/D20,1/3)*ATAN(1.35*2*C20/$H$7*POWER(D20/(6*E21),1/3))+(D20/E21)*2/PI()*ATAN($H$7/(2*C20*POWER(D20/(6*E21),1/3)))))</f>
        <v>63.284807817838</v>
      </c>
      <c r="F20" s="313" t="n">
        <f aca="false">C20/$H$7</f>
        <v>0.28992410954879</v>
      </c>
      <c r="G20" s="378"/>
      <c r="I20" s="359"/>
      <c r="J20" s="315" t="n">
        <f aca="false">2.84/(10.2+C20)</f>
        <v>0.275728155339806</v>
      </c>
      <c r="K20" s="316" t="n">
        <f aca="false">0.9056*D20^(-0.285)</f>
        <v>0.206150194975175</v>
      </c>
      <c r="P20" s="359"/>
      <c r="Q20" s="359"/>
      <c r="R20" s="359"/>
    </row>
    <row r="21" customFormat="false" ht="18.75" hidden="false" customHeight="false" outlineLevel="0" collapsed="false">
      <c r="B21" s="380" t="n">
        <v>10</v>
      </c>
      <c r="C21" s="322" t="n">
        <f aca="false">'Вхідні параметри'!$D$24*0.01</f>
        <v>0.1</v>
      </c>
      <c r="D21" s="381" t="n">
        <f aca="false">'Розрахункові параметриПеревірка'!$I$20</f>
        <v>130</v>
      </c>
      <c r="E21" s="379" t="n">
        <f aca="false">IF(C21=0,E22,((1.05-0.1*C21/$H$7*(1-POWER(E22/D21,1/3)))*D21)/(0.71*POWER(E22/D21,1/3)*ATAN(1.35*2*C21/$H$7*POWER(D21/(6*E22),1/3))+(D21/E22)*2/PI()*ATAN($H$7/(2*C21*POWER(D21/(6*E22),1/3)))))</f>
        <v>47.262712058436</v>
      </c>
      <c r="F21" s="382" t="n">
        <f aca="false">C21/$H$7</f>
        <v>0.28992410954879</v>
      </c>
      <c r="G21" s="367" t="s">
        <v>86</v>
      </c>
      <c r="I21" s="359"/>
      <c r="J21" s="315" t="n">
        <f aca="false">2.84/(10.2+C21)</f>
        <v>0.275728155339806</v>
      </c>
      <c r="K21" s="316" t="n">
        <f aca="false">0.9056*D21^(-0.285)</f>
        <v>0.226184353243738</v>
      </c>
      <c r="P21" s="359"/>
      <c r="Q21" s="359"/>
      <c r="R21" s="359"/>
    </row>
    <row r="22" customFormat="false" ht="35.25" hidden="false" customHeight="true" outlineLevel="0" collapsed="false">
      <c r="B22" s="325" t="s">
        <v>249</v>
      </c>
      <c r="C22" s="325"/>
      <c r="D22" s="325"/>
      <c r="E22" s="326" t="n">
        <f aca="false">'Розрахункові параметриПеревірка'!$H$20</f>
        <v>35.5968</v>
      </c>
      <c r="F22" s="327"/>
      <c r="G22" s="328"/>
      <c r="H22" s="201"/>
      <c r="I22" s="359"/>
      <c r="K22" s="316" t="n">
        <f aca="false">0.9056*E22^(-0.285)</f>
        <v>0.327178148697233</v>
      </c>
      <c r="P22" s="359"/>
      <c r="Q22" s="359"/>
      <c r="R22" s="359"/>
    </row>
    <row r="23" customFormat="false" ht="18.75" hidden="false" customHeight="false" outlineLevel="0" collapsed="false">
      <c r="I23" s="359"/>
      <c r="K23" s="204"/>
      <c r="P23" s="359"/>
      <c r="Q23" s="359"/>
      <c r="R23" s="359"/>
    </row>
    <row r="24" customFormat="false" ht="24" hidden="false" customHeight="true" outlineLevel="0" collapsed="false">
      <c r="B24" s="295" t="s">
        <v>140</v>
      </c>
      <c r="C24" s="296"/>
      <c r="D24" s="296"/>
      <c r="E24" s="296"/>
      <c r="F24" s="296"/>
      <c r="G24" s="297"/>
      <c r="H24" s="167"/>
      <c r="I24" s="359"/>
      <c r="J24" s="295" t="s">
        <v>140</v>
      </c>
      <c r="K24" s="296"/>
      <c r="L24" s="296"/>
      <c r="M24" s="296"/>
      <c r="N24" s="296"/>
      <c r="O24" s="297"/>
      <c r="P24" s="359"/>
      <c r="Q24" s="359"/>
      <c r="R24" s="359"/>
    </row>
    <row r="25" customFormat="false" ht="18.75" hidden="false" customHeight="false" outlineLevel="0" collapsed="false">
      <c r="B25" s="299"/>
      <c r="C25" s="300" t="n">
        <f aca="false">H3</f>
        <v>1.5</v>
      </c>
      <c r="D25" s="301" t="s">
        <v>141</v>
      </c>
      <c r="E25" s="300" t="n">
        <f aca="false">H8</f>
        <v>1.91461064234007</v>
      </c>
      <c r="F25" s="302" t="str">
        <f aca="false">IF(C25&lt;E25," виконується."," НЕвиконується.")</f>
        <v>виконується.</v>
      </c>
      <c r="G25" s="303"/>
      <c r="H25" s="360"/>
      <c r="I25" s="359"/>
      <c r="J25" s="299"/>
      <c r="K25" s="300" t="n">
        <f aca="false">'Розрахункові параметриПеревірка'!H5</f>
        <v>0.97</v>
      </c>
      <c r="L25" s="301" t="s">
        <v>141</v>
      </c>
      <c r="M25" s="383" t="n">
        <f aca="false">N13</f>
        <v>0.996735904184109</v>
      </c>
      <c r="N25" s="302" t="str">
        <f aca="false">IF(K25&lt;M25," виконується."," НЕвиконується.")</f>
        <v>виконується.</v>
      </c>
      <c r="O25" s="303"/>
      <c r="P25" s="359"/>
      <c r="Q25" s="359"/>
      <c r="R25" s="359"/>
    </row>
    <row r="26" customFormat="false" ht="41.25" hidden="false" customHeight="true" outlineLevel="0" collapsed="false">
      <c r="B26" s="304" t="str">
        <f aca="false">IF(C25&lt;E25,"Відповідно, вибрана конструкція задовольняє умову міцності за допустимим пружним прогином.","Відповідно, вибрана конструкція НЕзадовольняє умову міцності за допустимим пружним прогином.")</f>
        <v>Відповідно, вибрана конструкція задовольняє умову міцності за допустимим пружним прогином.</v>
      </c>
      <c r="C26" s="304"/>
      <c r="D26" s="304"/>
      <c r="E26" s="304"/>
      <c r="F26" s="304"/>
      <c r="G26" s="304"/>
      <c r="H26" s="384"/>
      <c r="J26" s="304" t="str">
        <f aca="false">IF(K25&lt;M25,"Відповідно, вибрана конструкція задовольняє умову надійності за допустимим пружним прогином.","Відповідно, вибрана конструкція НЕзадовольняє умову надійності за допустимим пружним прогином.")</f>
        <v>Відповідно, вибрана конструкція задовольняє умову надійності за допустимим пружним прогином.</v>
      </c>
      <c r="K26" s="304"/>
      <c r="L26" s="304"/>
      <c r="M26" s="304"/>
      <c r="N26" s="304"/>
      <c r="O26" s="304"/>
    </row>
  </sheetData>
  <mergeCells count="14">
    <mergeCell ref="B2:H2"/>
    <mergeCell ref="B3:G3"/>
    <mergeCell ref="B4:G4"/>
    <mergeCell ref="B5:G5"/>
    <mergeCell ref="B6:G6"/>
    <mergeCell ref="B7:G7"/>
    <mergeCell ref="B8:G8"/>
    <mergeCell ref="B9:H9"/>
    <mergeCell ref="G12:G14"/>
    <mergeCell ref="G15:G17"/>
    <mergeCell ref="G18:G20"/>
    <mergeCell ref="B22:D22"/>
    <mergeCell ref="B26:G26"/>
    <mergeCell ref="J26:O26"/>
  </mergeCells>
  <conditionalFormatting sqref="H8">
    <cfRule type="cellIs" priority="2" operator="lessThan" aboveAverage="0" equalAverage="0" bottom="0" percent="0" rank="0" text="" dxfId="0">
      <formula>$H$3</formula>
    </cfRule>
    <cfRule type="cellIs" priority="3" operator="greaterThan" aboveAverage="0" equalAverage="0" bottom="0" percent="0" rank="0" text="" dxfId="1">
      <formula>$H$3</formula>
    </cfRule>
    <cfRule type="cellIs" priority="4" operator="greaterThan" aboveAverage="0" equalAverage="0" bottom="0" percent="0" rank="0" text="" dxfId="2">
      <formula>$H$3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0000CC"/>
    <pageSetUpPr fitToPage="false"/>
  </sheetPr>
  <dimension ref="B1:O43"/>
  <sheetViews>
    <sheetView windowProtection="false" showFormulas="false" showGridLines="true" showRowColHeaders="true" showZeros="true" rightToLeft="false" tabSelected="false" showOutlineSymbols="true" defaultGridColor="true" view="normal" topLeftCell="F3" colorId="64" zoomScale="65" zoomScaleNormal="65" zoomScalePageLayoutView="100" workbookViewId="0">
      <selection pane="topLeft" activeCell="A57" activeCellId="0" sqref="A57"/>
    </sheetView>
  </sheetViews>
  <sheetFormatPr defaultRowHeight="15"/>
  <cols>
    <col collapsed="false" hidden="false" max="1" min="1" style="0" width="4.3659793814433"/>
    <col collapsed="false" hidden="false" max="3" min="2" style="0" width="7.63917525773196"/>
    <col collapsed="false" hidden="false" max="4" min="4" style="0" width="10.3659793814433"/>
    <col collapsed="false" hidden="false" max="5" min="5" style="0" width="14.0463917525773"/>
    <col collapsed="false" hidden="false" max="6" min="6" style="0" width="7.63917525773196"/>
    <col collapsed="false" hidden="false" max="7" min="7" style="0" width="41.3247422680412"/>
    <col collapsed="false" hidden="false" max="8" min="8" style="0" width="13.2268041237113"/>
    <col collapsed="false" hidden="false" max="9" min="9" style="0" width="10.9123711340206"/>
    <col collapsed="false" hidden="false" max="10" min="10" style="0" width="10.3659793814433"/>
    <col collapsed="false" hidden="false" max="11" min="11" style="0" width="58.7835051546392"/>
    <col collapsed="false" hidden="false" max="12" min="12" style="0" width="9.68556701030928"/>
    <col collapsed="false" hidden="false" max="14" min="13" style="0" width="7.63917525773196"/>
    <col collapsed="false" hidden="false" max="15" min="15" style="0" width="12.5463917525773"/>
    <col collapsed="false" hidden="false" max="1025" min="16" style="0" width="7.63917525773196"/>
  </cols>
  <sheetData>
    <row r="1" customFormat="false" ht="18.75" hidden="false" customHeight="false" outlineLevel="0" collapsed="false">
      <c r="B1" s="4" t="s">
        <v>291</v>
      </c>
      <c r="C1" s="201"/>
      <c r="D1" s="201"/>
      <c r="E1" s="201"/>
      <c r="F1" s="201"/>
      <c r="G1" s="201"/>
      <c r="H1" s="201"/>
      <c r="K1" s="4" t="s">
        <v>292</v>
      </c>
    </row>
    <row r="2" customFormat="false" ht="18.75" hidden="false" customHeight="false" outlineLevel="0" collapsed="false">
      <c r="B2" s="4"/>
      <c r="C2" s="201"/>
      <c r="D2" s="201"/>
      <c r="E2" s="201"/>
      <c r="F2" s="201"/>
      <c r="G2" s="201"/>
      <c r="H2" s="201" t="s">
        <v>293</v>
      </c>
      <c r="I2" s="201"/>
    </row>
    <row r="3" customFormat="false" ht="43.5" hidden="false" customHeight="true" outlineLevel="0" collapsed="false">
      <c r="B3" s="385" t="s">
        <v>294</v>
      </c>
      <c r="C3" s="385"/>
      <c r="D3" s="385"/>
      <c r="E3" s="385"/>
      <c r="F3" s="385"/>
      <c r="G3" s="385"/>
      <c r="H3" s="386" t="n">
        <f aca="false">'Розрахункові параметриПеревірка'!H9</f>
        <v>1.51</v>
      </c>
      <c r="I3" s="387"/>
      <c r="J3" s="359"/>
      <c r="K3" s="388" t="s">
        <v>214</v>
      </c>
      <c r="L3" s="389" t="n">
        <f aca="false">1/(H5*H4)*SQRT(SUM((D23*C23)^2*(K23+J23)^2,(D24*C24)^2*(K24+J24)^2,(D25*C25)^2*(K25+J25)^2,(D26*C26)^2*(K26+J26)^2,(D27*C27)^2*(K27+J27)^2,(D28*C28)^2*(K28+J28)^2,(D29*C29)^2*(K29+J29)^2,(D30*C30)^2*(K30+J30)^2,(D31*C31)^2*(K31+J31)^2,(D32*C32)^2*(K32+J32)^2))</f>
        <v>0.169232845622151</v>
      </c>
    </row>
    <row r="4" customFormat="false" ht="19.5" hidden="false" customHeight="false" outlineLevel="0" collapsed="false">
      <c r="B4" s="390" t="s">
        <v>211</v>
      </c>
      <c r="C4" s="390"/>
      <c r="D4" s="390"/>
      <c r="E4" s="390"/>
      <c r="F4" s="390"/>
      <c r="G4" s="390"/>
      <c r="H4" s="391" t="n">
        <f aca="false">SUM(C23:C32)</f>
        <v>0.8</v>
      </c>
      <c r="I4" s="147"/>
      <c r="J4" s="359"/>
      <c r="K4" s="392" t="s">
        <v>216</v>
      </c>
      <c r="L4" s="389" t="n">
        <f aca="false">1/H4*SQRT(SUM((J23*C23)^2,(J24*C24)^2,(J25*C25)^2,(J26*C26)^2,(J27*C27)^2,(J28*C28)^2,(J29*C29)^2,(J30*C30)^2,(J31*C31)^2,(J32*C32)^2))</f>
        <v>0.0974846242024172</v>
      </c>
    </row>
    <row r="5" customFormat="false" ht="21" hidden="false" customHeight="true" outlineLevel="0" collapsed="false">
      <c r="B5" s="393" t="s">
        <v>295</v>
      </c>
      <c r="C5" s="393"/>
      <c r="D5" s="393"/>
      <c r="E5" s="393"/>
      <c r="F5" s="393"/>
      <c r="G5" s="393"/>
      <c r="H5" s="249" t="n">
        <f aca="false">SUM(D23*C23,D24*C24,D25*C25,D26*C26,D27*C27,D28*C28,D29*C29,D30*C30,D31*C31,D32*C32)/H4</f>
        <v>717.5</v>
      </c>
      <c r="I5" s="394"/>
      <c r="J5" s="359"/>
      <c r="K5" s="395" t="s">
        <v>218</v>
      </c>
      <c r="L5" s="396" t="n">
        <f aca="false">VLOOKUP('Вхідні параметри'!H8,Таблица611[],5,0)</f>
        <v>0.2</v>
      </c>
    </row>
    <row r="6" customFormat="false" ht="34.5" hidden="false" customHeight="false" outlineLevel="0" collapsed="false">
      <c r="B6" s="393" t="s">
        <v>296</v>
      </c>
      <c r="C6" s="393"/>
      <c r="D6" s="393"/>
      <c r="E6" s="393"/>
      <c r="F6" s="393"/>
      <c r="G6" s="393"/>
      <c r="H6" s="397" t="n">
        <f aca="false">'Розрахункові параметриПеревірка'!H22</f>
        <v>0.0095988</v>
      </c>
      <c r="I6" s="147"/>
      <c r="J6" s="359"/>
      <c r="K6" s="395" t="s">
        <v>220</v>
      </c>
      <c r="L6" s="396" t="n">
        <f aca="false">VLOOKUP('Вхідні параметри'!H8,Таблица611[],6,0)</f>
        <v>0.27</v>
      </c>
    </row>
    <row r="7" customFormat="false" ht="59.25" hidden="false" customHeight="true" outlineLevel="0" collapsed="false">
      <c r="B7" s="398" t="s">
        <v>297</v>
      </c>
      <c r="C7" s="398"/>
      <c r="D7" s="398"/>
      <c r="E7" s="398"/>
      <c r="F7" s="398"/>
      <c r="G7" s="398"/>
      <c r="H7" s="391" t="n">
        <v>1</v>
      </c>
      <c r="I7" s="147"/>
      <c r="J7" s="359"/>
      <c r="K7" s="399" t="s">
        <v>88</v>
      </c>
      <c r="L7" s="400" t="n">
        <f aca="false">'Розрахункові параметриПеревірка'!H21</f>
        <v>16.3992</v>
      </c>
    </row>
    <row r="8" customFormat="false" ht="20.25" hidden="false" customHeight="true" outlineLevel="0" collapsed="false">
      <c r="B8" s="401" t="s">
        <v>298</v>
      </c>
      <c r="C8" s="401"/>
      <c r="D8" s="401"/>
      <c r="E8" s="401"/>
      <c r="F8" s="401"/>
      <c r="G8" s="401"/>
      <c r="H8" s="402" t="n">
        <f aca="false">1.816-0.15*LN('Розрахункові параметриПеревірка'!H30)</f>
        <v>0.528740243116929</v>
      </c>
      <c r="I8" s="403"/>
      <c r="J8" s="359"/>
      <c r="K8" s="404" t="s">
        <v>223</v>
      </c>
      <c r="L8" s="405" t="n">
        <f aca="false">РозрахДопПружПрогин!H7</f>
        <v>0.344917848176305</v>
      </c>
    </row>
    <row r="9" customFormat="false" ht="21" hidden="false" customHeight="true" outlineLevel="0" collapsed="false">
      <c r="B9" s="398" t="s">
        <v>299</v>
      </c>
      <c r="C9" s="398"/>
      <c r="D9" s="398"/>
      <c r="E9" s="398"/>
      <c r="F9" s="398"/>
      <c r="G9" s="398"/>
      <c r="H9" s="391" t="n">
        <f aca="false">VLOOKUP('Вхідні параметри'!H8,Таблица611[],4,0)</f>
        <v>1.5</v>
      </c>
      <c r="I9" s="147"/>
      <c r="J9" s="359"/>
      <c r="K9" s="404" t="s">
        <v>300</v>
      </c>
      <c r="L9" s="406" t="n">
        <f aca="false">VLOOKUP('Вхідні параметри'!H4,'Таблиця 6.1'!B4:M9,12,0)</f>
        <v>0.12</v>
      </c>
    </row>
    <row r="10" customFormat="false" ht="42.75" hidden="false" customHeight="true" outlineLevel="0" collapsed="false">
      <c r="B10" s="398" t="s">
        <v>301</v>
      </c>
      <c r="C10" s="398"/>
      <c r="D10" s="398"/>
      <c r="E10" s="398"/>
      <c r="F10" s="398"/>
      <c r="G10" s="398"/>
      <c r="H10" s="391" t="n">
        <v>1</v>
      </c>
      <c r="I10" s="147"/>
      <c r="J10" s="359"/>
      <c r="K10" s="407" t="s">
        <v>302</v>
      </c>
      <c r="L10" s="404" t="n">
        <f aca="false">VLOOKUP('Вхідні параметри'!H4,'Таблиця 6.1'!B4:M9,9,0)</f>
        <v>0.16</v>
      </c>
    </row>
    <row r="11" customFormat="false" ht="20.25" hidden="false" customHeight="false" outlineLevel="0" collapsed="false">
      <c r="B11" s="390" t="s">
        <v>303</v>
      </c>
      <c r="C11" s="390"/>
      <c r="D11" s="390"/>
      <c r="E11" s="390"/>
      <c r="F11" s="390"/>
      <c r="G11" s="390"/>
      <c r="H11" s="397" t="n">
        <f aca="false">H6*H7*H8*H9*H10</f>
        <v>0.00761290776844617</v>
      </c>
      <c r="I11" s="408"/>
      <c r="J11" s="359"/>
      <c r="K11" s="404" t="s">
        <v>304</v>
      </c>
      <c r="L11" s="409" t="n">
        <f aca="false">MROUND((H14-1)/SQRT(L10^2*H14^2+L9^2),0.02)</f>
        <v>2.1</v>
      </c>
    </row>
    <row r="12" customFormat="false" ht="22.5" hidden="false" customHeight="true" outlineLevel="0" collapsed="false">
      <c r="B12" s="398" t="s">
        <v>305</v>
      </c>
      <c r="C12" s="398"/>
      <c r="D12" s="398"/>
      <c r="E12" s="398"/>
      <c r="F12" s="398"/>
      <c r="G12" s="398"/>
      <c r="H12" s="397" t="n">
        <f aca="false">0.00001*(5-3*'Розрахункові параметриПеревірка'!H21)*H4</f>
        <v>-0.0003535808</v>
      </c>
      <c r="I12" s="408"/>
      <c r="J12" s="359"/>
      <c r="K12" s="404" t="s">
        <v>173</v>
      </c>
      <c r="L12" s="410" t="n">
        <f aca="false">0.5+0.5*ERF(L11/SQRT(2))</f>
        <v>0.982135579437183</v>
      </c>
    </row>
    <row r="13" customFormat="false" ht="21.75" hidden="false" customHeight="true" outlineLevel="0" collapsed="false">
      <c r="B13" s="398" t="s">
        <v>306</v>
      </c>
      <c r="C13" s="398"/>
      <c r="D13" s="398"/>
      <c r="E13" s="398"/>
      <c r="F13" s="398"/>
      <c r="G13" s="398"/>
      <c r="H13" s="397" t="n">
        <f aca="false">'Розрахункові параметриПеревірка'!$H$25*EXP(-'Розрахункові параметриПеревірка'!H21/33)/(4+57/25*(H4/РозрахДопПружПрогин!$H$7)^2*(H5/'Розрахункові параметриПеревірка'!H20)^(2/3))</f>
        <v>0.00513174055488983</v>
      </c>
      <c r="I13" s="408"/>
      <c r="J13" s="359"/>
    </row>
    <row r="14" customFormat="false" ht="18.75" hidden="false" customHeight="false" outlineLevel="0" collapsed="false">
      <c r="B14" s="411" t="s">
        <v>307</v>
      </c>
      <c r="C14" s="411"/>
      <c r="D14" s="411"/>
      <c r="E14" s="411"/>
      <c r="F14" s="411"/>
      <c r="G14" s="411"/>
      <c r="H14" s="412" t="n">
        <f aca="false">H11/(H12+H13)</f>
        <v>1.59327192035707</v>
      </c>
      <c r="I14" s="359"/>
    </row>
    <row r="15" customFormat="false" ht="18.75" hidden="false" customHeight="false" outlineLevel="0" collapsed="false">
      <c r="B15" s="295" t="s">
        <v>140</v>
      </c>
      <c r="C15" s="296"/>
      <c r="D15" s="296"/>
      <c r="E15" s="296"/>
      <c r="F15" s="296"/>
      <c r="G15" s="296"/>
      <c r="H15" s="413"/>
      <c r="I15" s="359"/>
      <c r="J15" s="359"/>
    </row>
    <row r="16" customFormat="false" ht="18.75" hidden="false" customHeight="false" outlineLevel="0" collapsed="false">
      <c r="B16" s="299"/>
      <c r="C16" s="414" t="n">
        <f aca="false">H3</f>
        <v>1.51</v>
      </c>
      <c r="D16" s="301" t="s">
        <v>141</v>
      </c>
      <c r="E16" s="414" t="n">
        <f aca="false">H14</f>
        <v>1.59327192035707</v>
      </c>
      <c r="F16" s="302" t="str">
        <f aca="false">IF(C16&lt;E16," виконується."," НЕвиконується.")</f>
        <v>виконується.</v>
      </c>
      <c r="G16" s="302"/>
      <c r="H16" s="303"/>
    </row>
    <row r="17" customFormat="false" ht="47.25" hidden="false" customHeight="true" outlineLevel="0" collapsed="false">
      <c r="B17" s="415" t="str">
        <f aca="false">IF(C16&lt;E16,"Відповідно, вибрана конструкція задовольняє умову міцності за критерієм опору зсуву земляного полотна.","Відповідно, вибрана конструкція НЕзадовольняє умову міцності за критерієм опору зсуву земляного полотна.")</f>
        <v>Відповідно, вибрана конструкція задовольняє умову міцності за критерієм опору зсуву земляного полотна.</v>
      </c>
      <c r="C17" s="415"/>
      <c r="D17" s="415"/>
      <c r="E17" s="415"/>
      <c r="F17" s="415"/>
      <c r="G17" s="415"/>
      <c r="H17" s="415"/>
    </row>
    <row r="18" customFormat="false" ht="26.25" hidden="false" customHeight="true" outlineLevel="0" collapsed="false">
      <c r="B18" s="298" t="s">
        <v>308</v>
      </c>
      <c r="C18" s="298"/>
      <c r="D18" s="298"/>
      <c r="E18" s="298"/>
      <c r="F18" s="298"/>
      <c r="G18" s="298"/>
      <c r="H18" s="298"/>
    </row>
    <row r="21" customFormat="false" ht="18.75" hidden="false" customHeight="false" outlineLevel="0" collapsed="false">
      <c r="B21" s="416" t="s">
        <v>238</v>
      </c>
      <c r="C21" s="417"/>
      <c r="D21" s="417"/>
      <c r="E21" s="417"/>
      <c r="F21" s="417"/>
      <c r="G21" s="418"/>
    </row>
    <row r="22" customFormat="false" ht="20.25" hidden="false" customHeight="false" outlineLevel="0" collapsed="false">
      <c r="B22" s="305" t="s">
        <v>239</v>
      </c>
      <c r="C22" s="306" t="s">
        <v>240</v>
      </c>
      <c r="D22" s="306" t="s">
        <v>241</v>
      </c>
      <c r="E22" s="307" t="s">
        <v>242</v>
      </c>
      <c r="F22" s="306" t="s">
        <v>243</v>
      </c>
      <c r="G22" s="419" t="s">
        <v>244</v>
      </c>
      <c r="J22" s="306" t="s">
        <v>245</v>
      </c>
      <c r="K22" s="306" t="s">
        <v>246</v>
      </c>
    </row>
    <row r="23" customFormat="false" ht="18.75" hidden="false" customHeight="false" outlineLevel="0" collapsed="false">
      <c r="B23" s="309" t="n">
        <v>1</v>
      </c>
      <c r="C23" s="310" t="n">
        <f aca="false">'Вхідні параметри'!$D$15*0.01</f>
        <v>0.1</v>
      </c>
      <c r="D23" s="311" t="n">
        <f aca="false">'Розрахункові параметриПеревірка'!H57</f>
        <v>1450</v>
      </c>
      <c r="E23" s="362" t="n">
        <f aca="false">IF(C23=0,E24,((1.05-0.1*C23/РозрахУмовЗсувуНевязких!$H$7*(1-POWER(E24/D23,1/3)))*D23)/(0.71*POWER(E24/D23,1/3)*ATAN(1.35*2*C23/РозрахУмовЗсувуНевязких!$H$7*POWER(D23/(6*E24),1/3))+(D23/E24)*2/PI()*ATAN(РозрахУмовЗсувуНевязких!$H$7/(2*C23*POWER(D23/(6*E24),1/3)))))</f>
        <v>151.487984800626</v>
      </c>
      <c r="F23" s="363" t="n">
        <f aca="false">C23/РозрахУмовЗсувуНевязких!$H$7</f>
        <v>0.1</v>
      </c>
      <c r="G23" s="314" t="s">
        <v>247</v>
      </c>
      <c r="J23" s="315" t="n">
        <f aca="false">2.84/(10.2+C23)</f>
        <v>0.275728155339806</v>
      </c>
      <c r="K23" s="316" t="n">
        <f aca="false">0.9056*D23^(-0.285)</f>
        <v>0.113748723905592</v>
      </c>
    </row>
    <row r="24" customFormat="false" ht="18.75" hidden="false" customHeight="false" outlineLevel="0" collapsed="false">
      <c r="B24" s="317" t="n">
        <v>2</v>
      </c>
      <c r="C24" s="318" t="n">
        <f aca="false">'Вхідні параметри'!$D$16*0.01</f>
        <v>0.1</v>
      </c>
      <c r="D24" s="319" t="n">
        <f aca="false">'Розрахункові параметриПеревірка'!Q57</f>
        <v>1350</v>
      </c>
      <c r="E24" s="364" t="n">
        <f aca="false">IF(C24=0,E25,((1.05-0.1*C24/РозрахУмовЗсувуНевязких!$H$7*(1-POWER(E25/D24,1/3)))*D24)/(0.71*POWER(E25/D24,1/3)*ATAN(1.35*2*C24/РозрахУмовЗсувуНевязких!$H$7*POWER(D24/(6*E25),1/3))+(D24/E25)*2/PI()*ATAN(РозрахУмовЗсувуНевязких!$H$7/(2*C24*POWER(D24/(6*E25),1/3)))))</f>
        <v>123.682007798971</v>
      </c>
      <c r="F24" s="365" t="n">
        <f aca="false">C24/РозрахУмовЗсувуНевязких!$H$7</f>
        <v>0.1</v>
      </c>
      <c r="G24" s="314"/>
      <c r="J24" s="315" t="n">
        <f aca="false">2.84/(10.2+C24)</f>
        <v>0.275728155339806</v>
      </c>
      <c r="K24" s="316" t="n">
        <f aca="false">0.9056*D24^(-0.285)</f>
        <v>0.116089058715996</v>
      </c>
    </row>
    <row r="25" customFormat="false" ht="18.75" hidden="false" customHeight="false" outlineLevel="0" collapsed="false">
      <c r="B25" s="321" t="n">
        <v>3</v>
      </c>
      <c r="C25" s="322" t="n">
        <f aca="false">'Вхідні параметри'!$D$17*0.01</f>
        <v>0.1</v>
      </c>
      <c r="D25" s="323" t="n">
        <f aca="false">'Розрахункові параметриПеревірка'!Z57</f>
        <v>950</v>
      </c>
      <c r="E25" s="312" t="n">
        <f aca="false">IF(C25=0,E26,((1.05-0.1*C25/РозрахУмовЗсувуНевязких!$H$7*(1-POWER(E26/D25,1/3)))*D25)/(0.71*POWER(E26/D25,1/3)*ATAN(1.35*2*C25/РозрахУмовЗсувуНевязких!$H$7*POWER(D25/(6*E26),1/3))+(D25/E26)*2/PI()*ATAN(РозрахУмовЗсувуНевязких!$H$7/(2*C25*POWER(D25/(6*E26),1/3)))))</f>
        <v>100.009854543309</v>
      </c>
      <c r="F25" s="313" t="n">
        <f aca="false">C25/РозрахУмовЗсувуНевязких!$H$7</f>
        <v>0.1</v>
      </c>
      <c r="G25" s="314"/>
      <c r="J25" s="315" t="n">
        <f aca="false">2.84/(10.2+C25)</f>
        <v>0.275728155339806</v>
      </c>
      <c r="K25" s="316" t="n">
        <f aca="false">0.9056*D25^(-0.285)</f>
        <v>0.128317292184162</v>
      </c>
    </row>
    <row r="26" customFormat="false" ht="18.75" hidden="false" customHeight="false" outlineLevel="0" collapsed="false">
      <c r="B26" s="309" t="n">
        <v>4</v>
      </c>
      <c r="C26" s="310" t="n">
        <f aca="false">'Вхідні параметри'!$D$18*0.01</f>
        <v>0.1</v>
      </c>
      <c r="D26" s="311" t="n">
        <f aca="false">'Розрахункові параметриПеревірка'!H64</f>
        <v>700</v>
      </c>
      <c r="E26" s="362" t="n">
        <f aca="false">IF(C26=0,E27,((1.05-0.1*C26/РозрахУмовЗсувуНевязких!$H$7*(1-POWER(E27/D26,1/3)))*D26)/(0.71*POWER(E27/D26,1/3)*ATAN(1.35*2*C26/РозрахУмовЗсувуНевязких!$H$7*POWER(D26/(6*E27),1/3))+(D26/E27)*2/PI()*ATAN(РозрахУмовЗсувуНевязких!$H$7/(2*C26*POWER(D26/(6*E27),1/3)))))</f>
        <v>81.6978720176874</v>
      </c>
      <c r="F26" s="363" t="n">
        <f aca="false">C26/РозрахУмовЗсувуНевязких!$H$7</f>
        <v>0.1</v>
      </c>
      <c r="G26" s="367" t="s">
        <v>289</v>
      </c>
      <c r="J26" s="315" t="n">
        <f aca="false">2.84/(10.2+C26)</f>
        <v>0.275728155339806</v>
      </c>
      <c r="K26" s="316" t="n">
        <f aca="false">0.9056*D26^(-0.285)</f>
        <v>0.139985635246315</v>
      </c>
    </row>
    <row r="27" customFormat="false" ht="18.75" hidden="false" customHeight="false" outlineLevel="0" collapsed="false">
      <c r="B27" s="317" t="n">
        <v>5</v>
      </c>
      <c r="C27" s="318" t="n">
        <f aca="false">'Вхідні параметри'!$D$19*0.01</f>
        <v>0</v>
      </c>
      <c r="D27" s="319" t="n">
        <f aca="false">'Розрахункові параметриПеревірка'!$Q$64</f>
        <v>900</v>
      </c>
      <c r="E27" s="364" t="n">
        <f aca="false">IF(C27=0,E28,((1.05-0.1*C27/РозрахУмовЗсувуНевязких!$H$7*(1-POWER(E28/D27,1/3)))*D27)/(0.71*POWER(E28/D27,1/3)*ATAN(1.35*2*C27/РозрахУмовЗсувуНевязких!$H$7*POWER(D27/(6*E28),1/3))+(D27/E28)*2/PI()*ATAN(РозрахУмовЗсувуНевязких!$H$7/(2*C27*POWER(D27/(6*E28),1/3)))))</f>
        <v>67.2338364373641</v>
      </c>
      <c r="F27" s="365" t="n">
        <f aca="false">C27/РозрахУмовЗсувуНевязких!$H$7</f>
        <v>0</v>
      </c>
      <c r="G27" s="367"/>
      <c r="J27" s="315" t="n">
        <f aca="false">2.84/(10.2+C27)</f>
        <v>0.27843137254902</v>
      </c>
      <c r="K27" s="316" t="n">
        <f aca="false">0.9056*D27^(-0.285)</f>
        <v>0.130309866138427</v>
      </c>
    </row>
    <row r="28" customFormat="false" ht="18.75" hidden="false" customHeight="false" outlineLevel="0" collapsed="false">
      <c r="B28" s="368" t="n">
        <v>6</v>
      </c>
      <c r="C28" s="369" t="n">
        <f aca="false">'Вхідні параметри'!$D$20*0.01</f>
        <v>0.1</v>
      </c>
      <c r="D28" s="370" t="n">
        <f aca="false">'Розрахункові параметриПеревірка'!$Z$64</f>
        <v>700</v>
      </c>
      <c r="E28" s="371" t="n">
        <f aca="false">IF(C28=0,E29,((1.05-0.1*C28/РозрахУмовЗсувуНевязких!$H$7*(1-POWER(E29/D28,1/3)))*D28)/(0.71*POWER(E29/D28,1/3)*ATAN(1.35*2*C28/РозрахУмовЗсувуНевязких!$H$7*POWER(D28/(6*E29),1/3))+(D28/E29)*2/PI()*ATAN(РозрахУмовЗсувуНевязких!$H$7/(2*C28*POWER(D28/(6*E29),1/3)))))</f>
        <v>67.2338364373641</v>
      </c>
      <c r="F28" s="372" t="n">
        <f aca="false">C28/РозрахУмовЗсувуНевязких!$H$7</f>
        <v>0.1</v>
      </c>
      <c r="G28" s="367"/>
      <c r="J28" s="315" t="n">
        <f aca="false">2.84/(10.2+C28)</f>
        <v>0.275728155339806</v>
      </c>
      <c r="K28" s="316" t="n">
        <f aca="false">0.9056*D28^(-0.285)</f>
        <v>0.139985635246315</v>
      </c>
    </row>
    <row r="29" customFormat="false" ht="18.75" hidden="false" customHeight="false" outlineLevel="0" collapsed="false">
      <c r="B29" s="373" t="n">
        <v>7</v>
      </c>
      <c r="C29" s="374" t="n">
        <f aca="false">'Вхідні параметри'!$D$21*0.01</f>
        <v>0.1</v>
      </c>
      <c r="D29" s="375" t="n">
        <f aca="false">'Розрахункові параметриПеревірка'!$H$72</f>
        <v>280</v>
      </c>
      <c r="E29" s="376" t="n">
        <f aca="false">IF(C29=0,E30,((1.05-0.1*C29/РозрахУмовЗсувуНевязких!$H$7*(1-POWER(E30/D29,1/3)))*D29)/(0.71*POWER(E30/D29,1/3)*ATAN(1.35*2*C29/РозрахУмовЗсувуНевязких!$H$7*POWER(D29/(6*E30),1/3))+(D29/E30)*2/PI()*ATAN(РозрахУмовЗсувуНевязких!$H$7/(2*C29*POWER(D29/(6*E30),1/3)))))</f>
        <v>54.5564552896174</v>
      </c>
      <c r="F29" s="377" t="n">
        <f aca="false">C29/РозрахУмовЗсувуНевязких!$H$7</f>
        <v>0.1</v>
      </c>
      <c r="G29" s="378" t="s">
        <v>290</v>
      </c>
      <c r="J29" s="315" t="n">
        <f aca="false">2.84/(10.2+C29)</f>
        <v>0.275728155339806</v>
      </c>
      <c r="K29" s="316" t="n">
        <f aca="false">0.9056*D29^(-0.285)</f>
        <v>0.181759188445756</v>
      </c>
    </row>
    <row r="30" customFormat="false" ht="18.75" hidden="false" customHeight="false" outlineLevel="0" collapsed="false">
      <c r="B30" s="317" t="n">
        <v>8</v>
      </c>
      <c r="C30" s="318" t="n">
        <f aca="false">'Вхідні параметри'!$D$22*0.01</f>
        <v>0</v>
      </c>
      <c r="D30" s="319" t="n">
        <f aca="false">'Розрахункові параметриПеревірка'!$Q$72</f>
        <v>280</v>
      </c>
      <c r="E30" s="364" t="n">
        <f aca="false">IF(C30=0,E31,((1.05-0.1*C30/РозрахУмовЗсувуНевязких!$H$7*(1-POWER(E31/D30,1/3)))*D30)/(0.71*POWER(E31/D30,1/3)*ATAN(1.35*2*C30/РозрахУмовЗсувуНевязких!$H$7*POWER(D30/(6*E31),1/3))+(D30/E31)*2/PI()*ATAN(РозрахУмовЗсувуНевязких!$H$7/(2*C30*POWER(D30/(6*E31),1/3)))))</f>
        <v>46.5107449676471</v>
      </c>
      <c r="F30" s="365" t="n">
        <f aca="false">C30/РозрахУмовЗсувуНевязких!$H$7</f>
        <v>0</v>
      </c>
      <c r="G30" s="378"/>
      <c r="J30" s="315" t="n">
        <f aca="false">2.84/(10.2+C30)</f>
        <v>0.27843137254902</v>
      </c>
      <c r="K30" s="316" t="n">
        <f aca="false">0.9056*D30^(-0.285)</f>
        <v>0.181759188445756</v>
      </c>
    </row>
    <row r="31" customFormat="false" ht="18.75" hidden="false" customHeight="false" outlineLevel="0" collapsed="false">
      <c r="B31" s="321" t="n">
        <v>9</v>
      </c>
      <c r="C31" s="322" t="n">
        <f aca="false">'Вхідні параметри'!$D$23*0.01</f>
        <v>0.1</v>
      </c>
      <c r="D31" s="323" t="n">
        <f aca="false">'Розрахункові параметриПеревірка'!$Z$72</f>
        <v>180</v>
      </c>
      <c r="E31" s="379" t="n">
        <f aca="false">IF(C31=0,E32,((1.05-0.1*C31/РозрахУмовЗсувуНевязких!$H$7*(1-POWER(E32/D31,1/3)))*D31)/(0.71*POWER(E32/D31,1/3)*ATAN(1.35*2*C31/РозрахУмовЗсувуНевязких!$H$7*POWER(D31/(6*E32),1/3))+(D31/E32)*2/PI()*ATAN(РозрахУмовЗсувуНевязких!$H$7/(2*C31*POWER(D31/(6*E32),1/3)))))</f>
        <v>46.5107449676471</v>
      </c>
      <c r="F31" s="313" t="n">
        <f aca="false">C31/РозрахУмовЗсувуНевязких!$H$7</f>
        <v>0.1</v>
      </c>
      <c r="G31" s="378"/>
      <c r="J31" s="315" t="n">
        <f aca="false">2.84/(10.2+C31)</f>
        <v>0.275728155339806</v>
      </c>
      <c r="K31" s="316" t="n">
        <f aca="false">0.9056*D31^(-0.285)</f>
        <v>0.206150194975175</v>
      </c>
    </row>
    <row r="32" customFormat="false" ht="18.75" hidden="false" customHeight="false" outlineLevel="0" collapsed="false">
      <c r="B32" s="380" t="n">
        <v>10</v>
      </c>
      <c r="C32" s="322" t="n">
        <f aca="false">'Вхідні параметри'!$D$24*0.01</f>
        <v>0.1</v>
      </c>
      <c r="D32" s="381" t="n">
        <f aca="false">'Розрахункові параметриПеревірка'!$I$20</f>
        <v>130</v>
      </c>
      <c r="E32" s="379" t="n">
        <f aca="false">IF(C32=0,E33,((1.05-0.1*C32/РозрахУмовЗсувуНевязких!$H$7*(1-POWER(E33/D32,1/3)))*D32)/(0.71*POWER(E33/D32,1/3)*ATAN(1.35*2*C32/РозрахУмовЗсувуНевязких!$H$7*POWER(D32/(6*E33),1/3))+(D32/E33)*2/PI()*ATAN(РозрахУмовЗсувуНевязких!$H$7/(2*C32*POWER(D32/(6*E33),1/3)))))</f>
        <v>40.4247522360653</v>
      </c>
      <c r="F32" s="382" t="n">
        <f aca="false">C32/РозрахУмовЗсувуНевязких!$H$7</f>
        <v>0.1</v>
      </c>
      <c r="G32" s="367" t="s">
        <v>86</v>
      </c>
      <c r="J32" s="315" t="n">
        <f aca="false">2.84/(10.2+C32)</f>
        <v>0.275728155339806</v>
      </c>
      <c r="K32" s="316" t="n">
        <f aca="false">0.9056*D32^(-0.285)</f>
        <v>0.226184353243738</v>
      </c>
    </row>
    <row r="33" customFormat="false" ht="19.5" hidden="false" customHeight="true" outlineLevel="0" collapsed="false">
      <c r="B33" s="325" t="s">
        <v>249</v>
      </c>
      <c r="C33" s="325"/>
      <c r="D33" s="325"/>
      <c r="E33" s="326" t="n">
        <f aca="false">'Розрахункові параметриПеревірка'!$H$20</f>
        <v>35.5968</v>
      </c>
      <c r="F33" s="327"/>
      <c r="G33" s="328"/>
      <c r="K33" s="316" t="n">
        <f aca="false">0.9056*E33^(-0.285)</f>
        <v>0.327178148697233</v>
      </c>
    </row>
    <row r="34" customFormat="false" ht="18.75" hidden="false" customHeight="false" outlineLevel="0" collapsed="false">
      <c r="K34" s="204"/>
    </row>
    <row r="35" customFormat="false" ht="18.75" hidden="false" customHeight="false" outlineLevel="0" collapsed="false">
      <c r="B35" s="295" t="s">
        <v>140</v>
      </c>
      <c r="C35" s="296"/>
      <c r="D35" s="296"/>
      <c r="E35" s="296"/>
      <c r="F35" s="296"/>
      <c r="G35" s="297"/>
      <c r="J35" s="295" t="s">
        <v>140</v>
      </c>
      <c r="K35" s="296"/>
      <c r="L35" s="296"/>
      <c r="M35" s="296"/>
      <c r="N35" s="296"/>
      <c r="O35" s="297"/>
    </row>
    <row r="36" customFormat="false" ht="18.75" hidden="false" customHeight="false" outlineLevel="0" collapsed="false">
      <c r="B36" s="299"/>
      <c r="C36" s="300" t="n">
        <f aca="false">H3</f>
        <v>1.51</v>
      </c>
      <c r="D36" s="301" t="s">
        <v>141</v>
      </c>
      <c r="E36" s="300" t="n">
        <f aca="false">H14</f>
        <v>1.59327192035707</v>
      </c>
      <c r="F36" s="302" t="str">
        <f aca="false">IF(C36&lt;E36," виконується."," НЕвиконується.")</f>
        <v>виконується.</v>
      </c>
      <c r="G36" s="303"/>
      <c r="J36" s="299"/>
      <c r="K36" s="300" t="n">
        <f aca="false">'Розрахункові параметриПеревірка'!H5</f>
        <v>0.97</v>
      </c>
      <c r="L36" s="301" t="s">
        <v>141</v>
      </c>
      <c r="M36" s="300" t="n">
        <f aca="false">L12</f>
        <v>0.982135579437183</v>
      </c>
      <c r="N36" s="302" t="str">
        <f aca="false">IF(K36&lt;M36," виконується."," НЕвиконується.")</f>
        <v>виконується.</v>
      </c>
      <c r="O36" s="303"/>
    </row>
    <row r="37" customFormat="false" ht="45" hidden="false" customHeight="true" outlineLevel="0" collapsed="false">
      <c r="B37" s="304" t="str">
        <f aca="false">IF(C36&lt;E36,"Відповідно, вибрана конструкція задовольняє умову міцності за допустимим зсувом грунтового покриття.","Відповідно, вибрана конструкція НЕзадовольняє умову міцності за допустимим зчувом грунтового покриття.")</f>
        <v>Відповідно, вибрана конструкція задовольняє умову міцності за допустимим зсувом грунтового покриття.</v>
      </c>
      <c r="C37" s="304"/>
      <c r="D37" s="304"/>
      <c r="E37" s="304"/>
      <c r="F37" s="304"/>
      <c r="G37" s="304"/>
      <c r="J37" s="304" t="str">
        <f aca="false">IF(K36&lt;M36,"Відповідно, вибрана конструкція задовольняє умову надійності за критерієм опору зсуву земляного полотна.","Відповідно, вибрана конструкція Незадовольняє умову надійності за критерієм опору зсуву земляного полотна.")</f>
        <v>Відповідно, вибрана конструкція задовольняє умову надійності за критерієм опору зсуву земляного полотна.</v>
      </c>
      <c r="K37" s="304"/>
      <c r="L37" s="304"/>
      <c r="M37" s="304"/>
      <c r="N37" s="304"/>
      <c r="O37" s="304"/>
    </row>
    <row r="42" customFormat="false" ht="36.75" hidden="false" customHeight="true" outlineLevel="0" collapsed="false"/>
    <row r="43" customFormat="false" ht="18.75" hidden="false" customHeight="true" outlineLevel="0" collapsed="false"/>
  </sheetData>
  <mergeCells count="20">
    <mergeCell ref="B3:G3"/>
    <mergeCell ref="B4:G4"/>
    <mergeCell ref="B5:G5"/>
    <mergeCell ref="B6:G6"/>
    <mergeCell ref="B7:G7"/>
    <mergeCell ref="B8:G8"/>
    <mergeCell ref="B9:G9"/>
    <mergeCell ref="B10:G10"/>
    <mergeCell ref="B11:G11"/>
    <mergeCell ref="B12:G12"/>
    <mergeCell ref="B13:G13"/>
    <mergeCell ref="B14:G14"/>
    <mergeCell ref="B17:H17"/>
    <mergeCell ref="B18:H18"/>
    <mergeCell ref="G23:G25"/>
    <mergeCell ref="G26:G28"/>
    <mergeCell ref="G29:G31"/>
    <mergeCell ref="B33:D33"/>
    <mergeCell ref="B37:G37"/>
    <mergeCell ref="J37:O37"/>
  </mergeCells>
  <conditionalFormatting sqref="H14">
    <cfRule type="cellIs" priority="2" operator="lessThan" aboveAverage="0" equalAverage="0" bottom="0" percent="0" rank="0" text="" dxfId="0">
      <formula>$H$3</formula>
    </cfRule>
    <cfRule type="cellIs" priority="3" operator="greaterThan" aboveAverage="0" equalAverage="0" bottom="0" percent="0" rank="0" text="" dxfId="1">
      <formula>$H$3</formula>
    </cfRule>
  </conditionalFormatting>
  <dataValidations count="2">
    <dataValidation allowBlank="true" operator="between" prompt="при розрахунку на вплив короткочасних навантажень к1 = 1, при тривалій дії навантажень з малою повторністю к1 = 1,5&#10;" promptTitle="Коефіцієнт зниження опору грунту" showDropDown="false" showErrorMessage="true" showInputMessage="true" sqref="H7" type="none">
      <formula1>0</formula1>
      <formula2>0</formula2>
    </dataValidation>
    <dataValidation allowBlank="true" operator="between" prompt="Встановлюється експериментально або за довідковими даними&#10;" promptTitle="Зчеплення в грунті Сгр, Мпа" showDropDown="false" showErrorMessage="true" showInputMessage="true" sqref="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0000FF"/>
    <pageSetUpPr fitToPage="false"/>
  </sheetPr>
  <dimension ref="B1:O39"/>
  <sheetViews>
    <sheetView windowProtection="false" showFormulas="false" showGridLines="true" showRowColHeaders="true" showZeros="true" rightToLeft="false" tabSelected="false" showOutlineSymbols="true" defaultGridColor="true" view="normal" topLeftCell="C19" colorId="64" zoomScale="65" zoomScaleNormal="65" zoomScalePageLayoutView="100" workbookViewId="0">
      <selection pane="topLeft" activeCell="A57" activeCellId="0" sqref="A57"/>
    </sheetView>
  </sheetViews>
  <sheetFormatPr defaultRowHeight="15"/>
  <cols>
    <col collapsed="false" hidden="false" max="1" min="1" style="0" width="4.3659793814433"/>
    <col collapsed="false" hidden="false" max="3" min="2" style="0" width="7.77319587628866"/>
    <col collapsed="false" hidden="false" max="4" min="4" style="0" width="12.5463917525773"/>
    <col collapsed="false" hidden="false" max="5" min="5" style="0" width="13.3659793814433"/>
    <col collapsed="false" hidden="false" max="6" min="6" style="0" width="7.77319587628866"/>
    <col collapsed="false" hidden="false" max="7" min="7" style="0" width="19.5051546391753"/>
    <col collapsed="false" hidden="false" max="8" min="8" style="0" width="13.2268041237113"/>
    <col collapsed="false" hidden="false" max="9" min="9" style="0" width="10.9123711340206"/>
    <col collapsed="false" hidden="false" max="10" min="10" style="0" width="7.77319587628866"/>
    <col collapsed="false" hidden="false" max="11" min="11" style="0" width="58.6443298969072"/>
    <col collapsed="false" hidden="false" max="12" min="12" style="0" width="9.68556701030928"/>
    <col collapsed="false" hidden="false" max="13" min="13" style="0" width="7.77319587628866"/>
    <col collapsed="false" hidden="false" max="14" min="14" style="0" width="52.6443298969072"/>
    <col collapsed="false" hidden="false" max="1025" min="15" style="0" width="7.77319587628866"/>
  </cols>
  <sheetData>
    <row r="1" customFormat="false" ht="18.75" hidden="false" customHeight="false" outlineLevel="0" collapsed="false">
      <c r="B1" s="4" t="s">
        <v>309</v>
      </c>
      <c r="C1" s="201"/>
      <c r="D1" s="201"/>
      <c r="E1" s="201"/>
      <c r="F1" s="201"/>
      <c r="G1" s="201"/>
      <c r="H1" s="201"/>
      <c r="K1" s="4" t="s">
        <v>310</v>
      </c>
    </row>
    <row r="2" customFormat="false" ht="18.75" hidden="false" customHeight="false" outlineLevel="0" collapsed="false">
      <c r="B2" s="4"/>
      <c r="C2" s="201"/>
      <c r="D2" s="201"/>
      <c r="E2" s="201"/>
      <c r="F2" s="201"/>
      <c r="G2" s="201"/>
      <c r="H2" s="201" t="s">
        <v>86</v>
      </c>
    </row>
    <row r="3" customFormat="false" ht="43.5" hidden="false" customHeight="true" outlineLevel="0" collapsed="false">
      <c r="B3" s="385" t="s">
        <v>311</v>
      </c>
      <c r="C3" s="385"/>
      <c r="D3" s="385"/>
      <c r="E3" s="385"/>
      <c r="F3" s="385"/>
      <c r="G3" s="385"/>
      <c r="H3" s="420" t="n">
        <f aca="false">'Розрахункові параметриПеревірка'!H9</f>
        <v>1.51</v>
      </c>
      <c r="I3" s="421"/>
      <c r="J3" s="359"/>
      <c r="K3" s="388" t="s">
        <v>214</v>
      </c>
      <c r="L3" s="389" t="n">
        <f aca="false">1/(H5*H4)*SQRT(SUM((D23*C23)^2*(K23+J23)^2,(D24*C24)^2*(K24+J24)^2,(D25*C25)^2*(K25+J25)^2,(D26*C26)^2*(K26+J26)^2,(D27*C27)^2*(K27+J27)^2,(D28*C28)^2*(K28+J28)^2,(D29*C29)^2*(K29+J29)^2,(D30*C30)^2*(K30+J30)^2,(D31*C31)^2*(K31+J31)^2,))</f>
        <v>0.17276340179486</v>
      </c>
    </row>
    <row r="4" customFormat="false" ht="19.5" hidden="false" customHeight="false" outlineLevel="0" collapsed="false">
      <c r="B4" s="390" t="s">
        <v>211</v>
      </c>
      <c r="C4" s="390"/>
      <c r="D4" s="390"/>
      <c r="E4" s="390"/>
      <c r="F4" s="390"/>
      <c r="G4" s="390"/>
      <c r="H4" s="422" t="n">
        <f aca="false">SUM(C23:C31)</f>
        <v>0.7</v>
      </c>
      <c r="I4" s="359"/>
      <c r="J4" s="359"/>
      <c r="K4" s="392" t="s">
        <v>216</v>
      </c>
      <c r="L4" s="389" t="n">
        <f aca="false">1/H4*SQRT(SUM((J23*C23)^2,(J24*C24)^2,(J25*C25)^2,(J26*C26)^2,(J27*C27)^2,(J28*C28)^2,(J29*C29)^2,(J30*C30)^2,(J31*C31)^2,))</f>
        <v>0.104215446926816</v>
      </c>
    </row>
    <row r="5" customFormat="false" ht="33" hidden="false" customHeight="true" outlineLevel="0" collapsed="false">
      <c r="B5" s="393" t="s">
        <v>295</v>
      </c>
      <c r="C5" s="393"/>
      <c r="D5" s="393"/>
      <c r="E5" s="393"/>
      <c r="F5" s="393"/>
      <c r="G5" s="393"/>
      <c r="H5" s="249" t="n">
        <f aca="false">SUM(C23*D23,C24*D24,C25*D25,C26*D26,C27*D27,C28*D28,C29*D29,C30*D30,C31*D31)/H4</f>
        <v>801.428571428571</v>
      </c>
      <c r="I5" s="194"/>
      <c r="J5" s="359"/>
      <c r="K5" s="395" t="s">
        <v>218</v>
      </c>
      <c r="L5" s="423" t="n">
        <f aca="false">VLOOKUP('Вхідні параметри'!H8,Таблица611[],5,0)</f>
        <v>0.2</v>
      </c>
    </row>
    <row r="6" customFormat="false" ht="34.5" hidden="false" customHeight="false" outlineLevel="0" collapsed="false">
      <c r="B6" s="393" t="s">
        <v>296</v>
      </c>
      <c r="C6" s="393"/>
      <c r="D6" s="393"/>
      <c r="E6" s="393"/>
      <c r="F6" s="393"/>
      <c r="G6" s="393"/>
      <c r="H6" s="424" t="n">
        <f aca="false">'Розрахункові параметриПеревірка'!I22</f>
        <v>0.004</v>
      </c>
      <c r="I6" s="359"/>
      <c r="J6" s="359"/>
      <c r="K6" s="395" t="s">
        <v>220</v>
      </c>
      <c r="L6" s="423" t="n">
        <f aca="false">VLOOKUP('Вхідні параметри'!H8,Таблица611[],6,0)</f>
        <v>0.27</v>
      </c>
    </row>
    <row r="7" customFormat="false" ht="92.25" hidden="false" customHeight="true" outlineLevel="0" collapsed="false">
      <c r="B7" s="398" t="s">
        <v>297</v>
      </c>
      <c r="C7" s="398"/>
      <c r="D7" s="398"/>
      <c r="E7" s="398"/>
      <c r="F7" s="398"/>
      <c r="G7" s="398"/>
      <c r="H7" s="391" t="n">
        <v>1</v>
      </c>
      <c r="I7" s="359"/>
      <c r="J7" s="359"/>
      <c r="K7" s="399" t="s">
        <v>88</v>
      </c>
      <c r="L7" s="400" t="n">
        <f aca="false">'Розрахункові параметриПеревірка'!I21</f>
        <v>35</v>
      </c>
    </row>
    <row r="8" customFormat="false" ht="35.25" hidden="false" customHeight="true" outlineLevel="0" collapsed="false">
      <c r="B8" s="401" t="s">
        <v>298</v>
      </c>
      <c r="C8" s="401"/>
      <c r="D8" s="401"/>
      <c r="E8" s="401"/>
      <c r="F8" s="401"/>
      <c r="G8" s="401"/>
      <c r="H8" s="425" t="n">
        <f aca="false">1.816-0.15*LN('Розрахункові параметриПеревірка'!H30)</f>
        <v>0.528740243116929</v>
      </c>
      <c r="I8" s="426"/>
      <c r="J8" s="359"/>
      <c r="K8" s="404" t="s">
        <v>223</v>
      </c>
      <c r="L8" s="405" t="n">
        <f aca="false">РозрахДопПружПрогин!H7</f>
        <v>0.344917848176305</v>
      </c>
    </row>
    <row r="9" customFormat="false" ht="39" hidden="false" customHeight="true" outlineLevel="0" collapsed="false">
      <c r="B9" s="398" t="s">
        <v>299</v>
      </c>
      <c r="C9" s="398"/>
      <c r="D9" s="398"/>
      <c r="E9" s="398"/>
      <c r="F9" s="398"/>
      <c r="G9" s="398"/>
      <c r="H9" s="391" t="n">
        <f aca="false">VLOOKUP('Вхідні параметри'!H24,Таблица611[],4,0)</f>
        <v>7</v>
      </c>
      <c r="I9" s="359"/>
      <c r="J9" s="359"/>
      <c r="K9" s="404" t="s">
        <v>300</v>
      </c>
      <c r="L9" s="405" t="n">
        <f aca="false">VLOOKUP('Вхідні параметри'!H4,'Таблиця 6.1'!B4:M9,12,0)</f>
        <v>0.12</v>
      </c>
    </row>
    <row r="10" customFormat="false" ht="42.75" hidden="false" customHeight="true" outlineLevel="0" collapsed="false">
      <c r="B10" s="398" t="s">
        <v>301</v>
      </c>
      <c r="C10" s="398"/>
      <c r="D10" s="398"/>
      <c r="E10" s="398"/>
      <c r="F10" s="398"/>
      <c r="G10" s="398"/>
      <c r="H10" s="422" t="n">
        <v>1</v>
      </c>
      <c r="I10" s="359"/>
      <c r="J10" s="359"/>
      <c r="K10" s="407" t="s">
        <v>302</v>
      </c>
      <c r="L10" s="404" t="n">
        <f aca="false">VLOOKUP('Вхідні параметри'!H4,'Таблиця 6.1'!B4:M9,9,0)</f>
        <v>0.16</v>
      </c>
    </row>
    <row r="11" customFormat="false" ht="20.25" hidden="false" customHeight="false" outlineLevel="0" collapsed="false">
      <c r="B11" s="390" t="s">
        <v>303</v>
      </c>
      <c r="C11" s="390"/>
      <c r="D11" s="390"/>
      <c r="E11" s="390"/>
      <c r="F11" s="390"/>
      <c r="G11" s="390"/>
      <c r="H11" s="427" t="n">
        <f aca="false">H6*H7*H8*H9*H10</f>
        <v>0.014804726807274</v>
      </c>
      <c r="I11" s="428"/>
      <c r="J11" s="359"/>
      <c r="K11" s="404" t="s">
        <v>304</v>
      </c>
      <c r="L11" s="409" t="n">
        <f aca="false">MROUND((H14-1)/SQRT((L10^2)*(H14^2)+(L9^2)),0.02)</f>
        <v>3.06</v>
      </c>
    </row>
    <row r="12" customFormat="false" ht="43.5" hidden="false" customHeight="true" outlineLevel="0" collapsed="false">
      <c r="B12" s="398" t="s">
        <v>305</v>
      </c>
      <c r="C12" s="398"/>
      <c r="D12" s="398"/>
      <c r="E12" s="398"/>
      <c r="F12" s="398"/>
      <c r="G12" s="398"/>
      <c r="H12" s="427" t="n">
        <f aca="false">0.00001*(5-3*'Розрахункові параметриПеревірка'!I21)*H4</f>
        <v>-0.0007</v>
      </c>
      <c r="I12" s="428"/>
      <c r="J12" s="359"/>
      <c r="K12" s="404" t="s">
        <v>173</v>
      </c>
      <c r="L12" s="429" t="n">
        <f aca="false">0.5+0.5*ERF(L11/SQRT(2))</f>
        <v>0.998893315042591</v>
      </c>
    </row>
    <row r="13" customFormat="false" ht="42.75" hidden="false" customHeight="true" outlineLevel="0" collapsed="false">
      <c r="B13" s="398" t="s">
        <v>306</v>
      </c>
      <c r="C13" s="398"/>
      <c r="D13" s="398"/>
      <c r="E13" s="398"/>
      <c r="F13" s="398"/>
      <c r="G13" s="398"/>
      <c r="H13" s="427" t="n">
        <f aca="false">'Розрахункові параметриПеревірка'!$H$25*EXP(-'Розрахункові параметриПеревірка'!I21/33)/(4+57/25*(H4/РозрахДопПружПрогин!$H$7)^2*(H5/'Розрахункові параметриПеревірка'!I20)^(2/3))</f>
        <v>0.00778674337818392</v>
      </c>
      <c r="I13" s="428"/>
      <c r="J13" s="359"/>
    </row>
    <row r="14" customFormat="false" ht="18.75" hidden="false" customHeight="false" outlineLevel="0" collapsed="false">
      <c r="B14" s="411" t="s">
        <v>307</v>
      </c>
      <c r="C14" s="411"/>
      <c r="D14" s="411"/>
      <c r="E14" s="411"/>
      <c r="F14" s="411"/>
      <c r="G14" s="411"/>
      <c r="H14" s="430" t="n">
        <f aca="false">H11/(H12+H13)</f>
        <v>2.08907336095299</v>
      </c>
      <c r="I14" s="359"/>
    </row>
    <row r="15" customFormat="false" ht="18.75" hidden="false" customHeight="false" outlineLevel="0" collapsed="false">
      <c r="B15" s="295" t="s">
        <v>140</v>
      </c>
      <c r="C15" s="296"/>
      <c r="D15" s="296"/>
      <c r="E15" s="296"/>
      <c r="F15" s="296"/>
      <c r="G15" s="296"/>
      <c r="H15" s="413"/>
      <c r="I15" s="359"/>
      <c r="J15" s="359"/>
    </row>
    <row r="16" customFormat="false" ht="18.75" hidden="false" customHeight="false" outlineLevel="0" collapsed="false">
      <c r="B16" s="299"/>
      <c r="C16" s="414" t="n">
        <f aca="false">H3</f>
        <v>1.51</v>
      </c>
      <c r="D16" s="301" t="s">
        <v>141</v>
      </c>
      <c r="E16" s="414" t="n">
        <f aca="false">H14</f>
        <v>2.08907336095299</v>
      </c>
      <c r="F16" s="302" t="str">
        <f aca="false">IF(C16&lt;E16," виконується."," НЕвиконується.")</f>
        <v>виконується.</v>
      </c>
      <c r="G16" s="302"/>
      <c r="H16" s="303"/>
      <c r="I16" s="167"/>
    </row>
    <row r="17" customFormat="false" ht="59.25" hidden="false" customHeight="true" outlineLevel="0" collapsed="false">
      <c r="B17" s="431" t="str">
        <f aca="false">IF(C16&lt;E16,"Відповідно, вибрана конструкція задовольняє умову міцності за критерієм опору зсуву піску.","Відповідно, вибрана конструкція НЕзадовольняє умову міцності за критерієм опору зсуву піску.")</f>
        <v>Відповідно, вибрана конструкція задовольняє умову міцності за критерієм опору зсуву піску.</v>
      </c>
      <c r="C17" s="431"/>
      <c r="D17" s="431"/>
      <c r="E17" s="431"/>
      <c r="F17" s="431"/>
      <c r="G17" s="431"/>
      <c r="H17" s="431"/>
      <c r="I17" s="167"/>
    </row>
    <row r="18" customFormat="false" ht="41.25" hidden="false" customHeight="true" outlineLevel="0" collapsed="false">
      <c r="B18" s="298" t="s">
        <v>308</v>
      </c>
      <c r="C18" s="298"/>
      <c r="D18" s="298"/>
      <c r="E18" s="298"/>
      <c r="F18" s="298"/>
      <c r="G18" s="298"/>
      <c r="H18" s="298"/>
    </row>
    <row r="21" customFormat="false" ht="18.75" hidden="false" customHeight="false" outlineLevel="0" collapsed="false">
      <c r="B21" s="416" t="s">
        <v>312</v>
      </c>
      <c r="C21" s="432"/>
      <c r="D21" s="432"/>
      <c r="E21" s="432"/>
      <c r="F21" s="432"/>
      <c r="G21" s="413"/>
    </row>
    <row r="22" customFormat="false" ht="20.25" hidden="false" customHeight="false" outlineLevel="0" collapsed="false">
      <c r="B22" s="305" t="s">
        <v>239</v>
      </c>
      <c r="C22" s="306" t="s">
        <v>240</v>
      </c>
      <c r="D22" s="306" t="s">
        <v>241</v>
      </c>
      <c r="E22" s="307" t="s">
        <v>242</v>
      </c>
      <c r="F22" s="306" t="s">
        <v>243</v>
      </c>
      <c r="G22" s="419" t="s">
        <v>244</v>
      </c>
      <c r="J22" s="306" t="s">
        <v>245</v>
      </c>
      <c r="K22" s="306" t="s">
        <v>246</v>
      </c>
    </row>
    <row r="23" customFormat="false" ht="18.75" hidden="false" customHeight="false" outlineLevel="0" collapsed="false">
      <c r="B23" s="309" t="n">
        <v>1</v>
      </c>
      <c r="C23" s="310" t="n">
        <f aca="false">'Вхідні параметри'!$D$15*0.01</f>
        <v>0.1</v>
      </c>
      <c r="D23" s="311" t="n">
        <f aca="false">'Розрахункові параметриПеревірка'!H57</f>
        <v>1450</v>
      </c>
      <c r="E23" s="362" t="n">
        <f aca="false">IF(C23=0,E24,((1.05-0.1*C23/РозрахУмовЗсувуНевязких!$H$7*(1-POWER(E24/D23,1/3)))*D23)/(0.71*POWER(E24/D23,1/3)*ATAN(1.35*2*C23/РозрахУмовЗсувуНевязких!$H$7*POWER(D23/(6*E24),1/3))+(D23/E24)*2/PI()*ATAN(РозрахУмовЗсувуНевязких!$H$7/(2*C23*POWER(D23/(6*E24),1/3)))))</f>
        <v>310.496624165996</v>
      </c>
      <c r="F23" s="363" t="n">
        <f aca="false">C23/РозрахУмовЗсувуНевязких!$H$7</f>
        <v>0.1</v>
      </c>
      <c r="G23" s="433" t="s">
        <v>247</v>
      </c>
      <c r="J23" s="315" t="n">
        <f aca="false">2.84/(10.2+C23)</f>
        <v>0.275728155339806</v>
      </c>
      <c r="K23" s="316" t="n">
        <f aca="false">0.9056*D23^(-0.285)</f>
        <v>0.113748723905592</v>
      </c>
    </row>
    <row r="24" customFormat="false" ht="18.75" hidden="false" customHeight="false" outlineLevel="0" collapsed="false">
      <c r="B24" s="317" t="n">
        <v>2</v>
      </c>
      <c r="C24" s="318" t="n">
        <f aca="false">'Вхідні параметри'!$D$16*0.01</f>
        <v>0.1</v>
      </c>
      <c r="D24" s="319" t="n">
        <f aca="false">'Розрахункові параметриПеревірка'!Q57</f>
        <v>1350</v>
      </c>
      <c r="E24" s="364" t="n">
        <f aca="false">IF(C24=0,E25,((1.05-0.1*C24/РозрахУмовЗсувуНевязких!$H$7*(1-POWER(E25/D24,1/3)))*D24)/(0.71*POWER(E25/D24,1/3)*ATAN(1.35*2*C24/РозрахУмовЗсувуНевязких!$H$7*POWER(D24/(6*E25),1/3))+(D24/E25)*2/PI()*ATAN(РозрахУмовЗсувуНевязких!$H$7/(2*C24*POWER(D24/(6*E25),1/3)))))</f>
        <v>266.410290743973</v>
      </c>
      <c r="F24" s="365" t="n">
        <f aca="false">C24/РозрахУмовЗсувуНевязких!$H$7</f>
        <v>0.1</v>
      </c>
      <c r="G24" s="434"/>
      <c r="J24" s="315" t="n">
        <f aca="false">2.84/(10.2+C24)</f>
        <v>0.275728155339806</v>
      </c>
      <c r="K24" s="316" t="n">
        <f aca="false">0.9056*D24^(-0.285)</f>
        <v>0.116089058715996</v>
      </c>
    </row>
    <row r="25" customFormat="false" ht="18.75" hidden="false" customHeight="false" outlineLevel="0" collapsed="false">
      <c r="B25" s="321" t="n">
        <v>3</v>
      </c>
      <c r="C25" s="322" t="n">
        <f aca="false">'Вхідні параметри'!$D$17*0.01</f>
        <v>0.1</v>
      </c>
      <c r="D25" s="323" t="n">
        <f aca="false">'Розрахункові параметриПеревірка'!Z57</f>
        <v>950</v>
      </c>
      <c r="E25" s="312" t="n">
        <f aca="false">IF(C25=0,E26,((1.05-0.1*C25/РозрахУмовЗсувуНевязких!$H$7*(1-POWER(E26/D25,1/3)))*D25)/(0.71*POWER(E26/D25,1/3)*ATAN(1.35*2*C25/РозрахУмовЗсувуНевязких!$H$7*POWER(D25/(6*E26),1/3))+(D25/E26)*2/PI()*ATAN(РозрахУмовЗсувуНевязких!$H$7/(2*C25*POWER(D25/(6*E26),1/3)))))</f>
        <v>227.31785985024</v>
      </c>
      <c r="F25" s="313" t="n">
        <f aca="false">C25/РозрахУмовЗсувуНевязких!$H$7</f>
        <v>0.1</v>
      </c>
      <c r="G25" s="435"/>
      <c r="J25" s="315" t="n">
        <f aca="false">2.84/(10.2+C25)</f>
        <v>0.275728155339806</v>
      </c>
      <c r="K25" s="316" t="n">
        <f aca="false">0.9056*D25^(-0.285)</f>
        <v>0.128317292184162</v>
      </c>
    </row>
    <row r="26" customFormat="false" ht="18.75" hidden="false" customHeight="false" outlineLevel="0" collapsed="false">
      <c r="B26" s="309" t="n">
        <v>4</v>
      </c>
      <c r="C26" s="310" t="n">
        <f aca="false">'Вхідні параметри'!$D$18*0.01</f>
        <v>0.1</v>
      </c>
      <c r="D26" s="311" t="n">
        <f aca="false">'Розрахункові параметриПеревірка'!$H$64</f>
        <v>700</v>
      </c>
      <c r="E26" s="362" t="n">
        <f aca="false">IF(C26=0,E27,((1.05-0.1*C26/РозрахУмовЗсувуНевязких!$H$7*(1-POWER(E27/D26,1/3)))*D26)/(0.71*POWER(E27/D26,1/3)*ATAN(1.35*2*C26/РозрахУмовЗсувуНевязких!$H$7*POWER(D26/(6*E27),1/3))+(D26/E27)*2/PI()*ATAN(РозрахУмовЗсувуНевязких!$H$7/(2*C26*POWER(D26/(6*E27),1/3)))))</f>
        <v>196.52802512155</v>
      </c>
      <c r="F26" s="363" t="n">
        <f aca="false">C26/РозрахУмовЗсувуНевязких!$H$7</f>
        <v>0.1</v>
      </c>
      <c r="G26" s="433" t="s">
        <v>289</v>
      </c>
      <c r="J26" s="315" t="n">
        <f aca="false">2.84/(10.2+C26)</f>
        <v>0.275728155339806</v>
      </c>
      <c r="K26" s="316" t="n">
        <f aca="false">0.9056*D26^(-0.285)</f>
        <v>0.139985635246315</v>
      </c>
    </row>
    <row r="27" customFormat="false" ht="18.75" hidden="false" customHeight="false" outlineLevel="0" collapsed="false">
      <c r="B27" s="317" t="n">
        <v>5</v>
      </c>
      <c r="C27" s="318" t="n">
        <f aca="false">'Вхідні параметри'!$D$19*0.01</f>
        <v>0</v>
      </c>
      <c r="D27" s="319" t="n">
        <f aca="false">'Розрахункові параметриПеревірка'!$Q$64</f>
        <v>900</v>
      </c>
      <c r="E27" s="364" t="n">
        <f aca="false">IF(C27=0,E28,((1.05-0.1*C27/РозрахУмовЗсувуНевязких!$H$7*(1-POWER(E28/D27,1/3)))*D27)/(0.71*POWER(E28/D27,1/3)*ATAN(1.35*2*C27/РозрахУмовЗсувуНевязких!$H$7*POWER(D27/(6*E28),1/3))+(D27/E28)*2/PI()*ATAN(РозрахУмовЗсувуНевязких!$H$7/(2*C27*POWER(D27/(6*E28),1/3)))))</f>
        <v>171.804755994708</v>
      </c>
      <c r="F27" s="365" t="n">
        <f aca="false">C27/РозрахУмовЗсувуНевязких!$H$7</f>
        <v>0</v>
      </c>
      <c r="G27" s="434"/>
      <c r="J27" s="315" t="n">
        <f aca="false">2.84/(10.2+C27)</f>
        <v>0.27843137254902</v>
      </c>
      <c r="K27" s="316" t="n">
        <f aca="false">0.9056*D27^(-0.285)</f>
        <v>0.130309866138427</v>
      </c>
    </row>
    <row r="28" customFormat="false" ht="18.75" hidden="false" customHeight="false" outlineLevel="0" collapsed="false">
      <c r="B28" s="368" t="n">
        <v>6</v>
      </c>
      <c r="C28" s="369" t="n">
        <f aca="false">'Вхідні параметри'!$D$20*0.01</f>
        <v>0.1</v>
      </c>
      <c r="D28" s="370" t="n">
        <f aca="false">'Розрахункові параметриПеревірка'!$Z$64</f>
        <v>700</v>
      </c>
      <c r="E28" s="371" t="n">
        <f aca="false">IF(C28=0,E29,((1.05-0.1*C28/РозрахУмовЗсувуНевязких!$H$7*(1-POWER(E29/D28,1/3)))*D28)/(0.71*POWER(E29/D28,1/3)*ATAN(1.35*2*C28/РозрахУмовЗсувуНевязких!$H$7*POWER(D28/(6*E29),1/3))+(D28/E29)*2/PI()*ATAN(РозрахУмовЗсувуНевязких!$H$7/(2*C28*POWER(D28/(6*E29),1/3)))))</f>
        <v>171.804755994708</v>
      </c>
      <c r="F28" s="372" t="n">
        <f aca="false">C28/РозрахУмовЗсувуНевязких!$H$7</f>
        <v>0.1</v>
      </c>
      <c r="G28" s="436"/>
      <c r="J28" s="315" t="n">
        <f aca="false">2.84/(10.2+C28)</f>
        <v>0.275728155339806</v>
      </c>
      <c r="K28" s="316" t="n">
        <f aca="false">0.9056*D28^(-0.285)</f>
        <v>0.139985635246315</v>
      </c>
    </row>
    <row r="29" customFormat="false" ht="18.75" hidden="false" customHeight="false" outlineLevel="0" collapsed="false">
      <c r="B29" s="373" t="n">
        <v>7</v>
      </c>
      <c r="C29" s="374" t="n">
        <f aca="false">'Вхідні параметри'!$D$21*0.01</f>
        <v>0.1</v>
      </c>
      <c r="D29" s="375" t="n">
        <f aca="false">'Розрахункові параметриПеревірка'!$H$72</f>
        <v>280</v>
      </c>
      <c r="E29" s="376" t="n">
        <f aca="false">IF(C29=0,E30,((1.05-0.1*C29/РозрахУмовЗсувуНевязких!$H$7*(1-POWER(E30/D29,1/3)))*D29)/(0.71*POWER(E30/D29,1/3)*ATAN(1.35*2*C29/РозрахУмовЗсувуНевязких!$H$7*POWER(D29/(6*E30),1/3))+(D29/E30)*2/PI()*ATAN(РозрахУмовЗсувуНевязких!$H$7/(2*C29*POWER(D29/(6*E30),1/3)))))</f>
        <v>148.793781241908</v>
      </c>
      <c r="F29" s="377" t="n">
        <f aca="false">C29/РозрахУмовЗсувуНевязких!$H$7</f>
        <v>0.1</v>
      </c>
      <c r="G29" s="437" t="s">
        <v>290</v>
      </c>
      <c r="J29" s="315" t="n">
        <f aca="false">2.84/(10.2+C29)</f>
        <v>0.275728155339806</v>
      </c>
      <c r="K29" s="316" t="n">
        <f aca="false">0.9056*D29^(-0.285)</f>
        <v>0.181759188445756</v>
      </c>
    </row>
    <row r="30" customFormat="false" ht="18.75" hidden="false" customHeight="false" outlineLevel="0" collapsed="false">
      <c r="B30" s="317" t="n">
        <v>8</v>
      </c>
      <c r="C30" s="318" t="n">
        <f aca="false">'Вхідні параметри'!$D$22*0.01</f>
        <v>0</v>
      </c>
      <c r="D30" s="319" t="n">
        <f aca="false">'Розрахункові параметриПеревірка'!$Q$72</f>
        <v>280</v>
      </c>
      <c r="E30" s="364" t="n">
        <f aca="false">IF(C30=0,E31,((1.05-0.1*C30/РозрахУмовЗсувуНевязких!$H$7*(1-POWER(E31/D30,1/3)))*D30)/(0.71*POWER(E31/D30,1/3)*ATAN(1.35*2*C30/РозрахУмовЗсувуНевязких!$H$7*POWER(D30/(6*E31),1/3))+(D30/E31)*2/PI()*ATAN(РозрахУмовЗсувуНевязких!$H$7/(2*C30*POWER(D30/(6*E31),1/3)))))</f>
        <v>136.667359702005</v>
      </c>
      <c r="F30" s="365" t="n">
        <f aca="false">C30/РозрахУмовЗсувуНевязких!$H$7</f>
        <v>0</v>
      </c>
      <c r="G30" s="434"/>
      <c r="J30" s="315" t="n">
        <f aca="false">2.84/(10.2+C30)</f>
        <v>0.27843137254902</v>
      </c>
      <c r="K30" s="316" t="n">
        <f aca="false">0.9056*D30^(-0.285)</f>
        <v>0.181759188445756</v>
      </c>
    </row>
    <row r="31" customFormat="false" ht="18.75" hidden="false" customHeight="false" outlineLevel="0" collapsed="false">
      <c r="B31" s="321" t="n">
        <v>9</v>
      </c>
      <c r="C31" s="322" t="n">
        <f aca="false">'Вхідні параметри'!$D$23*0.01</f>
        <v>0.1</v>
      </c>
      <c r="D31" s="323" t="n">
        <f aca="false">'Розрахункові параметриПеревірка'!$Z$72</f>
        <v>180</v>
      </c>
      <c r="E31" s="379" t="n">
        <f aca="false">IF(C31=0,E32,((1.05-0.1*C31/РозрахУмовЗсувуНевязких!$H$7*(1-POWER(E32/D31,1/3)))*D31)/(0.71*POWER(E32/D31,1/3)*ATAN(1.35*2*C31/РозрахУмовЗсувуНевязких!$H$7*POWER(D31/(6*E32),1/3))+(D31/E32)*2/PI()*ATAN(РозрахУмовЗсувуНевязких!$H$7/(2*C31*POWER(D31/(6*E32),1/3)))))</f>
        <v>136.667359702005</v>
      </c>
      <c r="F31" s="313" t="n">
        <f aca="false">C31/РозрахУмовЗсувуНевязких!$H$7</f>
        <v>0.1</v>
      </c>
      <c r="G31" s="435"/>
      <c r="J31" s="315" t="n">
        <f aca="false">2.84/(10.2+C31)</f>
        <v>0.275728155339806</v>
      </c>
      <c r="K31" s="316" t="n">
        <f aca="false">0.9056*D31^(-0.285)</f>
        <v>0.206150194975175</v>
      </c>
    </row>
    <row r="32" customFormat="false" ht="18.75" hidden="false" customHeight="false" outlineLevel="0" collapsed="false">
      <c r="B32" s="380" t="n">
        <v>10</v>
      </c>
      <c r="C32" s="419"/>
      <c r="D32" s="381" t="n">
        <f aca="false">'Розрахункові параметриПеревірка'!$I$20</f>
        <v>130</v>
      </c>
      <c r="E32" s="379" t="n">
        <f aca="false">'Розрахункові параметриПеревірка'!I20</f>
        <v>130</v>
      </c>
      <c r="F32" s="382"/>
      <c r="G32" s="367" t="s">
        <v>86</v>
      </c>
      <c r="J32" s="315"/>
      <c r="K32" s="316" t="n">
        <f aca="false">0.9056*D32^(-0.285)</f>
        <v>0.226184353243738</v>
      </c>
    </row>
    <row r="33" customFormat="false" ht="18.75" hidden="false" customHeight="false" outlineLevel="0" collapsed="false">
      <c r="B33" s="325"/>
      <c r="C33" s="326"/>
      <c r="D33" s="326"/>
      <c r="E33" s="326"/>
      <c r="F33" s="327"/>
      <c r="G33" s="328"/>
      <c r="K33" s="316"/>
    </row>
    <row r="34" customFormat="false" ht="18.75" hidden="false" customHeight="false" outlineLevel="0" collapsed="false">
      <c r="K34" s="204"/>
    </row>
    <row r="35" customFormat="false" ht="18.75" hidden="false" customHeight="false" outlineLevel="0" collapsed="false">
      <c r="B35" s="295" t="s">
        <v>140</v>
      </c>
      <c r="C35" s="296"/>
      <c r="D35" s="296"/>
      <c r="E35" s="296"/>
      <c r="F35" s="296"/>
      <c r="G35" s="297"/>
      <c r="J35" s="295" t="s">
        <v>140</v>
      </c>
      <c r="K35" s="296"/>
      <c r="L35" s="296"/>
      <c r="M35" s="296"/>
      <c r="N35" s="296"/>
      <c r="O35" s="297"/>
    </row>
    <row r="36" customFormat="false" ht="18.75" hidden="false" customHeight="false" outlineLevel="0" collapsed="false">
      <c r="B36" s="299"/>
      <c r="C36" s="300" t="n">
        <f aca="false">H3</f>
        <v>1.51</v>
      </c>
      <c r="D36" s="301" t="s">
        <v>141</v>
      </c>
      <c r="E36" s="300" t="n">
        <f aca="false">H14</f>
        <v>2.08907336095299</v>
      </c>
      <c r="F36" s="302" t="str">
        <f aca="false">IF(C36&lt;E36," виконується."," НЕвиконується.")</f>
        <v>виконується.</v>
      </c>
      <c r="G36" s="303"/>
      <c r="J36" s="299"/>
      <c r="K36" s="300" t="n">
        <f aca="false">'Розрахункові параметриПеревірка'!H5</f>
        <v>0.97</v>
      </c>
      <c r="L36" s="301" t="s">
        <v>141</v>
      </c>
      <c r="M36" s="300" t="n">
        <f aca="false">L12</f>
        <v>0.998893315042591</v>
      </c>
      <c r="N36" s="302" t="str">
        <f aca="false">IF(K36&lt;M36," виконується."," НЕвиконується.")</f>
        <v>виконується.</v>
      </c>
      <c r="O36" s="303"/>
    </row>
    <row r="37" customFormat="false" ht="18.75" hidden="false" customHeight="false" outlineLevel="0" collapsed="false">
      <c r="B37" s="304" t="str">
        <f aca="false">IF(C36&lt;E36,"Відповідно, вибрана конструкція задовольняє умову міцності за допустимим пружним прогином.","Відповідно, вибрана конструкція НЕзадовольняє умову міцності за допустимим пружним прогином.")</f>
        <v>Відповідно, вибрана конструкція задовольняє умову міцності за допустимим пружним прогином.</v>
      </c>
      <c r="C37" s="304"/>
      <c r="D37" s="304"/>
      <c r="E37" s="304"/>
      <c r="F37" s="304"/>
      <c r="G37" s="304"/>
      <c r="J37" s="438" t="str">
        <f aca="false">IF(K36&lt;M36,"Відповідно, вибрана конструкція задовольняє умову надійності за критерієм опору зсуву в нев’язких матеріалах земляного полотна.","Відповідно, вибрана конструкція НЕзадовольняє умову надійності за критерієм опору зсуву в нев’язких матеріалах земляного полотна.")</f>
        <v>Відповідно, вибрана конструкція задовольняє умову надійності за критерієм опору зсуву в нев’язких матеріалах земляного полотна.</v>
      </c>
      <c r="K37" s="438"/>
      <c r="L37" s="438"/>
      <c r="M37" s="438"/>
      <c r="N37" s="438"/>
      <c r="O37" s="438"/>
    </row>
    <row r="39" customFormat="false" ht="30.75" hidden="false" customHeight="true" outlineLevel="0" collapsed="false"/>
  </sheetData>
  <mergeCells count="16">
    <mergeCell ref="B3:G3"/>
    <mergeCell ref="B4:G4"/>
    <mergeCell ref="B5:G5"/>
    <mergeCell ref="B6:G6"/>
    <mergeCell ref="B7:G7"/>
    <mergeCell ref="B8:G8"/>
    <mergeCell ref="B9:G9"/>
    <mergeCell ref="B10:G10"/>
    <mergeCell ref="B11:G11"/>
    <mergeCell ref="B12:G12"/>
    <mergeCell ref="B13:G13"/>
    <mergeCell ref="B14:G14"/>
    <mergeCell ref="B17:H17"/>
    <mergeCell ref="B18:H18"/>
    <mergeCell ref="B37:G37"/>
    <mergeCell ref="J37:O37"/>
  </mergeCells>
  <conditionalFormatting sqref="H14">
    <cfRule type="cellIs" priority="2" operator="lessThan" aboveAverage="0" equalAverage="0" bottom="0" percent="0" rank="0" text="" dxfId="0">
      <formula>$H$3</formula>
    </cfRule>
    <cfRule type="cellIs" priority="3" operator="greaterThan" aboveAverage="0" equalAverage="0" bottom="0" percent="0" rank="0" text="" dxfId="1">
      <formula>$H$3</formula>
    </cfRule>
  </conditionalFormatting>
  <dataValidations count="2">
    <dataValidation allowBlank="true" operator="between" prompt="при розрахунку на вплив короткочасних навантажень к1 = 1, при тривалій дії навантажень з малою повторністю к1 = 1,5&#10;" promptTitle="Коефіцієнт зниження опору грунту" showDropDown="false" showErrorMessage="true" showInputMessage="true" sqref="H7" type="none">
      <formula1>0</formula1>
      <formula2>0</formula2>
    </dataValidation>
    <dataValidation allowBlank="true" operator="between" prompt="Встановлюється експериментально або за довідковими даними&#10;" promptTitle="Зчеплення в грунті Сгр, Мпа" showDropDown="false" showErrorMessage="true" showInputMessage="true" sqref="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2018-03-04T12:00:21Z</dcterms:created>
  <dc:creator>Arsen</dc:creator>
  <dc:description/>
  <dc:language>uk-UA</dc:language>
  <cp:lastModifiedBy/>
  <cp:lastPrinted>2018-03-17T14:23:09Z</cp:lastPrinted>
  <dcterms:modified xsi:type="dcterms:W3CDTF">2018-10-19T08:02:44Z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