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shi\Desktop\case comp\complete\"/>
    </mc:Choice>
  </mc:AlternateContent>
  <xr:revisionPtr revIDLastSave="0" documentId="13_ncr:1_{C9703CC6-804C-4970-9FB2-5DD999F66E9F}" xr6:coauthVersionLast="47" xr6:coauthVersionMax="47" xr10:uidLastSave="{00000000-0000-0000-0000-000000000000}"/>
  <bookViews>
    <workbookView xWindow="-120" yWindow="-120" windowWidth="38640" windowHeight="21120" tabRatio="771" activeTab="4" xr2:uid="{CB6E720D-071A-4CBB-BF51-5F97246B1D12}"/>
  </bookViews>
  <sheets>
    <sheet name="Pivot_Tables" sheetId="8" r:id="rId1"/>
    <sheet name="Branch Summary" sheetId="9" r:id="rId2"/>
    <sheet name="Product Analysis" sheetId="10" r:id="rId3"/>
    <sheet name="Competitive Analysis" sheetId="11" r:id="rId4"/>
    <sheet name="50 Customer Records" sheetId="1" r:id="rId5"/>
    <sheet name="Quarterly data" sheetId="2" r:id="rId6"/>
    <sheet name="Core product performance" sheetId="3" r:id="rId7"/>
    <sheet name="Essential competitive data " sheetId="4" r:id="rId8"/>
  </sheets>
  <externalReferences>
    <externalReference r:id="rId9"/>
  </externalReferenc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1" l="1"/>
  <c r="L3" i="11"/>
  <c r="L5" i="11"/>
  <c r="L4" i="11"/>
  <c r="K5" i="11"/>
  <c r="K4" i="11"/>
  <c r="K3" i="11"/>
  <c r="K2" i="11"/>
  <c r="J5" i="11"/>
  <c r="J4" i="11"/>
  <c r="J3" i="11"/>
  <c r="J2" i="11"/>
  <c r="I5" i="11"/>
  <c r="I4" i="11"/>
  <c r="I3" i="11"/>
  <c r="I2" i="11"/>
  <c r="A3" i="11"/>
  <c r="B3" i="11"/>
  <c r="C3" i="11"/>
  <c r="D3" i="11"/>
  <c r="E3" i="11"/>
  <c r="F3" i="11"/>
  <c r="A4" i="11"/>
  <c r="B4" i="11"/>
  <c r="C4" i="11"/>
  <c r="D4" i="11"/>
  <c r="E4" i="11"/>
  <c r="F4" i="11"/>
  <c r="A5" i="11"/>
  <c r="B5" i="11"/>
  <c r="C5" i="11"/>
  <c r="D5" i="11"/>
  <c r="E5" i="11"/>
  <c r="F5" i="11"/>
  <c r="A6" i="11"/>
  <c r="B6" i="11"/>
  <c r="C6" i="11"/>
  <c r="D6" i="11"/>
  <c r="E6" i="11"/>
  <c r="F6" i="11"/>
  <c r="A7" i="11"/>
  <c r="B7" i="11"/>
  <c r="C7" i="11"/>
  <c r="D7" i="11"/>
  <c r="E7" i="11"/>
  <c r="F7" i="11"/>
  <c r="A8" i="11"/>
  <c r="B8" i="11"/>
  <c r="C8" i="11"/>
  <c r="D8" i="11"/>
  <c r="E8" i="11"/>
  <c r="F8" i="11"/>
  <c r="B2" i="11"/>
  <c r="C2" i="11"/>
  <c r="D2" i="11"/>
  <c r="E2" i="11"/>
  <c r="F2" i="11"/>
  <c r="A2" i="11"/>
  <c r="B21" i="9"/>
  <c r="B20" i="9"/>
  <c r="B19" i="9"/>
  <c r="D15" i="9"/>
  <c r="D14" i="9"/>
  <c r="D13" i="9"/>
  <c r="D12" i="9"/>
  <c r="C15" i="9"/>
  <c r="B15" i="9"/>
  <c r="C13" i="9"/>
  <c r="B13" i="9"/>
  <c r="C14" i="9"/>
  <c r="B14" i="9"/>
  <c r="C12" i="9"/>
  <c r="B12" i="9"/>
  <c r="D11" i="9"/>
  <c r="C11" i="9"/>
  <c r="B11" i="9"/>
  <c r="H6" i="9"/>
  <c r="G6" i="9"/>
  <c r="F6" i="9"/>
  <c r="E6" i="9"/>
  <c r="D6" i="9"/>
  <c r="C6" i="9"/>
  <c r="B6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E2" i="9"/>
  <c r="E7" i="9" s="1"/>
  <c r="F2" i="9"/>
  <c r="F7" i="9" s="1"/>
  <c r="G2" i="9"/>
  <c r="B22" i="9" s="1"/>
  <c r="H2" i="9"/>
  <c r="H7" i="9" s="1"/>
  <c r="D2" i="9"/>
  <c r="D7" i="9" s="1"/>
  <c r="C2" i="9"/>
  <c r="C7" i="9" s="1"/>
  <c r="B2" i="9"/>
  <c r="B7" i="9" s="1"/>
  <c r="I4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G7" i="9" l="1"/>
</calcChain>
</file>

<file path=xl/sharedStrings.xml><?xml version="1.0" encoding="utf-8"?>
<sst xmlns="http://schemas.openxmlformats.org/spreadsheetml/2006/main" count="607" uniqueCount="181">
  <si>
    <t>Customer_ID</t>
  </si>
  <si>
    <t>Branch</t>
  </si>
  <si>
    <t>Age</t>
  </si>
  <si>
    <t>Gender</t>
  </si>
  <si>
    <t>Income_Range</t>
  </si>
  <si>
    <t>Account_Type</t>
  </si>
  <si>
    <t>Tenure_Years</t>
  </si>
  <si>
    <t>Digital_Adoption_Score</t>
  </si>
  <si>
    <t>Monthly_Transactions</t>
  </si>
  <si>
    <t>Digital_Transactions_Pct</t>
  </si>
  <si>
    <t>Product_Count</t>
  </si>
  <si>
    <t>Satisfaction_Score</t>
  </si>
  <si>
    <t>Churn_Risk</t>
  </si>
  <si>
    <t>C001</t>
  </si>
  <si>
    <t>Toronto-King Street</t>
  </si>
  <si>
    <t>Female</t>
  </si>
  <si>
    <t>50000-75000</t>
  </si>
  <si>
    <t>Premium</t>
  </si>
  <si>
    <t>Low</t>
  </si>
  <si>
    <t>C002</t>
  </si>
  <si>
    <t>Male</t>
  </si>
  <si>
    <t>75000-100000</t>
  </si>
  <si>
    <t>C003</t>
  </si>
  <si>
    <t>100000-150000</t>
  </si>
  <si>
    <t>Medium</t>
  </si>
  <si>
    <t>C004</t>
  </si>
  <si>
    <t>25000-50000</t>
  </si>
  <si>
    <t>Standard</t>
  </si>
  <si>
    <t>C005</t>
  </si>
  <si>
    <t>150000+</t>
  </si>
  <si>
    <t>C006</t>
  </si>
  <si>
    <t>C007</t>
  </si>
  <si>
    <t>C008</t>
  </si>
  <si>
    <t>C009</t>
  </si>
  <si>
    <t>C010</t>
  </si>
  <si>
    <t>C011</t>
  </si>
  <si>
    <t>Ottawa-Rideau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</si>
  <si>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</si>
  <si>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</si>
  <si>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</si>
  <si>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</si>
  <si>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</si>
  <si>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</si>
  <si>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</si>
  <si>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</si>
  <si>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</si>
  <si>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</si>
  <si>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Montreal-Plateau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</si>
  <si>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</si>
  <si>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</si>
  <si>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</si>
  <si>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</si>
  <si>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</si>
  <si>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</si>
  <si>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</si>
  <si>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</si>
  <si>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</si>
  <si>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</si>
  <si>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Hamilton-Downtown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</si>
  <si>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</si>
  <si>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</si>
  <si>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</si>
  <si>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</si>
  <si>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</si>
  <si>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</si>
  <si>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</si>
  <si>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</si>
  <si>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</si>
  <si>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</si>
  <si>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Quebec City-Vieux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</si>
  <si>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</si>
  <si>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</si>
  <si>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</si>
  <si>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</si>
  <si>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</si>
  <si>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</si>
  <si>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</si>
  <si>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</si>
  <si>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</si>
  <si>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Quarter</t>
  </si>
  <si>
    <t>Year</t>
  </si>
  <si>
    <t>Total_Customers</t>
  </si>
  <si>
    <t>New_Customers</t>
  </si>
  <si>
    <t>Churned_Customers</t>
  </si>
  <si>
    <t>Digital_Users</t>
  </si>
  <si>
    <t>Monthly_Branch_Visits</t>
  </si>
  <si>
    <t>Monthly_Online_Logins</t>
  </si>
  <si>
    <t>Monthly_App_Sessions</t>
  </si>
  <si>
    <t>Operating_Costs</t>
  </si>
  <si>
    <t>Revenue</t>
  </si>
  <si>
    <t>Staff_Count</t>
  </si>
  <si>
    <t>Customer_Satisfaction</t>
  </si>
  <si>
    <t>Avg_Wait_Time</t>
  </si>
  <si>
    <t>Digital_Adoption_Rate</t>
  </si>
  <si>
    <t>Q1</t>
  </si>
  <si>
    <t>Q2</t>
  </si>
  <si>
    <t>Q3</t>
  </si>
  <si>
    <t>Q4</t>
  </si>
  <si>
    <t>Product_Type</t>
  </si>
  <si>
    <t>Active_Users</t>
  </si>
  <si>
    <t>Quarterly_Revenue</t>
  </si>
  <si>
    <t>Digital_Adoption_Pct</t>
  </si>
  <si>
    <t>Churn_Rate</t>
  </si>
  <si>
    <t>Checking Account</t>
  </si>
  <si>
    <t>Savings Account</t>
  </si>
  <si>
    <t>Credit Card</t>
  </si>
  <si>
    <t>Mortgage</t>
  </si>
  <si>
    <t>Investment Account</t>
  </si>
  <si>
    <t>Business Account</t>
  </si>
  <si>
    <t>Competitor</t>
  </si>
  <si>
    <t>Market_Share_Pct</t>
  </si>
  <si>
    <t>Digital_Rating</t>
  </si>
  <si>
    <t>Innovation_Score</t>
  </si>
  <si>
    <t>Target_Demographic</t>
  </si>
  <si>
    <t>RBC</t>
  </si>
  <si>
    <t>All Demographics</t>
  </si>
  <si>
    <t>TD Bank</t>
  </si>
  <si>
    <t>BMO</t>
  </si>
  <si>
    <t>StreamlineBank</t>
  </si>
  <si>
    <t>Traditional/Community</t>
  </si>
  <si>
    <t>Tangerine</t>
  </si>
  <si>
    <t>Young Professionals</t>
  </si>
  <si>
    <t>Koala</t>
  </si>
  <si>
    <t>Gen Z/Millennials</t>
  </si>
  <si>
    <t>Credit Unions</t>
  </si>
  <si>
    <t>Community-Focused</t>
  </si>
  <si>
    <t>Row Labels</t>
  </si>
  <si>
    <t>Grand Total</t>
  </si>
  <si>
    <t>Count of Customer_ID</t>
  </si>
  <si>
    <t>Average of Digital_Adoption_Score</t>
  </si>
  <si>
    <t>Average of Satisfaction_Score</t>
  </si>
  <si>
    <t>Column Labels</t>
  </si>
  <si>
    <t>30-44</t>
  </si>
  <si>
    <t>45-59</t>
  </si>
  <si>
    <t>Under 30</t>
  </si>
  <si>
    <t>Total Count of Customer_ID</t>
  </si>
  <si>
    <t>Total Average of Satisfaction_Score</t>
  </si>
  <si>
    <t>High Income</t>
  </si>
  <si>
    <t>Lower Income</t>
  </si>
  <si>
    <t>Mid Income</t>
  </si>
  <si>
    <t>Age Group</t>
  </si>
  <si>
    <t>Revenue Segment</t>
  </si>
  <si>
    <t>Digital Engagement Level</t>
  </si>
  <si>
    <t>Customer Value Score</t>
  </si>
  <si>
    <t>Average of Monthly_Transactions</t>
  </si>
  <si>
    <t>Branch Performance Summary</t>
  </si>
  <si>
    <t>Age Demographics by Branch</t>
  </si>
  <si>
    <t>High Digital</t>
  </si>
  <si>
    <t>Low Digital</t>
  </si>
  <si>
    <t>Medium Digital</t>
  </si>
  <si>
    <t>Digital Adoption vs Revenue</t>
  </si>
  <si>
    <t>Step 2:Pivot Tables</t>
  </si>
  <si>
    <t>Under 35%</t>
  </si>
  <si>
    <t>Digital Score</t>
  </si>
  <si>
    <t>Premium %</t>
  </si>
  <si>
    <t>Avg Satisfaction</t>
  </si>
  <si>
    <t>Risk Analysis</t>
  </si>
  <si>
    <t>Customer Count</t>
  </si>
  <si>
    <t>High Risk %</t>
  </si>
  <si>
    <t>Revenue per Customer (Q4 2024)</t>
  </si>
  <si>
    <t>NETWORK TOTAL</t>
  </si>
  <si>
    <t>Q1 2023 Revenue</t>
  </si>
  <si>
    <t>Q2 2024 Revenue</t>
  </si>
  <si>
    <t>Growth Rate %</t>
  </si>
  <si>
    <t>&lt;---------- Key Metrics Calculations - COMPLETE BRANCH SUMMARY</t>
  </si>
  <si>
    <t>Key Performance Indicators</t>
  </si>
  <si>
    <t>Best Digital Performer</t>
  </si>
  <si>
    <t>Highest Revenue Branch</t>
  </si>
  <si>
    <t>Youngest Customer Base</t>
  </si>
  <si>
    <t>Highest Risk Branch</t>
  </si>
  <si>
    <t>Sum of Quarterly_Revenue</t>
  </si>
  <si>
    <t>Average of Digital_Adoption_Pct</t>
  </si>
  <si>
    <t>Metric</t>
  </si>
  <si>
    <t>Market Share</t>
  </si>
  <si>
    <t>Digital Rating</t>
  </si>
  <si>
    <t>Customer Sat</t>
  </si>
  <si>
    <t>Innovation Score</t>
  </si>
  <si>
    <t>Our Value</t>
  </si>
  <si>
    <t>Best Competitor</t>
  </si>
  <si>
    <t>Their Value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</si>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</sst>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rgb="FF0061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1" fillId="6" borderId="4" xfId="11"/>
    <xf numFmtId="0" fontId="12" fillId="6" borderId="4" xfId="11" applyFon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0" fontId="0" fillId="0" borderId="0" xfId="0" applyNumberFormat="1"/>
    <xf numFmtId="0" fontId="6" fillId="2" borderId="0" xfId="6"/>
    <xf numFmtId="0" fontId="19" fillId="2" borderId="0" xfId="6" applyFont="1"/>
    <xf numFmtId="9" fontId="12" fillId="6" borderId="4" xfId="11" applyNumberFormat="1" applyFont="1"/>
    <xf numFmtId="2" fontId="12" fillId="6" borderId="4" xfId="11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Competitive Positioning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noFill/>
            <a:ln>
              <a:solidFill>
                <a:schemeClr val="accent2"/>
              </a:solidFill>
            </a:ln>
            <a:effectLst>
              <a:glow rad="63500">
                <a:schemeClr val="accent1">
                  <a:alpha val="18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1.2202096502729996E-2"/>
                  <c:y val="-1.5252620017802729E-2"/>
                </c:manualLayout>
              </c:layout>
              <c:tx>
                <c:rich>
                  <a:bodyPr/>
                  <a:lstStyle/>
                  <a:p>
                    <a:fld id="{C0A876E9-EDC7-4115-ABF6-43263CD7E76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3C78CC0-FE4B-45D7-9D61-9A14BDD92D9B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92B-4F29-83A0-FE1F8F8E5B34}"/>
                </c:ext>
              </c:extLst>
            </c:dLbl>
            <c:dLbl>
              <c:idx val="1"/>
              <c:layout>
                <c:manualLayout>
                  <c:x val="-0.13269779946719112"/>
                  <c:y val="-0.15506830351432777"/>
                </c:manualLayout>
              </c:layout>
              <c:tx>
                <c:rich>
                  <a:bodyPr/>
                  <a:lstStyle/>
                  <a:p>
                    <a:fld id="{48E0FB18-1C5B-451A-812A-377D0DF27A6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0D6A7E-5920-474E-8471-F8B3E484BB8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92B-4F29-83A0-FE1F8F8E5B34}"/>
                </c:ext>
              </c:extLst>
            </c:dLbl>
            <c:dLbl>
              <c:idx val="2"/>
              <c:layout>
                <c:manualLayout>
                  <c:x val="-0.1220209650273022"/>
                  <c:y val="0.13981568349652493"/>
                </c:manualLayout>
              </c:layout>
              <c:tx>
                <c:rich>
                  <a:bodyPr/>
                  <a:lstStyle/>
                  <a:p>
                    <a:fld id="{E0DE8E1D-F979-4376-A175-78204530738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7EB0BE-05D6-46F1-BC55-FB4D49C51ED6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92B-4F29-83A0-FE1F8F8E5B34}"/>
                </c:ext>
              </c:extLst>
            </c:dLbl>
            <c:dLbl>
              <c:idx val="3"/>
              <c:layout>
                <c:manualLayout>
                  <c:x val="1.8303144754095328E-2"/>
                  <c:y val="-8.6431513434215429E-2"/>
                </c:manualLayout>
              </c:layout>
              <c:tx>
                <c:rich>
                  <a:bodyPr/>
                  <a:lstStyle/>
                  <a:p>
                    <a:fld id="{9ADA7177-EE69-4DA3-9A24-92D01E42A68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A10159C-BC33-4DEC-99A2-9B0EEBE278F7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92B-4F29-83A0-FE1F8F8E5B34}"/>
                </c:ext>
              </c:extLst>
            </c:dLbl>
            <c:dLbl>
              <c:idx val="4"/>
              <c:layout>
                <c:manualLayout>
                  <c:x val="4.8808386010920822E-2"/>
                  <c:y val="-2.2878930026704141E-2"/>
                </c:manualLayout>
              </c:layout>
              <c:tx>
                <c:rich>
                  <a:bodyPr/>
                  <a:lstStyle/>
                  <a:p>
                    <a:fld id="{B40E4AA1-DBAA-4826-BDF2-B5ED46300C7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1C8ADF4-E396-493A-A9D3-E3411D5349A7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92B-4F29-83A0-FE1F8F8E5B34}"/>
                </c:ext>
              </c:extLst>
            </c:dLbl>
            <c:dLbl>
              <c:idx val="5"/>
              <c:layout>
                <c:manualLayout>
                  <c:x val="-6.8636792827857507E-2"/>
                  <c:y val="-0.12710516681502276"/>
                </c:manualLayout>
              </c:layout>
              <c:tx>
                <c:rich>
                  <a:bodyPr/>
                  <a:lstStyle/>
                  <a:p>
                    <a:fld id="{CD5D4E1D-40BE-48A3-AB70-19B12EC2FC5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E384D99-E147-4E3F-B216-D70CB64A5360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92B-4F29-83A0-FE1F8F8E5B34}"/>
                </c:ext>
              </c:extLst>
            </c:dLbl>
            <c:dLbl>
              <c:idx val="6"/>
              <c:layout>
                <c:manualLayout>
                  <c:x val="3.0505241256825548E-3"/>
                  <c:y val="6.3552583407511382E-2"/>
                </c:manualLayout>
              </c:layout>
              <c:tx>
                <c:rich>
                  <a:bodyPr/>
                  <a:lstStyle/>
                  <a:p>
                    <a:fld id="{C83B681C-65F5-4668-93B7-BCF9A98D588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0DC3291-3E5F-468F-97BB-0EF510A11C47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92B-4F29-83A0-FE1F8F8E5B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'Competitive Analysis'!$B$2:$B$8</c:f>
              <c:numCache>
                <c:formatCode>General</c:formatCode>
                <c:ptCount val="7"/>
                <c:pt idx="0">
                  <c:v>23.4</c:v>
                </c:pt>
                <c:pt idx="1">
                  <c:v>21.7</c:v>
                </c:pt>
                <c:pt idx="2">
                  <c:v>18.899999999999999</c:v>
                </c:pt>
                <c:pt idx="3">
                  <c:v>4.8</c:v>
                </c:pt>
                <c:pt idx="4">
                  <c:v>3.9</c:v>
                </c:pt>
                <c:pt idx="5">
                  <c:v>2.1</c:v>
                </c:pt>
                <c:pt idx="6">
                  <c:v>6.2</c:v>
                </c:pt>
              </c:numCache>
            </c:numRef>
          </c:xVal>
          <c:yVal>
            <c:numRef>
              <c:f>'Competitive Analysis'!$C$2:$C$8</c:f>
              <c:numCache>
                <c:formatCode>General</c:formatCode>
                <c:ptCount val="7"/>
                <c:pt idx="0">
                  <c:v>8.9</c:v>
                </c:pt>
                <c:pt idx="1">
                  <c:v>8.6999999999999993</c:v>
                </c:pt>
                <c:pt idx="2">
                  <c:v>8.4</c:v>
                </c:pt>
                <c:pt idx="3">
                  <c:v>6.2</c:v>
                </c:pt>
                <c:pt idx="4">
                  <c:v>9.3000000000000007</c:v>
                </c:pt>
                <c:pt idx="5">
                  <c:v>9.8000000000000007</c:v>
                </c:pt>
                <c:pt idx="6">
                  <c:v>5.4</c:v>
                </c:pt>
              </c:numCache>
            </c:numRef>
          </c:yVal>
          <c:bubbleSize>
            <c:numRef>
              <c:f>'Competitive Analysis'!$D$2:$D$8</c:f>
              <c:numCache>
                <c:formatCode>General</c:formatCode>
                <c:ptCount val="7"/>
                <c:pt idx="0">
                  <c:v>8.1999999999999993</c:v>
                </c:pt>
                <c:pt idx="1">
                  <c:v>8</c:v>
                </c:pt>
                <c:pt idx="2">
                  <c:v>7.9</c:v>
                </c:pt>
                <c:pt idx="3">
                  <c:v>8.1</c:v>
                </c:pt>
                <c:pt idx="4">
                  <c:v>7.6</c:v>
                </c:pt>
                <c:pt idx="5">
                  <c:v>8.4</c:v>
                </c:pt>
                <c:pt idx="6">
                  <c:v>8.6999999999999993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'Competitive Analysis'!$A$2:$A$8</c15:f>
                <c15:dlblRangeCache>
                  <c:ptCount val="7"/>
                  <c:pt idx="0">
                    <c:v>RBC</c:v>
                  </c:pt>
                  <c:pt idx="1">
                    <c:v>TD Bank</c:v>
                  </c:pt>
                  <c:pt idx="2">
                    <c:v>BMO</c:v>
                  </c:pt>
                  <c:pt idx="3">
                    <c:v>StreamlineBank</c:v>
                  </c:pt>
                  <c:pt idx="4">
                    <c:v>Tangerine</c:v>
                  </c:pt>
                  <c:pt idx="5">
                    <c:v>Koala</c:v>
                  </c:pt>
                  <c:pt idx="6">
                    <c:v>Credit Unions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92B-4F29-83A0-FE1F8F8E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35233535"/>
        <c:axId val="235233055"/>
      </c:bubbleChart>
      <c:valAx>
        <c:axId val="235233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Digital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33055"/>
        <c:crosses val="autoZero"/>
        <c:crossBetween val="midCat"/>
      </c:valAx>
      <c:valAx>
        <c:axId val="2352330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65000"/>
                      <a:lumOff val="35000"/>
                      <a:alpha val="24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3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>
  <cs:dataPoint3D>
    <cs:lnRef idx="0">
      <cs:styleClr val="auto"/>
    </cs:lnRef>
    <cs:fillRef idx="0"/>
    <cs:effectRef idx="0">
      <cs:styleClr val="auto"/>
    </cs:effectRef>
    <cs:fontRef idx="minor">
      <a:schemeClr val="tx1"/>
    </cs:fontRef>
    <cs:spPr>
      <a:ln>
        <a:solidFill>
          <a:schemeClr val="phClr"/>
        </a:solidFill>
      </a:ln>
      <a:effectLst>
        <a:glow rad="63500">
          <a:schemeClr val="phClr">
            <a:alpha val="18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4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dk1">
          <a:lumMod val="85000"/>
          <a:lumOff val="15000"/>
        </a:schemeClr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100000">
              <a:schemeClr val="dk1">
                <a:lumMod val="65000"/>
                <a:lumOff val="35000"/>
                <a:alpha val="24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  <a:alpha val="46000"/>
              </a:schemeClr>
            </a:gs>
            <a:gs pos="100000">
              <a:schemeClr val="dk1">
                <a:lumMod val="75000"/>
                <a:lumOff val="25000"/>
                <a:alpha val="42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tx1"/>
    </cs:fontRef>
    <cs:spPr>
      <a:solidFill>
        <a:schemeClr val="tx1">
          <a:lumMod val="85000"/>
          <a:lumOff val="15000"/>
        </a:schemeClr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13</xdr:row>
      <xdr:rowOff>33336</xdr:rowOff>
    </xdr:from>
    <xdr:to>
      <xdr:col>6</xdr:col>
      <xdr:colOff>954088</xdr:colOff>
      <xdr:row>39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14FAA32-4CA5-64ED-C334-73125B810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sential%20competitive%20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_Tables"/>
      <sheetName val="Branch Summary"/>
      <sheetName val="Customer Records"/>
      <sheetName val="Quarterly data"/>
      <sheetName val="Core product performance"/>
      <sheetName val="Essential competitive data "/>
      <sheetName val="Essential competitive data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RBC</v>
          </cell>
          <cell r="B2">
            <v>23.4</v>
          </cell>
          <cell r="C2">
            <v>8.9</v>
          </cell>
          <cell r="D2">
            <v>8.1999999999999993</v>
          </cell>
          <cell r="E2">
            <v>9.1</v>
          </cell>
          <cell r="F2" t="str">
            <v>All Demographics</v>
          </cell>
        </row>
        <row r="3">
          <cell r="A3" t="str">
            <v>TD Bank</v>
          </cell>
          <cell r="B3">
            <v>21.7</v>
          </cell>
          <cell r="C3">
            <v>8.6999999999999993</v>
          </cell>
          <cell r="D3">
            <v>8</v>
          </cell>
          <cell r="E3">
            <v>8.9</v>
          </cell>
          <cell r="F3" t="str">
            <v>All Demographics</v>
          </cell>
        </row>
        <row r="4">
          <cell r="A4" t="str">
            <v>BMO</v>
          </cell>
          <cell r="B4">
            <v>18.899999999999999</v>
          </cell>
          <cell r="C4">
            <v>8.4</v>
          </cell>
          <cell r="D4">
            <v>7.9</v>
          </cell>
          <cell r="E4">
            <v>8.6</v>
          </cell>
          <cell r="F4" t="str">
            <v>All Demographics</v>
          </cell>
        </row>
        <row r="5">
          <cell r="A5" t="str">
            <v>StreamlineBank</v>
          </cell>
          <cell r="B5">
            <v>4.8</v>
          </cell>
          <cell r="C5">
            <v>6.2</v>
          </cell>
          <cell r="D5">
            <v>8.1</v>
          </cell>
          <cell r="E5">
            <v>6.8</v>
          </cell>
          <cell r="F5" t="str">
            <v>Traditional/Community</v>
          </cell>
        </row>
        <row r="6">
          <cell r="A6" t="str">
            <v>Tangerine</v>
          </cell>
          <cell r="B6">
            <v>3.9</v>
          </cell>
          <cell r="C6">
            <v>9.3000000000000007</v>
          </cell>
          <cell r="D6">
            <v>7.6</v>
          </cell>
          <cell r="E6">
            <v>9.4</v>
          </cell>
          <cell r="F6" t="str">
            <v>Young Professionals</v>
          </cell>
        </row>
        <row r="7">
          <cell r="A7" t="str">
            <v>Koala</v>
          </cell>
          <cell r="B7">
            <v>2.1</v>
          </cell>
          <cell r="C7">
            <v>9.8000000000000007</v>
          </cell>
          <cell r="D7">
            <v>8.4</v>
          </cell>
          <cell r="E7">
            <v>9.6999999999999993</v>
          </cell>
          <cell r="F7" t="str">
            <v>Gen Z/Millennials</v>
          </cell>
        </row>
        <row r="8">
          <cell r="A8" t="str">
            <v>Credit Unions</v>
          </cell>
          <cell r="B8">
            <v>6.2</v>
          </cell>
          <cell r="C8">
            <v>5.4</v>
          </cell>
          <cell r="D8">
            <v>8.6999999999999993</v>
          </cell>
          <cell r="E8">
            <v>5.9</v>
          </cell>
          <cell r="F8" t="str">
            <v>Community-Focused</v>
          </cell>
        </row>
      </sheetData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hia kosha" refreshedDate="45862.538872916666" createdVersion="8" refreshedVersion="8" minRefreshableVersion="3" recordCount="50" xr:uid="{29C30B04-74D5-48B2-B783-3D7AB24862AD}">
  <cacheSource type="worksheet">
    <worksheetSource ref="A1:Q51" sheet="50 Customer Records"/>
  </cacheSource>
  <cacheFields count="17">
    <cacheField name="Customer_ID" numFmtId="0">
      <sharedItems/>
    </cacheField>
    <cacheField name="Branch" numFmtId="0">
      <sharedItems count="5">
        <s v="Toronto-King Street"/>
        <s v="Ottawa-Rideau"/>
        <s v="Montreal-Plateau"/>
        <s v="Hamilton-Downtown"/>
        <s v="Quebec City-Vieux"/>
      </sharedItems>
    </cacheField>
    <cacheField name="Age" numFmtId="0">
      <sharedItems containsSemiMixedTypes="0" containsString="0" containsNumber="1" containsInteger="1" minValue="28" maxValue="54"/>
    </cacheField>
    <cacheField name="Gender" numFmtId="0">
      <sharedItems/>
    </cacheField>
    <cacheField name="Income_Range" numFmtId="0">
      <sharedItems/>
    </cacheField>
    <cacheField name="Account_Type" numFmtId="0">
      <sharedItems/>
    </cacheField>
    <cacheField name="Tenure_Years" numFmtId="0">
      <sharedItems containsSemiMixedTypes="0" containsString="0" containsNumber="1" containsInteger="1" minValue="2" maxValue="17"/>
    </cacheField>
    <cacheField name="Digital_Adoption_Score" numFmtId="0">
      <sharedItems containsSemiMixedTypes="0" containsString="0" containsNumber="1" minValue="4.2" maxValue="9.1"/>
    </cacheField>
    <cacheField name="Monthly_Transactions" numFmtId="0">
      <sharedItems containsSemiMixedTypes="0" containsString="0" containsNumber="1" containsInteger="1" minValue="24" maxValue="52"/>
    </cacheField>
    <cacheField name="Digital_Transactions_Pct" numFmtId="0">
      <sharedItems containsSemiMixedTypes="0" containsString="0" containsNumber="1" containsInteger="1" minValue="43" maxValue="89"/>
    </cacheField>
    <cacheField name="Product_Count" numFmtId="0">
      <sharedItems containsSemiMixedTypes="0" containsString="0" containsNumber="1" containsInteger="1" minValue="2" maxValue="8"/>
    </cacheField>
    <cacheField name="Satisfaction_Score" numFmtId="0">
      <sharedItems containsSemiMixedTypes="0" containsString="0" containsNumber="1" minValue="7.2" maxValue="9.1999999999999993"/>
    </cacheField>
    <cacheField name="Churn_Risk" numFmtId="0">
      <sharedItems count="2">
        <s v="Low"/>
        <s v="Medium"/>
      </sharedItems>
    </cacheField>
    <cacheField name="Age Group" numFmtId="0">
      <sharedItems count="3">
        <s v="Under 30"/>
        <s v="30-44"/>
        <s v="45-59"/>
      </sharedItems>
    </cacheField>
    <cacheField name="Revenue Segment" numFmtId="0">
      <sharedItems count="3">
        <s v="Lower Income"/>
        <s v="Mid Income"/>
        <s v="High Income"/>
      </sharedItems>
    </cacheField>
    <cacheField name="Digital Engagement Level" numFmtId="0">
      <sharedItems count="3">
        <s v="High Digital"/>
        <s v="Medium Digital"/>
        <s v="Low Digital"/>
      </sharedItems>
    </cacheField>
    <cacheField name="Customer Value Score" numFmtId="0">
      <sharedItems containsSemiMixedTypes="0" containsString="0" containsNumber="1" minValue="4.1419999999999995" maxValue="5.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hia kosha" refreshedDate="45862.693386921295" createdVersion="8" refreshedVersion="8" minRefreshableVersion="3" recordCount="30" xr:uid="{77FC6A81-4DA7-4DAE-A8E5-36454FDD83AA}">
  <cacheSource type="worksheet">
    <worksheetSource ref="A1:G31" sheet="Core product performance"/>
  </cacheSource>
  <cacheFields count="7">
    <cacheField name="Branch" numFmtId="0">
      <sharedItems count="5">
        <s v="Toronto-King Street"/>
        <s v="Ottawa-Rideau"/>
        <s v="Montreal-Plateau"/>
        <s v="Hamilton-Downtown"/>
        <s v="Quebec City-Vieux"/>
      </sharedItems>
    </cacheField>
    <cacheField name="Product_Type" numFmtId="0">
      <sharedItems count="6">
        <s v="Checking Account"/>
        <s v="Savings Account"/>
        <s v="Credit Card"/>
        <s v="Mortgage"/>
        <s v="Investment Account"/>
        <s v="Business Account"/>
      </sharedItems>
    </cacheField>
    <cacheField name="Active_Users" numFmtId="0">
      <sharedItems containsSemiMixedTypes="0" containsString="0" containsNumber="1" containsInteger="1" minValue="923" maxValue="12450"/>
    </cacheField>
    <cacheField name="Quarterly_Revenue" numFmtId="0">
      <sharedItems containsSemiMixedTypes="0" containsString="0" containsNumber="1" containsInteger="1" minValue="75000" maxValue="702000"/>
    </cacheField>
    <cacheField name="Digital_Adoption_Pct" numFmtId="0">
      <sharedItems containsSemiMixedTypes="0" containsString="0" containsNumber="1" containsInteger="1" minValue="37" maxValue="83"/>
    </cacheField>
    <cacheField name="Satisfaction_Score" numFmtId="0">
      <sharedItems containsSemiMixedTypes="0" containsString="0" containsNumber="1" minValue="7.5" maxValue="8.6999999999999993"/>
    </cacheField>
    <cacheField name="Churn_Rate" numFmtId="0">
      <sharedItems containsSemiMixedTypes="0" containsString="0" containsNumber="1" minValue="0.8" maxValue="3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C001"/>
    <x v="0"/>
    <n v="28"/>
    <s v="Female"/>
    <s v="50000-75000"/>
    <s v="Premium"/>
    <n v="3"/>
    <n v="8.1999999999999993"/>
    <n v="45"/>
    <n v="78"/>
    <n v="4"/>
    <n v="7.8"/>
    <x v="0"/>
    <x v="0"/>
    <x v="0"/>
    <x v="0"/>
    <n v="5.2859999999999996"/>
  </r>
  <r>
    <s v="C002"/>
    <x v="0"/>
    <n v="34"/>
    <s v="Male"/>
    <s v="75000-100000"/>
    <s v="Premium"/>
    <n v="7"/>
    <n v="9.1"/>
    <n v="52"/>
    <n v="82"/>
    <n v="5"/>
    <n v="8.1"/>
    <x v="0"/>
    <x v="1"/>
    <x v="0"/>
    <x v="0"/>
    <n v="5.899"/>
  </r>
  <r>
    <s v="C003"/>
    <x v="0"/>
    <n v="45"/>
    <s v="Female"/>
    <s v="100000-150000"/>
    <s v="Premium"/>
    <n v="12"/>
    <n v="6.8"/>
    <n v="38"/>
    <n v="65"/>
    <n v="6"/>
    <n v="7.2"/>
    <x v="1"/>
    <x v="2"/>
    <x v="1"/>
    <x v="1"/>
    <n v="4.91"/>
  </r>
  <r>
    <s v="C004"/>
    <x v="0"/>
    <n v="29"/>
    <s v="Male"/>
    <s v="25000-50000"/>
    <s v="Standard"/>
    <n v="2"/>
    <n v="7.9"/>
    <n v="28"/>
    <n v="85"/>
    <n v="2"/>
    <n v="7.5"/>
    <x v="0"/>
    <x v="0"/>
    <x v="0"/>
    <x v="1"/>
    <n v="4.5250000000000004"/>
  </r>
  <r>
    <s v="C005"/>
    <x v="0"/>
    <n v="52"/>
    <s v="Male"/>
    <s v="150000+"/>
    <s v="Premium"/>
    <n v="15"/>
    <n v="4.2"/>
    <n v="42"/>
    <n v="45"/>
    <n v="7"/>
    <n v="8.9"/>
    <x v="0"/>
    <x v="2"/>
    <x v="2"/>
    <x v="2"/>
    <n v="4.5750000000000002"/>
  </r>
  <r>
    <s v="C006"/>
    <x v="0"/>
    <n v="41"/>
    <s v="Male"/>
    <s v="100000-150000"/>
    <s v="Premium"/>
    <n v="9"/>
    <n v="5.8"/>
    <n v="47"/>
    <n v="59"/>
    <n v="5"/>
    <n v="8.6"/>
    <x v="0"/>
    <x v="1"/>
    <x v="1"/>
    <x v="2"/>
    <n v="4.8380000000000001"/>
  </r>
  <r>
    <s v="C007"/>
    <x v="0"/>
    <n v="36"/>
    <s v="Female"/>
    <s v="75000-100000"/>
    <s v="Premium"/>
    <n v="6"/>
    <n v="8.3000000000000007"/>
    <n v="44"/>
    <n v="77"/>
    <n v="4"/>
    <n v="7.9"/>
    <x v="0"/>
    <x v="1"/>
    <x v="0"/>
    <x v="0"/>
    <n v="5.3089999999999993"/>
  </r>
  <r>
    <s v="C008"/>
    <x v="0"/>
    <n v="50"/>
    <s v="Male"/>
    <s v="150000+"/>
    <s v="Premium"/>
    <n v="13"/>
    <n v="4.9000000000000004"/>
    <n v="39"/>
    <n v="49"/>
    <n v="8"/>
    <n v="9.1999999999999993"/>
    <x v="0"/>
    <x v="2"/>
    <x v="2"/>
    <x v="2"/>
    <n v="4.9279999999999999"/>
  </r>
  <r>
    <s v="C009"/>
    <x v="0"/>
    <n v="31"/>
    <s v="Female"/>
    <s v="50000-75000"/>
    <s v="Standard"/>
    <n v="4"/>
    <n v="8"/>
    <n v="32"/>
    <n v="81"/>
    <n v="3"/>
    <n v="7.7"/>
    <x v="0"/>
    <x v="1"/>
    <x v="0"/>
    <x v="0"/>
    <n v="4.8070000000000004"/>
  </r>
  <r>
    <s v="C010"/>
    <x v="0"/>
    <n v="43"/>
    <s v="Male"/>
    <s v="100000-150000"/>
    <s v="Premium"/>
    <n v="10"/>
    <n v="6.5"/>
    <n v="41"/>
    <n v="62"/>
    <n v="6"/>
    <n v="8.4"/>
    <x v="0"/>
    <x v="1"/>
    <x v="1"/>
    <x v="1"/>
    <n v="5.0540000000000003"/>
  </r>
  <r>
    <s v="C011"/>
    <x v="1"/>
    <n v="37"/>
    <s v="Female"/>
    <s v="75000-100000"/>
    <s v="Standard"/>
    <n v="7"/>
    <n v="7.6"/>
    <n v="38"/>
    <n v="71"/>
    <n v="3"/>
    <n v="8.1"/>
    <x v="0"/>
    <x v="1"/>
    <x v="0"/>
    <x v="1"/>
    <n v="4.8469999999999995"/>
  </r>
  <r>
    <s v="C012"/>
    <x v="1"/>
    <n v="29"/>
    <s v="Male"/>
    <s v="25000-50000"/>
    <s v="Standard"/>
    <n v="2"/>
    <n v="9"/>
    <n v="26"/>
    <n v="89"/>
    <n v="2"/>
    <n v="7.4"/>
    <x v="1"/>
    <x v="0"/>
    <x v="0"/>
    <x v="0"/>
    <n v="4.8079999999999998"/>
  </r>
  <r>
    <s v="C013"/>
    <x v="1"/>
    <n v="54"/>
    <s v="Female"/>
    <s v="150000+"/>
    <s v="Premium"/>
    <n v="17"/>
    <n v="4.3"/>
    <n v="35"/>
    <n v="43"/>
    <n v="7"/>
    <n v="8.8000000000000007"/>
    <x v="0"/>
    <x v="2"/>
    <x v="2"/>
    <x v="2"/>
    <n v="4.4459999999999997"/>
  </r>
  <r>
    <s v="C014"/>
    <x v="1"/>
    <n v="32"/>
    <s v="Male"/>
    <s v="50000-75000"/>
    <s v="Premium"/>
    <n v="5"/>
    <n v="8.1999999999999993"/>
    <n v="40"/>
    <n v="78"/>
    <n v="4"/>
    <n v="7.8"/>
    <x v="0"/>
    <x v="1"/>
    <x v="0"/>
    <x v="0"/>
    <n v="5.1859999999999999"/>
  </r>
  <r>
    <s v="C015"/>
    <x v="1"/>
    <n v="46"/>
    <s v="Female"/>
    <s v="100000-150000"/>
    <s v="Premium"/>
    <n v="11"/>
    <n v="6"/>
    <n v="43"/>
    <n v="56"/>
    <n v="5"/>
    <n v="8.5"/>
    <x v="0"/>
    <x v="2"/>
    <x v="1"/>
    <x v="1"/>
    <n v="4.7969999999999997"/>
  </r>
  <r>
    <s v="C016"/>
    <x v="1"/>
    <n v="40"/>
    <s v="Male"/>
    <s v="75000-100000"/>
    <s v="Standard"/>
    <n v="8"/>
    <n v="7.1"/>
    <n v="37"/>
    <n v="68"/>
    <n v="3"/>
    <n v="8"/>
    <x v="0"/>
    <x v="1"/>
    <x v="0"/>
    <x v="1"/>
    <n v="4.6560000000000006"/>
  </r>
  <r>
    <s v="C017"/>
    <x v="1"/>
    <n v="33"/>
    <s v="Female"/>
    <s v="50000-75000"/>
    <s v="Premium"/>
    <n v="4"/>
    <n v="8.5"/>
    <n v="42"/>
    <n v="75"/>
    <n v="4"/>
    <n v="7.9"/>
    <x v="0"/>
    <x v="1"/>
    <x v="0"/>
    <x v="0"/>
    <n v="5.3249999999999993"/>
  </r>
  <r>
    <s v="C018"/>
    <x v="1"/>
    <n v="48"/>
    <s v="Male"/>
    <s v="100000-150000"/>
    <s v="Premium"/>
    <n v="12"/>
    <n v="5.7"/>
    <n v="45"/>
    <n v="54"/>
    <n v="6"/>
    <n v="8.6999999999999993"/>
    <x v="0"/>
    <x v="2"/>
    <x v="1"/>
    <x v="2"/>
    <n v="4.923"/>
  </r>
  <r>
    <s v="C019"/>
    <x v="1"/>
    <n v="30"/>
    <s v="Female"/>
    <s v="25000-50000"/>
    <s v="Standard"/>
    <n v="3"/>
    <n v="8.6999999999999993"/>
    <n v="29"/>
    <n v="86"/>
    <n v="2"/>
    <n v="7.5"/>
    <x v="1"/>
    <x v="1"/>
    <x v="0"/>
    <x v="0"/>
    <n v="4.7869999999999999"/>
  </r>
  <r>
    <s v="C020"/>
    <x v="1"/>
    <n v="52"/>
    <s v="Male"/>
    <s v="150000+"/>
    <s v="Premium"/>
    <n v="16"/>
    <n v="4.4000000000000004"/>
    <n v="38"/>
    <n v="44"/>
    <n v="7"/>
    <n v="9"/>
    <x v="0"/>
    <x v="2"/>
    <x v="2"/>
    <x v="2"/>
    <n v="4.5679999999999996"/>
  </r>
  <r>
    <s v="C021"/>
    <x v="2"/>
    <n v="38"/>
    <s v="Female"/>
    <s v="75000-100000"/>
    <s v="Standard"/>
    <n v="6"/>
    <n v="7.4"/>
    <n v="36"/>
    <n v="70"/>
    <n v="3"/>
    <n v="8.1999999999999993"/>
    <x v="0"/>
    <x v="1"/>
    <x v="0"/>
    <x v="1"/>
    <n v="4.76"/>
  </r>
  <r>
    <s v="C022"/>
    <x v="2"/>
    <n v="45"/>
    <s v="Male"/>
    <s v="100000-150000"/>
    <s v="Premium"/>
    <n v="11"/>
    <n v="6.1"/>
    <n v="44"/>
    <n v="58"/>
    <n v="5"/>
    <n v="8.3000000000000007"/>
    <x v="0"/>
    <x v="2"/>
    <x v="1"/>
    <x v="1"/>
    <n v="4.8209999999999997"/>
  </r>
  <r>
    <s v="C023"/>
    <x v="2"/>
    <n v="32"/>
    <s v="Female"/>
    <s v="50000-75000"/>
    <s v="Premium"/>
    <n v="5"/>
    <n v="8.1"/>
    <n v="41"/>
    <n v="76"/>
    <n v="4"/>
    <n v="7.7"/>
    <x v="0"/>
    <x v="1"/>
    <x v="0"/>
    <x v="0"/>
    <n v="5.157"/>
  </r>
  <r>
    <s v="C024"/>
    <x v="2"/>
    <n v="49"/>
    <s v="Male"/>
    <s v="150000+"/>
    <s v="Premium"/>
    <n v="14"/>
    <n v="5"/>
    <n v="40"/>
    <n v="51"/>
    <n v="6"/>
    <n v="8.9"/>
    <x v="0"/>
    <x v="2"/>
    <x v="2"/>
    <x v="2"/>
    <n v="4.6369999999999996"/>
  </r>
  <r>
    <s v="C025"/>
    <x v="2"/>
    <n v="28"/>
    <s v="Female"/>
    <s v="25000-50000"/>
    <s v="Standard"/>
    <n v="2"/>
    <n v="8.9"/>
    <n v="25"/>
    <n v="87"/>
    <n v="2"/>
    <n v="7.3"/>
    <x v="1"/>
    <x v="0"/>
    <x v="0"/>
    <x v="0"/>
    <n v="4.7389999999999999"/>
  </r>
  <r>
    <s v="C026"/>
    <x v="2"/>
    <n v="43"/>
    <s v="Male"/>
    <s v="100000-150000"/>
    <s v="Premium"/>
    <n v="10"/>
    <n v="6.2"/>
    <n v="46"/>
    <n v="60"/>
    <n v="5"/>
    <n v="8.6"/>
    <x v="0"/>
    <x v="1"/>
    <x v="1"/>
    <x v="1"/>
    <n v="4.9399999999999995"/>
  </r>
  <r>
    <s v="C027"/>
    <x v="2"/>
    <n v="35"/>
    <s v="Female"/>
    <s v="75000-100000"/>
    <s v="Standard"/>
    <n v="7"/>
    <n v="7.7"/>
    <n v="37"/>
    <n v="73"/>
    <n v="3"/>
    <n v="8"/>
    <x v="0"/>
    <x v="1"/>
    <x v="0"/>
    <x v="1"/>
    <n v="4.8460000000000001"/>
  </r>
  <r>
    <s v="C028"/>
    <x v="2"/>
    <n v="51"/>
    <s v="Male"/>
    <s v="150000+"/>
    <s v="Premium"/>
    <n v="15"/>
    <n v="4.7"/>
    <n v="42"/>
    <n v="47"/>
    <n v="7"/>
    <n v="8.8000000000000007"/>
    <x v="0"/>
    <x v="2"/>
    <x v="2"/>
    <x v="2"/>
    <n v="4.7140000000000004"/>
  </r>
  <r>
    <s v="C029"/>
    <x v="2"/>
    <n v="29"/>
    <s v="Female"/>
    <s v="25000-50000"/>
    <s v="Standard"/>
    <n v="3"/>
    <n v="8.4"/>
    <n v="27"/>
    <n v="82"/>
    <n v="2"/>
    <n v="7.6"/>
    <x v="1"/>
    <x v="0"/>
    <x v="0"/>
    <x v="0"/>
    <n v="4.6639999999999997"/>
  </r>
  <r>
    <s v="C030"/>
    <x v="2"/>
    <n v="41"/>
    <s v="Male"/>
    <s v="75000-100000"/>
    <s v="Premium"/>
    <n v="9"/>
    <n v="6.9"/>
    <n v="43"/>
    <n v="64"/>
    <n v="4"/>
    <n v="8.1"/>
    <x v="0"/>
    <x v="1"/>
    <x v="0"/>
    <x v="1"/>
    <n v="4.8729999999999993"/>
  </r>
  <r>
    <s v="C031"/>
    <x v="3"/>
    <n v="39"/>
    <s v="Male"/>
    <s v="75000-100000"/>
    <s v="Standard"/>
    <n v="7"/>
    <n v="7.2"/>
    <n v="36"/>
    <n v="69"/>
    <n v="3"/>
    <n v="7.9"/>
    <x v="0"/>
    <x v="1"/>
    <x v="0"/>
    <x v="1"/>
    <n v="4.6530000000000005"/>
  </r>
  <r>
    <s v="C032"/>
    <x v="3"/>
    <n v="44"/>
    <s v="Female"/>
    <s v="50000-75000"/>
    <s v="Premium"/>
    <n v="10"/>
    <n v="6.3"/>
    <n v="41"/>
    <n v="61"/>
    <n v="5"/>
    <n v="8.1"/>
    <x v="0"/>
    <x v="1"/>
    <x v="0"/>
    <x v="1"/>
    <n v="4.7969999999999997"/>
  </r>
  <r>
    <s v="C033"/>
    <x v="3"/>
    <n v="29"/>
    <s v="Male"/>
    <s v="25000-50000"/>
    <s v="Standard"/>
    <n v="3"/>
    <n v="8.1"/>
    <n v="27"/>
    <n v="79"/>
    <n v="2"/>
    <n v="7.4"/>
    <x v="0"/>
    <x v="0"/>
    <x v="0"/>
    <x v="0"/>
    <n v="4.5379999999999994"/>
  </r>
  <r>
    <s v="C034"/>
    <x v="3"/>
    <n v="51"/>
    <s v="Female"/>
    <s v="100000-150000"/>
    <s v="Premium"/>
    <n v="14"/>
    <n v="5.2"/>
    <n v="43"/>
    <n v="48"/>
    <n v="6"/>
    <n v="8.5"/>
    <x v="0"/>
    <x v="2"/>
    <x v="1"/>
    <x v="2"/>
    <n v="4.6909999999999998"/>
  </r>
  <r>
    <s v="C035"/>
    <x v="3"/>
    <n v="33"/>
    <s v="Male"/>
    <s v="75000-100000"/>
    <s v="Premium"/>
    <n v="5"/>
    <n v="8.9"/>
    <n v="44"/>
    <n v="81"/>
    <n v="4"/>
    <n v="7.7"/>
    <x v="0"/>
    <x v="1"/>
    <x v="0"/>
    <x v="0"/>
    <n v="5.4669999999999996"/>
  </r>
  <r>
    <s v="C036"/>
    <x v="3"/>
    <n v="38"/>
    <s v="Female"/>
    <s v="75000-100000"/>
    <s v="Standard"/>
    <n v="6"/>
    <n v="7.4"/>
    <n v="36"/>
    <n v="70"/>
    <n v="3"/>
    <n v="8.1999999999999993"/>
    <x v="0"/>
    <x v="1"/>
    <x v="0"/>
    <x v="1"/>
    <n v="4.76"/>
  </r>
  <r>
    <s v="C037"/>
    <x v="3"/>
    <n v="45"/>
    <s v="Male"/>
    <s v="100000-150000"/>
    <s v="Premium"/>
    <n v="11"/>
    <n v="6.1"/>
    <n v="44"/>
    <n v="58"/>
    <n v="5"/>
    <n v="8.3000000000000007"/>
    <x v="0"/>
    <x v="2"/>
    <x v="1"/>
    <x v="1"/>
    <n v="4.8209999999999997"/>
  </r>
  <r>
    <s v="C038"/>
    <x v="3"/>
    <n v="32"/>
    <s v="Female"/>
    <s v="50000-75000"/>
    <s v="Premium"/>
    <n v="5"/>
    <n v="8.1"/>
    <n v="41"/>
    <n v="76"/>
    <n v="4"/>
    <n v="7.7"/>
    <x v="0"/>
    <x v="1"/>
    <x v="0"/>
    <x v="0"/>
    <n v="5.157"/>
  </r>
  <r>
    <s v="C039"/>
    <x v="3"/>
    <n v="49"/>
    <s v="Male"/>
    <s v="150000+"/>
    <s v="Premium"/>
    <n v="14"/>
    <n v="5"/>
    <n v="40"/>
    <n v="51"/>
    <n v="6"/>
    <n v="8.9"/>
    <x v="0"/>
    <x v="2"/>
    <x v="2"/>
    <x v="2"/>
    <n v="4.6369999999999996"/>
  </r>
  <r>
    <s v="C040"/>
    <x v="3"/>
    <n v="28"/>
    <s v="Female"/>
    <s v="25000-50000"/>
    <s v="Standard"/>
    <n v="2"/>
    <n v="8.9"/>
    <n v="25"/>
    <n v="87"/>
    <n v="2"/>
    <n v="7.3"/>
    <x v="1"/>
    <x v="0"/>
    <x v="0"/>
    <x v="0"/>
    <n v="4.7389999999999999"/>
  </r>
  <r>
    <s v="C041"/>
    <x v="4"/>
    <n v="46"/>
    <s v="Female"/>
    <s v="50000-75000"/>
    <s v="Standard"/>
    <n v="12"/>
    <n v="5.7"/>
    <n v="32"/>
    <n v="56"/>
    <n v="3"/>
    <n v="8.1999999999999993"/>
    <x v="0"/>
    <x v="2"/>
    <x v="0"/>
    <x v="2"/>
    <n v="4.1419999999999995"/>
  </r>
  <r>
    <s v="C042"/>
    <x v="4"/>
    <n v="38"/>
    <s v="Male"/>
    <s v="100000-150000"/>
    <s v="Premium"/>
    <n v="8"/>
    <n v="6.8"/>
    <n v="45"/>
    <n v="63"/>
    <n v="5"/>
    <n v="8.4"/>
    <x v="0"/>
    <x v="1"/>
    <x v="1"/>
    <x v="1"/>
    <n v="5.0759999999999996"/>
  </r>
  <r>
    <s v="C043"/>
    <x v="4"/>
    <n v="32"/>
    <s v="Female"/>
    <s v="75000-100000"/>
    <s v="Premium"/>
    <n v="6"/>
    <n v="7.9"/>
    <n v="39"/>
    <n v="74"/>
    <n v="4"/>
    <n v="7.9"/>
    <x v="0"/>
    <x v="1"/>
    <x v="0"/>
    <x v="1"/>
    <n v="5.0830000000000002"/>
  </r>
  <r>
    <s v="C044"/>
    <x v="4"/>
    <n v="49"/>
    <s v="Male"/>
    <s v="150000+"/>
    <s v="Premium"/>
    <n v="16"/>
    <n v="4.5"/>
    <n v="41"/>
    <n v="46"/>
    <n v="7"/>
    <n v="9"/>
    <x v="0"/>
    <x v="2"/>
    <x v="2"/>
    <x v="2"/>
    <n v="4.6619999999999999"/>
  </r>
  <r>
    <s v="C045"/>
    <x v="4"/>
    <n v="28"/>
    <s v="Female"/>
    <s v="25000-50000"/>
    <s v="Standard"/>
    <n v="2"/>
    <n v="8.6"/>
    <n v="24"/>
    <n v="83"/>
    <n v="2"/>
    <n v="7.2"/>
    <x v="1"/>
    <x v="0"/>
    <x v="0"/>
    <x v="0"/>
    <n v="4.6059999999999999"/>
  </r>
  <r>
    <s v="C046"/>
    <x v="4"/>
    <n v="43"/>
    <s v="Male"/>
    <s v="100000-150000"/>
    <s v="Premium"/>
    <n v="10"/>
    <n v="6.2"/>
    <n v="46"/>
    <n v="60"/>
    <n v="5"/>
    <n v="8.6"/>
    <x v="0"/>
    <x v="1"/>
    <x v="1"/>
    <x v="1"/>
    <n v="4.9399999999999995"/>
  </r>
  <r>
    <s v="C047"/>
    <x v="4"/>
    <n v="35"/>
    <s v="Female"/>
    <s v="75000-100000"/>
    <s v="Standard"/>
    <n v="7"/>
    <n v="7.7"/>
    <n v="37"/>
    <n v="73"/>
    <n v="3"/>
    <n v="8"/>
    <x v="0"/>
    <x v="1"/>
    <x v="0"/>
    <x v="1"/>
    <n v="4.8460000000000001"/>
  </r>
  <r>
    <s v="C048"/>
    <x v="4"/>
    <n v="51"/>
    <s v="Male"/>
    <s v="150000+"/>
    <s v="Premium"/>
    <n v="15"/>
    <n v="4.7"/>
    <n v="42"/>
    <n v="47"/>
    <n v="7"/>
    <n v="8.8000000000000007"/>
    <x v="0"/>
    <x v="2"/>
    <x v="2"/>
    <x v="2"/>
    <n v="4.7140000000000004"/>
  </r>
  <r>
    <s v="C049"/>
    <x v="4"/>
    <n v="29"/>
    <s v="Female"/>
    <s v="25000-50000"/>
    <s v="Standard"/>
    <n v="3"/>
    <n v="8.4"/>
    <n v="27"/>
    <n v="82"/>
    <n v="2"/>
    <n v="7.6"/>
    <x v="1"/>
    <x v="0"/>
    <x v="0"/>
    <x v="0"/>
    <n v="4.6639999999999997"/>
  </r>
  <r>
    <s v="C050"/>
    <x v="4"/>
    <n v="41"/>
    <s v="Male"/>
    <s v="75000-100000"/>
    <s v="Premium"/>
    <n v="9"/>
    <n v="6.9"/>
    <n v="43"/>
    <n v="64"/>
    <n v="4"/>
    <n v="8.1"/>
    <x v="0"/>
    <x v="1"/>
    <x v="0"/>
    <x v="1"/>
    <n v="4.87299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2450"/>
    <n v="267000"/>
    <n v="72"/>
    <n v="8.1"/>
    <n v="2.1"/>
  </r>
  <r>
    <x v="0"/>
    <x v="1"/>
    <n v="11230"/>
    <n v="135000"/>
    <n v="68"/>
    <n v="7.9"/>
    <n v="1.8"/>
  </r>
  <r>
    <x v="0"/>
    <x v="2"/>
    <n v="8930"/>
    <n v="534000"/>
    <n v="79"/>
    <n v="7.6"/>
    <n v="3.2"/>
  </r>
  <r>
    <x v="0"/>
    <x v="3"/>
    <n v="3240"/>
    <n v="702000"/>
    <n v="45"/>
    <n v="8.4"/>
    <n v="0.8"/>
  </r>
  <r>
    <x v="0"/>
    <x v="4"/>
    <n v="2140"/>
    <n v="468000"/>
    <n v="83"/>
    <n v="8.6999999999999993"/>
    <n v="2.5"/>
  </r>
  <r>
    <x v="0"/>
    <x v="5"/>
    <n v="1890"/>
    <n v="294000"/>
    <n v="67"/>
    <n v="8.1999999999999993"/>
    <n v="2.9"/>
  </r>
  <r>
    <x v="1"/>
    <x v="0"/>
    <n v="9840"/>
    <n v="201000"/>
    <n v="65"/>
    <n v="8.1999999999999993"/>
    <n v="2.2999999999999998"/>
  </r>
  <r>
    <x v="1"/>
    <x v="1"/>
    <n v="8930"/>
    <n v="102000"/>
    <n v="61"/>
    <n v="8"/>
    <n v="2"/>
  </r>
  <r>
    <x v="1"/>
    <x v="2"/>
    <n v="6780"/>
    <n v="402000"/>
    <n v="71"/>
    <n v="7.7"/>
    <n v="3.5"/>
  </r>
  <r>
    <x v="1"/>
    <x v="3"/>
    <n v="2560"/>
    <n v="561000"/>
    <n v="42"/>
    <n v="8.3000000000000007"/>
    <n v="1.1000000000000001"/>
  </r>
  <r>
    <x v="1"/>
    <x v="4"/>
    <n v="1670"/>
    <n v="369000"/>
    <n v="78"/>
    <n v="8.6"/>
    <n v="2.8"/>
  </r>
  <r>
    <x v="1"/>
    <x v="5"/>
    <n v="1450"/>
    <n v="228000"/>
    <n v="59"/>
    <n v="8.1"/>
    <n v="3.2"/>
  </r>
  <r>
    <x v="2"/>
    <x v="0"/>
    <n v="8950"/>
    <n v="192000"/>
    <n v="69"/>
    <n v="8"/>
    <n v="2.2000000000000002"/>
  </r>
  <r>
    <x v="2"/>
    <x v="1"/>
    <n v="8123"/>
    <n v="96000"/>
    <n v="65"/>
    <n v="7.8"/>
    <n v="1.9"/>
  </r>
  <r>
    <x v="2"/>
    <x v="2"/>
    <n v="6234"/>
    <n v="369000"/>
    <n v="76"/>
    <n v="7.5"/>
    <n v="3.4"/>
  </r>
  <r>
    <x v="2"/>
    <x v="3"/>
    <n v="2340"/>
    <n v="501000"/>
    <n v="41"/>
    <n v="8.3000000000000007"/>
    <n v="0.9"/>
  </r>
  <r>
    <x v="2"/>
    <x v="4"/>
    <n v="1456"/>
    <n v="336000"/>
    <n v="81"/>
    <n v="8.5"/>
    <n v="2.6"/>
  </r>
  <r>
    <x v="2"/>
    <x v="5"/>
    <n v="1234"/>
    <n v="201000"/>
    <n v="62"/>
    <n v="8.1"/>
    <n v="3"/>
  </r>
  <r>
    <x v="3"/>
    <x v="0"/>
    <n v="7856"/>
    <n v="168000"/>
    <n v="67"/>
    <n v="8.1"/>
    <n v="2.4"/>
  </r>
  <r>
    <x v="3"/>
    <x v="1"/>
    <n v="7123"/>
    <n v="84000"/>
    <n v="63"/>
    <n v="7.9"/>
    <n v="2.1"/>
  </r>
  <r>
    <x v="3"/>
    <x v="2"/>
    <n v="5456"/>
    <n v="327000"/>
    <n v="73"/>
    <n v="7.6"/>
    <n v="3.6"/>
  </r>
  <r>
    <x v="3"/>
    <x v="3"/>
    <n v="1998"/>
    <n v="429000"/>
    <n v="39"/>
    <n v="8.1999999999999993"/>
    <n v="1"/>
  </r>
  <r>
    <x v="3"/>
    <x v="4"/>
    <n v="1234"/>
    <n v="285000"/>
    <n v="79"/>
    <n v="8.4"/>
    <n v="2.7"/>
  </r>
  <r>
    <x v="3"/>
    <x v="5"/>
    <n v="1067"/>
    <n v="174000"/>
    <n v="58"/>
    <n v="8"/>
    <n v="3.1"/>
  </r>
  <r>
    <x v="4"/>
    <x v="0"/>
    <n v="6923"/>
    <n v="147000"/>
    <n v="64"/>
    <n v="8.1999999999999993"/>
    <n v="2.5"/>
  </r>
  <r>
    <x v="4"/>
    <x v="1"/>
    <n v="6234"/>
    <n v="75000"/>
    <n v="60"/>
    <n v="8"/>
    <n v="2.2000000000000002"/>
  </r>
  <r>
    <x v="4"/>
    <x v="2"/>
    <n v="4789"/>
    <n v="285000"/>
    <n v="70"/>
    <n v="7.7"/>
    <n v="3.7"/>
  </r>
  <r>
    <x v="4"/>
    <x v="3"/>
    <n v="1723"/>
    <n v="372000"/>
    <n v="37"/>
    <n v="8.1"/>
    <n v="1.1000000000000001"/>
  </r>
  <r>
    <x v="4"/>
    <x v="4"/>
    <n v="1089"/>
    <n v="246000"/>
    <n v="76"/>
    <n v="8.3000000000000007"/>
    <n v="2.8"/>
  </r>
  <r>
    <x v="4"/>
    <x v="5"/>
    <n v="923"/>
    <n v="147000"/>
    <n v="55"/>
    <n v="7.9"/>
    <n v="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5540E-512B-44ED-B2BF-C559CD917C47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7:D44" firstHeaderRow="1" firstDataRow="2" firstDataCol="1"/>
  <pivotFields count="17">
    <pivotField dataField="1"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Customer_ID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06C671-F2A2-4988-B1C2-795D50FCFCD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6:I32" firstHeaderRow="1" firstDataRow="3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2">
    <field x="1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Customer_ID" fld="0" subtotal="count" baseField="0" baseItem="0"/>
    <dataField name="Average of Satisfaction_Score" fld="11" subtotal="average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72AAA-357C-4C66-A272-A1258A06E36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E21" firstHeaderRow="1" firstDataRow="2" firstDataCol="1"/>
  <pivotFields count="17">
    <pivotField dataField="1"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Customer_ID" fld="0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CC0D1-BDD0-467D-8B61-E3DCC2C9148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0" firstDataRow="1" firstDataCol="1"/>
  <pivotFields count="17">
    <pivotField dataField="1"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ustomer_ID" fld="0" subtotal="count" baseField="0" baseItem="0"/>
    <dataField name="Average of Digital_Adoption_Score" fld="7" subtotal="average" baseField="0" baseItem="1"/>
    <dataField name="Average of Satisfaction_Score" fld="11" subtotal="average" baseField="0" baseItem="1"/>
    <dataField name="Average of Monthly_Transactions" fld="8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D9E83-AFF5-4FF5-B2E6-819698DD151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20" firstHeaderRow="1" firstDataRow="1" firstDataCol="1"/>
  <pivotFields count="7">
    <pivotField showAll="0"/>
    <pivotField axis="axisRow" showAll="0">
      <items count="7">
        <item x="5"/>
        <item x="0"/>
        <item x="2"/>
        <item x="4"/>
        <item x="3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Digital_Adoption_Pct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93F20-8A93-4429-99C4-E75D790DAAF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" firstHeaderRow="1" firstDataRow="2" firstDataCol="1"/>
  <pivotFields count="7">
    <pivotField axis="axisRow" showAll="0">
      <items count="6">
        <item x="3"/>
        <item x="2"/>
        <item x="1"/>
        <item x="4"/>
        <item x="0"/>
        <item t="default"/>
      </items>
    </pivotField>
    <pivotField axis="axisCol" showAll="0">
      <items count="7">
        <item x="5"/>
        <item x="0"/>
        <item x="2"/>
        <item x="4"/>
        <item x="3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rterly_Reven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C72C-B565-4AFB-A395-588585FE6637}">
  <dimension ref="A1:I44"/>
  <sheetViews>
    <sheetView workbookViewId="0">
      <selection activeCell="D26" sqref="D26"/>
    </sheetView>
  </sheetViews>
  <sheetFormatPr defaultRowHeight="15" x14ac:dyDescent="0.25"/>
  <cols>
    <col min="1" max="1" width="21.5703125" bestFit="1" customWidth="1"/>
    <col min="2" max="2" width="16.85546875" bestFit="1" customWidth="1"/>
    <col min="3" max="3" width="8.28515625" bestFit="1" customWidth="1"/>
    <col min="4" max="4" width="33.28515625" customWidth="1"/>
    <col min="5" max="5" width="28.140625" bestFit="1" customWidth="1"/>
    <col min="6" max="6" width="21.5703125" bestFit="1" customWidth="1"/>
    <col min="7" max="7" width="28.140625" bestFit="1" customWidth="1"/>
    <col min="8" max="8" width="26.5703125" bestFit="1" customWidth="1"/>
    <col min="9" max="9" width="33.140625" bestFit="1" customWidth="1"/>
  </cols>
  <sheetData>
    <row r="1" spans="1:5" x14ac:dyDescent="0.25">
      <c r="A1" s="1" t="s">
        <v>151</v>
      </c>
    </row>
    <row r="2" spans="1:5" ht="26.25" x14ac:dyDescent="0.4">
      <c r="B2" s="6" t="s">
        <v>145</v>
      </c>
    </row>
    <row r="3" spans="1:5" x14ac:dyDescent="0.25">
      <c r="A3" s="4" t="s">
        <v>126</v>
      </c>
      <c r="B3" t="s">
        <v>128</v>
      </c>
      <c r="C3" t="s">
        <v>129</v>
      </c>
      <c r="D3" t="s">
        <v>130</v>
      </c>
      <c r="E3" t="s">
        <v>144</v>
      </c>
    </row>
    <row r="4" spans="1:5" x14ac:dyDescent="0.25">
      <c r="A4" s="5" t="s">
        <v>58</v>
      </c>
      <c r="B4">
        <v>10</v>
      </c>
      <c r="C4">
        <v>7.12</v>
      </c>
      <c r="D4">
        <v>8</v>
      </c>
      <c r="E4">
        <v>37.700000000000003</v>
      </c>
    </row>
    <row r="5" spans="1:5" x14ac:dyDescent="0.25">
      <c r="A5" s="5" t="s">
        <v>47</v>
      </c>
      <c r="B5">
        <v>10</v>
      </c>
      <c r="C5">
        <v>6.94</v>
      </c>
      <c r="D5">
        <v>8.1499999999999986</v>
      </c>
      <c r="E5">
        <v>38.1</v>
      </c>
    </row>
    <row r="6" spans="1:5" x14ac:dyDescent="0.25">
      <c r="A6" s="5" t="s">
        <v>36</v>
      </c>
      <c r="B6">
        <v>10</v>
      </c>
      <c r="C6">
        <v>6.9500000000000011</v>
      </c>
      <c r="D6">
        <v>8.17</v>
      </c>
      <c r="E6">
        <v>37.299999999999997</v>
      </c>
    </row>
    <row r="7" spans="1:5" x14ac:dyDescent="0.25">
      <c r="A7" s="5" t="s">
        <v>69</v>
      </c>
      <c r="B7">
        <v>10</v>
      </c>
      <c r="C7">
        <v>6.74</v>
      </c>
      <c r="D7">
        <v>8.18</v>
      </c>
      <c r="E7">
        <v>37.6</v>
      </c>
    </row>
    <row r="8" spans="1:5" x14ac:dyDescent="0.25">
      <c r="A8" s="5" t="s">
        <v>14</v>
      </c>
      <c r="B8">
        <v>10</v>
      </c>
      <c r="C8">
        <v>6.9699999999999989</v>
      </c>
      <c r="D8">
        <v>8.1300000000000008</v>
      </c>
      <c r="E8">
        <v>40.799999999999997</v>
      </c>
    </row>
    <row r="9" spans="1:5" x14ac:dyDescent="0.25">
      <c r="A9" s="5" t="s">
        <v>127</v>
      </c>
      <c r="B9">
        <v>50</v>
      </c>
      <c r="C9">
        <v>6.9439999999999991</v>
      </c>
      <c r="D9">
        <v>8.1259999999999994</v>
      </c>
      <c r="E9">
        <v>38.299999999999997</v>
      </c>
    </row>
    <row r="13" spans="1:5" ht="26.25" x14ac:dyDescent="0.4">
      <c r="B13" s="6" t="s">
        <v>146</v>
      </c>
    </row>
    <row r="14" spans="1:5" x14ac:dyDescent="0.25">
      <c r="A14" s="4" t="s">
        <v>128</v>
      </c>
      <c r="B14" s="4" t="s">
        <v>131</v>
      </c>
    </row>
    <row r="15" spans="1:5" x14ac:dyDescent="0.25">
      <c r="A15" s="4" t="s">
        <v>126</v>
      </c>
      <c r="B15" t="s">
        <v>132</v>
      </c>
      <c r="C15" t="s">
        <v>133</v>
      </c>
      <c r="D15" t="s">
        <v>134</v>
      </c>
      <c r="E15" t="s">
        <v>127</v>
      </c>
    </row>
    <row r="16" spans="1:5" x14ac:dyDescent="0.25">
      <c r="A16" s="5" t="s">
        <v>58</v>
      </c>
      <c r="B16" s="7">
        <v>0.5</v>
      </c>
      <c r="C16" s="7">
        <v>0.3</v>
      </c>
      <c r="D16" s="7">
        <v>0.2</v>
      </c>
      <c r="E16" s="7">
        <v>1</v>
      </c>
    </row>
    <row r="17" spans="1:9" x14ac:dyDescent="0.25">
      <c r="A17" s="5" t="s">
        <v>47</v>
      </c>
      <c r="B17" s="7">
        <v>0.5</v>
      </c>
      <c r="C17" s="7">
        <v>0.3</v>
      </c>
      <c r="D17" s="7">
        <v>0.2</v>
      </c>
      <c r="E17" s="7">
        <v>1</v>
      </c>
    </row>
    <row r="18" spans="1:9" x14ac:dyDescent="0.25">
      <c r="A18" s="5" t="s">
        <v>36</v>
      </c>
      <c r="B18" s="7">
        <v>0.5</v>
      </c>
      <c r="C18" s="7">
        <v>0.4</v>
      </c>
      <c r="D18" s="7">
        <v>0.1</v>
      </c>
      <c r="E18" s="7">
        <v>1</v>
      </c>
    </row>
    <row r="19" spans="1:9" x14ac:dyDescent="0.25">
      <c r="A19" s="5" t="s">
        <v>69</v>
      </c>
      <c r="B19" s="7">
        <v>0.5</v>
      </c>
      <c r="C19" s="7">
        <v>0.3</v>
      </c>
      <c r="D19" s="7">
        <v>0.2</v>
      </c>
      <c r="E19" s="7">
        <v>1</v>
      </c>
    </row>
    <row r="20" spans="1:9" x14ac:dyDescent="0.25">
      <c r="A20" s="5" t="s">
        <v>14</v>
      </c>
      <c r="B20" s="7">
        <v>0.5</v>
      </c>
      <c r="C20" s="7">
        <v>0.3</v>
      </c>
      <c r="D20" s="7">
        <v>0.2</v>
      </c>
      <c r="E20" s="7">
        <v>1</v>
      </c>
    </row>
    <row r="21" spans="1:9" x14ac:dyDescent="0.25">
      <c r="A21" s="5" t="s">
        <v>127</v>
      </c>
      <c r="B21" s="7">
        <v>0.5</v>
      </c>
      <c r="C21" s="7">
        <v>0.32</v>
      </c>
      <c r="D21" s="7">
        <v>0.18</v>
      </c>
      <c r="E21" s="7">
        <v>1</v>
      </c>
    </row>
    <row r="25" spans="1:9" ht="26.25" x14ac:dyDescent="0.4">
      <c r="B25" s="6" t="s">
        <v>150</v>
      </c>
    </row>
    <row r="26" spans="1:9" x14ac:dyDescent="0.25">
      <c r="B26" s="4" t="s">
        <v>131</v>
      </c>
    </row>
    <row r="27" spans="1:9" x14ac:dyDescent="0.25">
      <c r="B27" t="s">
        <v>137</v>
      </c>
      <c r="D27" t="s">
        <v>138</v>
      </c>
      <c r="F27" t="s">
        <v>139</v>
      </c>
      <c r="H27" t="s">
        <v>135</v>
      </c>
      <c r="I27" t="s">
        <v>136</v>
      </c>
    </row>
    <row r="28" spans="1:9" x14ac:dyDescent="0.25">
      <c r="A28" s="4" t="s">
        <v>126</v>
      </c>
      <c r="B28" t="s">
        <v>128</v>
      </c>
      <c r="C28" t="s">
        <v>130</v>
      </c>
      <c r="D28" t="s">
        <v>128</v>
      </c>
      <c r="E28" t="s">
        <v>130</v>
      </c>
      <c r="F28" t="s">
        <v>128</v>
      </c>
      <c r="G28" t="s">
        <v>130</v>
      </c>
    </row>
    <row r="29" spans="1:9" x14ac:dyDescent="0.25">
      <c r="A29" s="5" t="s">
        <v>147</v>
      </c>
      <c r="D29">
        <v>17</v>
      </c>
      <c r="E29">
        <v>7.6235294117647054</v>
      </c>
      <c r="H29">
        <v>17</v>
      </c>
      <c r="I29">
        <v>7.6235294117647054</v>
      </c>
    </row>
    <row r="30" spans="1:9" x14ac:dyDescent="0.25">
      <c r="A30" s="5" t="s">
        <v>148</v>
      </c>
      <c r="B30">
        <v>9</v>
      </c>
      <c r="C30">
        <v>8.9222222222222225</v>
      </c>
      <c r="D30">
        <v>1</v>
      </c>
      <c r="E30">
        <v>8.1999999999999993</v>
      </c>
      <c r="F30">
        <v>3</v>
      </c>
      <c r="G30">
        <v>8.6</v>
      </c>
      <c r="H30">
        <v>13</v>
      </c>
      <c r="I30">
        <v>8.7923076923076913</v>
      </c>
    </row>
    <row r="31" spans="1:9" x14ac:dyDescent="0.25">
      <c r="A31" s="5" t="s">
        <v>149</v>
      </c>
      <c r="D31">
        <v>12</v>
      </c>
      <c r="E31">
        <v>8.0083333333333329</v>
      </c>
      <c r="F31">
        <v>8</v>
      </c>
      <c r="G31">
        <v>8.2875000000000014</v>
      </c>
      <c r="H31">
        <v>20</v>
      </c>
      <c r="I31">
        <v>8.120000000000001</v>
      </c>
    </row>
    <row r="32" spans="1:9" x14ac:dyDescent="0.25">
      <c r="A32" s="5" t="s">
        <v>127</v>
      </c>
      <c r="B32">
        <v>9</v>
      </c>
      <c r="C32">
        <v>8.9222222222222225</v>
      </c>
      <c r="D32">
        <v>30</v>
      </c>
      <c r="E32">
        <v>7.7966666666666651</v>
      </c>
      <c r="F32">
        <v>11</v>
      </c>
      <c r="G32">
        <v>8.372727272727273</v>
      </c>
      <c r="H32">
        <v>50</v>
      </c>
      <c r="I32">
        <v>8.1259999999999994</v>
      </c>
    </row>
    <row r="36" spans="1:4" ht="26.25" x14ac:dyDescent="0.4">
      <c r="B36" s="6" t="s">
        <v>156</v>
      </c>
    </row>
    <row r="37" spans="1:4" x14ac:dyDescent="0.25">
      <c r="A37" s="4" t="s">
        <v>128</v>
      </c>
      <c r="B37" s="4" t="s">
        <v>131</v>
      </c>
    </row>
    <row r="38" spans="1:4" x14ac:dyDescent="0.25">
      <c r="A38" s="4" t="s">
        <v>126</v>
      </c>
      <c r="B38" t="s">
        <v>18</v>
      </c>
      <c r="C38" t="s">
        <v>24</v>
      </c>
      <c r="D38" t="s">
        <v>127</v>
      </c>
    </row>
    <row r="39" spans="1:4" x14ac:dyDescent="0.25">
      <c r="A39" s="5" t="s">
        <v>58</v>
      </c>
      <c r="B39" s="7">
        <v>0.21428571428571427</v>
      </c>
      <c r="C39" s="7">
        <v>0.125</v>
      </c>
      <c r="D39" s="7">
        <v>0.2</v>
      </c>
    </row>
    <row r="40" spans="1:4" x14ac:dyDescent="0.25">
      <c r="A40" s="5" t="s">
        <v>47</v>
      </c>
      <c r="B40" s="7">
        <v>0.19047619047619047</v>
      </c>
      <c r="C40" s="7">
        <v>0.25</v>
      </c>
      <c r="D40" s="7">
        <v>0.2</v>
      </c>
    </row>
    <row r="41" spans="1:4" x14ac:dyDescent="0.25">
      <c r="A41" s="5" t="s">
        <v>36</v>
      </c>
      <c r="B41" s="7">
        <v>0.19047619047619047</v>
      </c>
      <c r="C41" s="7">
        <v>0.25</v>
      </c>
      <c r="D41" s="7">
        <v>0.2</v>
      </c>
    </row>
    <row r="42" spans="1:4" x14ac:dyDescent="0.25">
      <c r="A42" s="5" t="s">
        <v>69</v>
      </c>
      <c r="B42" s="7">
        <v>0.19047619047619047</v>
      </c>
      <c r="C42" s="7">
        <v>0.25</v>
      </c>
      <c r="D42" s="7">
        <v>0.2</v>
      </c>
    </row>
    <row r="43" spans="1:4" x14ac:dyDescent="0.25">
      <c r="A43" s="5" t="s">
        <v>14</v>
      </c>
      <c r="B43" s="7">
        <v>0.21428571428571427</v>
      </c>
      <c r="C43" s="7">
        <v>0.125</v>
      </c>
      <c r="D43" s="7">
        <v>0.2</v>
      </c>
    </row>
    <row r="44" spans="1:4" x14ac:dyDescent="0.25">
      <c r="A44" s="5" t="s">
        <v>127</v>
      </c>
      <c r="B44" s="7">
        <v>1</v>
      </c>
      <c r="C44" s="7">
        <v>1</v>
      </c>
      <c r="D44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007-8D3F-4BF7-94EC-D2B2BE049304}">
  <dimension ref="A1:N22"/>
  <sheetViews>
    <sheetView zoomScaleNormal="100" workbookViewId="0">
      <selection activeCell="D24" sqref="D24"/>
    </sheetView>
  </sheetViews>
  <sheetFormatPr defaultRowHeight="15" x14ac:dyDescent="0.25"/>
  <cols>
    <col min="1" max="1" width="61.85546875" customWidth="1"/>
    <col min="2" max="2" width="31.42578125" customWidth="1"/>
    <col min="3" max="3" width="42.7109375" customWidth="1"/>
    <col min="4" max="4" width="40.140625" customWidth="1"/>
    <col min="5" max="5" width="19" customWidth="1"/>
    <col min="6" max="6" width="29.7109375" customWidth="1"/>
    <col min="7" max="7" width="24.85546875" customWidth="1"/>
    <col min="8" max="8" width="45.140625" customWidth="1"/>
  </cols>
  <sheetData>
    <row r="1" spans="1:14" x14ac:dyDescent="0.25">
      <c r="A1" s="9" t="s">
        <v>1</v>
      </c>
      <c r="B1" s="9" t="s">
        <v>157</v>
      </c>
      <c r="C1" s="9" t="s">
        <v>152</v>
      </c>
      <c r="D1" s="9" t="s">
        <v>153</v>
      </c>
      <c r="E1" s="9" t="s">
        <v>154</v>
      </c>
      <c r="F1" s="9" t="s">
        <v>155</v>
      </c>
      <c r="G1" s="9" t="s">
        <v>158</v>
      </c>
      <c r="H1" s="9" t="s">
        <v>159</v>
      </c>
      <c r="I1" s="9" t="s">
        <v>164</v>
      </c>
      <c r="J1" s="1"/>
      <c r="K1" s="1"/>
      <c r="L1" s="1"/>
      <c r="M1" s="1"/>
      <c r="N1" s="1"/>
    </row>
    <row r="2" spans="1:14" x14ac:dyDescent="0.25">
      <c r="A2" s="8" t="s">
        <v>14</v>
      </c>
      <c r="B2" s="8">
        <f>COUNTIF('50 Customer Records'!B:B,"Toronto-King Street")</f>
        <v>10</v>
      </c>
      <c r="C2" s="8">
        <f>COUNTIFS('50 Customer Records'!B:B,"Toronto-King Street",'50 Customer Records'!C:C,"&lt;35")/COUNTIF('50 Customer Records'!B:B,"Toronto-King Street")</f>
        <v>0.4</v>
      </c>
      <c r="D2" s="8">
        <f>AVERAGEIF('50 Customer Records'!B:B,"Toronto-King Street",'50 Customer Records'!H:H)</f>
        <v>6.9699999999999989</v>
      </c>
      <c r="E2" s="8">
        <f>COUNTIFS('50 Customer Records'!B:B,"Toronto-King Street",'50 Customer Records'!F:F,"Premium")/COUNTIF('50 Customer Records'!B:B,"Toronto-King Street")</f>
        <v>0.8</v>
      </c>
      <c r="F2" s="8">
        <f>AVERAGEIF('50 Customer Records'!B:B,"Toronto-King Street",'50 Customer Records'!L:L)</f>
        <v>8.1300000000000008</v>
      </c>
      <c r="G2" s="8">
        <f>COUNTIFS('50 Customer Records'!B:B,"Toronto-King Street",'50 Customer Records'!M:M,"Medium")/COUNTIF('50 Customer Records'!B:B,"Toronto-King Street")</f>
        <v>0.1</v>
      </c>
      <c r="H2" s="8">
        <f>AVERAGEIFS('Quarterly data'!N:N,'Quarterly data'!A:A,"Toronto-King Street",'Quarterly data'!B:B,"Q2",'Quarterly data'!C:C,2024)</f>
        <v>8.1999999999999993</v>
      </c>
    </row>
    <row r="3" spans="1:14" x14ac:dyDescent="0.25">
      <c r="A3" s="8" t="s">
        <v>36</v>
      </c>
      <c r="B3" s="8">
        <f>COUNTIF('50 Customer Records'!B:B,"Ottawa-Rideau")</f>
        <v>10</v>
      </c>
      <c r="C3" s="8">
        <f>COUNTIFS('50 Customer Records'!B:B,"Ottawa-Rideau",'50 Customer Records'!C:C,"&lt;35")/COUNTIF('50 Customer Records'!B:B,"Ottawa-Rideau")</f>
        <v>0.4</v>
      </c>
      <c r="D3" s="8">
        <f>AVERAGEIF('50 Customer Records'!B:B,"Ottawa-Rideau",'50 Customer Records'!H:H)</f>
        <v>6.9500000000000011</v>
      </c>
      <c r="E3" s="8">
        <f>COUNTIFS('50 Customer Records'!B:B,"Ottawa-Rideau",'50 Customer Records'!F:F,"Premium")/COUNTIF('50 Customer Records'!B:B,"Ottawa-Rideau")</f>
        <v>0.6</v>
      </c>
      <c r="F3" s="8">
        <f>AVERAGEIF('50 Customer Records'!B:B,"Ottawa-Rideau",'50 Customer Records'!L:L)</f>
        <v>8.17</v>
      </c>
      <c r="G3" s="8">
        <f>COUNTIFS('50 Customer Records'!B:B,"Ottawa-Rideau",'50 Customer Records'!M:M,"Medium")/COUNTIF('50 Customer Records'!B:B,"Ottawa-Rideau")</f>
        <v>0.2</v>
      </c>
      <c r="H3" s="8">
        <f>AVERAGEIFS('Quarterly data'!N:N,'Quarterly data'!A:A,"Ottawa-Rideau",'Quarterly data'!B:B,"Q2",'Quarterly data'!C:C,2024)</f>
        <v>8.4</v>
      </c>
    </row>
    <row r="4" spans="1:14" x14ac:dyDescent="0.25">
      <c r="A4" s="8" t="s">
        <v>47</v>
      </c>
      <c r="B4" s="8">
        <f>COUNTIF('50 Customer Records'!B:B,"Montreal-Plateau")</f>
        <v>10</v>
      </c>
      <c r="C4" s="8">
        <f>COUNTIFS('50 Customer Records'!B:B,"Montreal-Plateau",'50 Customer Records'!C:C,"&lt;35")/COUNTIF('50 Customer Records'!B:B,"Montreal-Plateau")</f>
        <v>0.3</v>
      </c>
      <c r="D4" s="8">
        <f>AVERAGEIF('50 Customer Records'!B:B,"Montreal-Plateau",'50 Customer Records'!H:H)</f>
        <v>6.94</v>
      </c>
      <c r="E4" s="8">
        <f>COUNTIFS('50 Customer Records'!B:B,"Montreal-Plateau",'50 Customer Records'!F:F,"Premium")/COUNTIF('50 Customer Records'!B:B,"Montreal-Plateau")</f>
        <v>0.6</v>
      </c>
      <c r="F4" s="8">
        <f>AVERAGEIF('50 Customer Records'!B:B,"Montreal-Plateau",'50 Customer Records'!L:L)</f>
        <v>8.1499999999999986</v>
      </c>
      <c r="G4" s="8">
        <f>COUNTIFS('50 Customer Records'!B:B,"Montreal-Plateau",'50 Customer Records'!M:M,"Medium")/COUNTIF('50 Customer Records'!B:B,"Montreal-Plateau")</f>
        <v>0.2</v>
      </c>
      <c r="H4" s="8">
        <f>AVERAGEIFS('Quarterly data'!N:N,'Quarterly data'!A:A,"Montreal-Plateau",'Quarterly data'!B:B,"Q2",'Quarterly data'!C:C,2024)</f>
        <v>8.3000000000000007</v>
      </c>
    </row>
    <row r="5" spans="1:14" x14ac:dyDescent="0.25">
      <c r="A5" s="8" t="s">
        <v>58</v>
      </c>
      <c r="B5" s="8">
        <f>COUNTIF('50 Customer Records'!B:B,"Hamilton-Downtown")</f>
        <v>10</v>
      </c>
      <c r="C5" s="8">
        <f>COUNTIFS('50 Customer Records'!B:B,"Hamilton-Downtown",'50 Customer Records'!C:C,"&lt;35")/COUNTIF('50 Customer Records'!B:B,"Hamilton-Downtown")</f>
        <v>0.4</v>
      </c>
      <c r="D5" s="8">
        <f>AVERAGEIF('50 Customer Records'!B:B,"Hamilton-Downtown",'50 Customer Records'!H:H)</f>
        <v>7.12</v>
      </c>
      <c r="E5" s="8">
        <f>COUNTIFS('50 Customer Records'!B:B,"Hamilton-Downtown",'50 Customer Records'!F:F,"Premium")/COUNTIF('50 Customer Records'!B:B,"Hamilton-Downtown")</f>
        <v>0.6</v>
      </c>
      <c r="F5" s="8">
        <f>AVERAGEIF('50 Customer Records'!B:B,"Hamilton-Downtown",'50 Customer Records'!L:L)</f>
        <v>8</v>
      </c>
      <c r="G5" s="8">
        <f>COUNTIFS('50 Customer Records'!B:B,"Hamilton-Downtown",'50 Customer Records'!M:M,"Medium")/COUNTIF('50 Customer Records'!B:B,"Hamilton-Downtown")</f>
        <v>0.1</v>
      </c>
      <c r="H5" s="8">
        <f>AVERAGEIFS('Quarterly data'!N:N,'Quarterly data'!A:A,"Hamilton-Downtown",'Quarterly data'!B:B,"Q2",'Quarterly data'!C:C,2024)</f>
        <v>8.4</v>
      </c>
    </row>
    <row r="6" spans="1:14" x14ac:dyDescent="0.25">
      <c r="A6" s="8" t="s">
        <v>69</v>
      </c>
      <c r="B6" s="8">
        <f>COUNTIF('50 Customer Records'!B:B,"Quebec City-Vieux")</f>
        <v>10</v>
      </c>
      <c r="C6" s="8">
        <f>COUNTIFS('50 Customer Records'!B:B,"Quebec City-Vieux",'50 Customer Records'!C:C,"&lt;35")/COUNTIF('50 Customer Records'!B:B,"Quebec City-Vieux")</f>
        <v>0.3</v>
      </c>
      <c r="D6" s="8">
        <f>AVERAGEIF('50 Customer Records'!B:B,"Quebec City-Vieux",'50 Customer Records'!H:H)</f>
        <v>6.74</v>
      </c>
      <c r="E6" s="8">
        <f>COUNTIFS('50 Customer Records'!B:B,"Quebec City-Vieux",'50 Customer Records'!F:F,"Premium")/COUNTIF('50 Customer Records'!B:B,"Quebec City-Vieux")</f>
        <v>0.6</v>
      </c>
      <c r="F6" s="8">
        <f>AVERAGEIF('50 Customer Records'!B:B,"Quebec City-Vieux",'50 Customer Records'!L:L)</f>
        <v>8.18</v>
      </c>
      <c r="G6" s="8">
        <f>COUNTIFS('50 Customer Records'!B:B,"Quebec City-Vieux",'50 Customer Records'!M:M,"Medium")/COUNTIF('50 Customer Records'!B:B,"Quebec City-Vieux")</f>
        <v>0.2</v>
      </c>
      <c r="H6" s="8">
        <f>AVERAGEIFS('Quarterly data'!N:N,'Quarterly data'!A:A,"Quebec City-Vieux",'Quarterly data'!B:B,"Q2",'Quarterly data'!C:C,2024)</f>
        <v>8.5</v>
      </c>
    </row>
    <row r="7" spans="1:14" x14ac:dyDescent="0.25">
      <c r="A7" s="8" t="s">
        <v>160</v>
      </c>
      <c r="B7" s="8">
        <f>SUM(B2:B6)</f>
        <v>50</v>
      </c>
      <c r="C7" s="8">
        <f t="shared" ref="C7:H7" si="0">AVERAGE(C2:C6)</f>
        <v>0.36</v>
      </c>
      <c r="D7" s="8">
        <f t="shared" si="0"/>
        <v>6.944</v>
      </c>
      <c r="E7" s="8">
        <f t="shared" si="0"/>
        <v>0.64</v>
      </c>
      <c r="F7" s="8">
        <f t="shared" si="0"/>
        <v>8.1260000000000012</v>
      </c>
      <c r="G7" s="8">
        <f t="shared" si="0"/>
        <v>0.16</v>
      </c>
      <c r="H7" s="8">
        <f t="shared" si="0"/>
        <v>8.3600000000000012</v>
      </c>
    </row>
    <row r="10" spans="1:14" x14ac:dyDescent="0.25">
      <c r="A10" s="2" t="s">
        <v>1</v>
      </c>
      <c r="B10" s="2" t="s">
        <v>161</v>
      </c>
      <c r="C10" s="2" t="s">
        <v>162</v>
      </c>
      <c r="D10" s="2" t="s">
        <v>163</v>
      </c>
    </row>
    <row r="11" spans="1:14" x14ac:dyDescent="0.25">
      <c r="A11" s="3" t="s">
        <v>14</v>
      </c>
      <c r="B11" s="3">
        <f>AVERAGEIFS('Quarterly data'!N:N,'Quarterly data'!A:A,"Toronto-King Street",'Quarterly data'!B:B,"Q1",'Quarterly data'!C:C,2023)</f>
        <v>7.9</v>
      </c>
      <c r="C11" s="3">
        <f>AVERAGEIFS('Quarterly data'!N:N,'Quarterly data'!A:A,"Toronto-King Street",'Quarterly data'!B:B,"Q2",'Quarterly data'!C:C,2024)</f>
        <v>8.1999999999999993</v>
      </c>
      <c r="D11" s="3">
        <f>(C11-B11)/B11*100</f>
        <v>3.7974683544303658</v>
      </c>
    </row>
    <row r="12" spans="1:14" x14ac:dyDescent="0.25">
      <c r="A12" s="3" t="s">
        <v>36</v>
      </c>
      <c r="B12" s="3">
        <f>AVERAGEIFS('Quarterly data'!N:N, 'Quarterly data'!A:A, "Ottawa-Rideau", 'Quarterly data'!B:B, "Q1", 'Quarterly data'!C:C, 2023)</f>
        <v>8.1</v>
      </c>
      <c r="C12" s="3">
        <f>AVERAGEIFS('Quarterly data'!N:N, 'Quarterly data'!A:A, "Ottawa-Rideau", 'Quarterly data'!B:B, "Q2", 'Quarterly data'!C:C, 2024)</f>
        <v>8.4</v>
      </c>
      <c r="D12" s="3">
        <f>(C12-B12)/B12*100</f>
        <v>3.7037037037037126</v>
      </c>
    </row>
    <row r="13" spans="1:14" x14ac:dyDescent="0.25">
      <c r="A13" s="3" t="s">
        <v>47</v>
      </c>
      <c r="B13" s="3">
        <f>AVERAGEIFS('Quarterly data'!N:N, 'Quarterly data'!A:A, "Montreal-Plateau", 'Quarterly data'!B:B, "Q1", 'Quarterly data'!C:C, 2023)</f>
        <v>7.9</v>
      </c>
      <c r="C13" s="3">
        <f>AVERAGEIFS('Quarterly data'!N:N, 'Quarterly data'!A:A, "Montreal-Plateau", 'Quarterly data'!B:B, "Q2", 'Quarterly data'!C:C, 2024)</f>
        <v>8.3000000000000007</v>
      </c>
      <c r="D13" s="3">
        <f>(C13-B13)/B13*100</f>
        <v>5.0632911392405102</v>
      </c>
    </row>
    <row r="14" spans="1:14" x14ac:dyDescent="0.25">
      <c r="A14" s="3" t="s">
        <v>58</v>
      </c>
      <c r="B14" s="3">
        <f>AVERAGEIFS('Quarterly data'!N:N, 'Quarterly data'!A:A, "Hamilton-Downtown", 'Quarterly data'!B:B, "Q1", 'Quarterly data'!C:C, 2023)</f>
        <v>8</v>
      </c>
      <c r="C14" s="3">
        <f>AVERAGEIFS('Quarterly data'!N:N, 'Quarterly data'!A:A, "Hamilton-Downtown", 'Quarterly data'!B:B, "Q2", 'Quarterly data'!C:C, 2024)</f>
        <v>8.4</v>
      </c>
      <c r="D14" s="3">
        <f>(C14-B14)/B14*100</f>
        <v>5.0000000000000044</v>
      </c>
    </row>
    <row r="15" spans="1:14" x14ac:dyDescent="0.25">
      <c r="A15" s="3" t="s">
        <v>69</v>
      </c>
      <c r="B15" s="3">
        <f>AVERAGEIFS('Quarterly data'!N:N, 'Quarterly data'!A:A, "Quebec City-Vieux", 'Quarterly data'!B:B, "Q1", 'Quarterly data'!C:C, 2023)</f>
        <v>8.1999999999999993</v>
      </c>
      <c r="C15" s="3">
        <f>AVERAGEIFS('Quarterly data'!N:N, 'Quarterly data'!A:A, "Quebec City-Vieux", 'Quarterly data'!B:B, "Q2", 'Quarterly data'!C:C, 2024)</f>
        <v>8.5</v>
      </c>
      <c r="D15" s="3">
        <f>(C15-B15)/B15*100</f>
        <v>3.6585365853658622</v>
      </c>
    </row>
    <row r="18" spans="1:2" x14ac:dyDescent="0.25">
      <c r="A18" s="1" t="s">
        <v>165</v>
      </c>
    </row>
    <row r="19" spans="1:2" x14ac:dyDescent="0.25">
      <c r="A19" t="s">
        <v>166</v>
      </c>
      <c r="B19" t="str">
        <f>INDEX(A2:A6,MATCH(MAX(D2:D6),D2:D6,0))</f>
        <v>Hamilton-Downtown</v>
      </c>
    </row>
    <row r="20" spans="1:2" x14ac:dyDescent="0.25">
      <c r="A20" t="s">
        <v>167</v>
      </c>
      <c r="B20" t="str">
        <f>INDEX(A2:A6,MATCH(MAX(H2:H6),H2:H6,0))</f>
        <v>Quebec City-Vieux</v>
      </c>
    </row>
    <row r="21" spans="1:2" x14ac:dyDescent="0.25">
      <c r="A21" t="s">
        <v>168</v>
      </c>
      <c r="B21" t="str">
        <f>INDEX(A2:A6,MATCH(MAX(C2:C6),C2:C6,0))</f>
        <v>Toronto-King Street</v>
      </c>
    </row>
    <row r="22" spans="1:2" x14ac:dyDescent="0.25">
      <c r="A22" t="s">
        <v>169</v>
      </c>
      <c r="B22" t="str">
        <f>INDEX(A2:A6,MATCH(MAX(G2:G6),G2:G6,0))</f>
        <v>Ottawa-Rideau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0F2FF-01C1-46B5-B00D-F2714701EDED}">
  <dimension ref="A3:H20"/>
  <sheetViews>
    <sheetView workbookViewId="0">
      <selection activeCell="B52" sqref="B52"/>
    </sheetView>
  </sheetViews>
  <sheetFormatPr defaultRowHeight="15" x14ac:dyDescent="0.25"/>
  <cols>
    <col min="1" max="1" width="25.5703125" bestFit="1" customWidth="1"/>
    <col min="2" max="2" width="30.140625" bestFit="1" customWidth="1"/>
    <col min="3" max="3" width="17.42578125" bestFit="1" customWidth="1"/>
    <col min="4" max="4" width="11.42578125" bestFit="1" customWidth="1"/>
    <col min="5" max="5" width="19.28515625" bestFit="1" customWidth="1"/>
    <col min="6" max="6" width="9.28515625" bestFit="1" customWidth="1"/>
    <col min="7" max="7" width="15.7109375" bestFit="1" customWidth="1"/>
    <col min="8" max="8" width="11.28515625" bestFit="1" customWidth="1"/>
  </cols>
  <sheetData>
    <row r="3" spans="1:8" x14ac:dyDescent="0.25">
      <c r="A3" s="4" t="s">
        <v>170</v>
      </c>
      <c r="B3" s="4" t="s">
        <v>131</v>
      </c>
    </row>
    <row r="4" spans="1:8" x14ac:dyDescent="0.25">
      <c r="A4" s="4" t="s">
        <v>126</v>
      </c>
      <c r="B4" t="s">
        <v>108</v>
      </c>
      <c r="C4" t="s">
        <v>103</v>
      </c>
      <c r="D4" t="s">
        <v>105</v>
      </c>
      <c r="E4" t="s">
        <v>107</v>
      </c>
      <c r="F4" t="s">
        <v>106</v>
      </c>
      <c r="G4" t="s">
        <v>104</v>
      </c>
      <c r="H4" t="s">
        <v>127</v>
      </c>
    </row>
    <row r="5" spans="1:8" x14ac:dyDescent="0.25">
      <c r="A5" s="5" t="s">
        <v>58</v>
      </c>
      <c r="B5">
        <v>174000</v>
      </c>
      <c r="C5">
        <v>168000</v>
      </c>
      <c r="D5">
        <v>327000</v>
      </c>
      <c r="E5">
        <v>285000</v>
      </c>
      <c r="F5">
        <v>429000</v>
      </c>
      <c r="G5">
        <v>84000</v>
      </c>
      <c r="H5">
        <v>1467000</v>
      </c>
    </row>
    <row r="6" spans="1:8" x14ac:dyDescent="0.25">
      <c r="A6" s="5" t="s">
        <v>47</v>
      </c>
      <c r="B6">
        <v>201000</v>
      </c>
      <c r="C6">
        <v>192000</v>
      </c>
      <c r="D6">
        <v>369000</v>
      </c>
      <c r="E6">
        <v>336000</v>
      </c>
      <c r="F6">
        <v>501000</v>
      </c>
      <c r="G6">
        <v>96000</v>
      </c>
      <c r="H6">
        <v>1695000</v>
      </c>
    </row>
    <row r="7" spans="1:8" x14ac:dyDescent="0.25">
      <c r="A7" s="5" t="s">
        <v>36</v>
      </c>
      <c r="B7">
        <v>228000</v>
      </c>
      <c r="C7">
        <v>201000</v>
      </c>
      <c r="D7">
        <v>402000</v>
      </c>
      <c r="E7">
        <v>369000</v>
      </c>
      <c r="F7">
        <v>561000</v>
      </c>
      <c r="G7">
        <v>102000</v>
      </c>
      <c r="H7">
        <v>1863000</v>
      </c>
    </row>
    <row r="8" spans="1:8" x14ac:dyDescent="0.25">
      <c r="A8" s="5" t="s">
        <v>69</v>
      </c>
      <c r="B8">
        <v>147000</v>
      </c>
      <c r="C8">
        <v>147000</v>
      </c>
      <c r="D8">
        <v>285000</v>
      </c>
      <c r="E8">
        <v>246000</v>
      </c>
      <c r="F8">
        <v>372000</v>
      </c>
      <c r="G8">
        <v>75000</v>
      </c>
      <c r="H8">
        <v>1272000</v>
      </c>
    </row>
    <row r="9" spans="1:8" x14ac:dyDescent="0.25">
      <c r="A9" s="5" t="s">
        <v>14</v>
      </c>
      <c r="B9">
        <v>294000</v>
      </c>
      <c r="C9">
        <v>267000</v>
      </c>
      <c r="D9">
        <v>534000</v>
      </c>
      <c r="E9">
        <v>468000</v>
      </c>
      <c r="F9">
        <v>702000</v>
      </c>
      <c r="G9">
        <v>135000</v>
      </c>
      <c r="H9">
        <v>2400000</v>
      </c>
    </row>
    <row r="10" spans="1:8" x14ac:dyDescent="0.25">
      <c r="A10" s="5" t="s">
        <v>127</v>
      </c>
      <c r="B10">
        <v>1044000</v>
      </c>
      <c r="C10">
        <v>975000</v>
      </c>
      <c r="D10">
        <v>1917000</v>
      </c>
      <c r="E10">
        <v>1704000</v>
      </c>
      <c r="F10">
        <v>2565000</v>
      </c>
      <c r="G10">
        <v>492000</v>
      </c>
      <c r="H10">
        <v>8697000</v>
      </c>
    </row>
    <row r="13" spans="1:8" x14ac:dyDescent="0.25">
      <c r="A13" s="4" t="s">
        <v>126</v>
      </c>
      <c r="B13" t="s">
        <v>171</v>
      </c>
    </row>
    <row r="14" spans="1:8" x14ac:dyDescent="0.25">
      <c r="A14" s="5" t="s">
        <v>108</v>
      </c>
      <c r="B14">
        <v>60.2</v>
      </c>
    </row>
    <row r="15" spans="1:8" x14ac:dyDescent="0.25">
      <c r="A15" s="5" t="s">
        <v>103</v>
      </c>
      <c r="B15">
        <v>67.400000000000006</v>
      </c>
    </row>
    <row r="16" spans="1:8" x14ac:dyDescent="0.25">
      <c r="A16" s="5" t="s">
        <v>105</v>
      </c>
      <c r="B16">
        <v>73.8</v>
      </c>
    </row>
    <row r="17" spans="1:2" x14ac:dyDescent="0.25">
      <c r="A17" s="5" t="s">
        <v>107</v>
      </c>
      <c r="B17">
        <v>79.400000000000006</v>
      </c>
    </row>
    <row r="18" spans="1:2" x14ac:dyDescent="0.25">
      <c r="A18" s="5" t="s">
        <v>106</v>
      </c>
      <c r="B18">
        <v>40.799999999999997</v>
      </c>
    </row>
    <row r="19" spans="1:2" x14ac:dyDescent="0.25">
      <c r="A19" s="5" t="s">
        <v>104</v>
      </c>
      <c r="B19">
        <v>63.4</v>
      </c>
    </row>
    <row r="20" spans="1:2" x14ac:dyDescent="0.25">
      <c r="A20" s="5" t="s">
        <v>127</v>
      </c>
      <c r="B20">
        <v>64.166666666666671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E64DD-5442-4C39-99C8-1C1C9A2FAE76}">
  <dimension ref="A1:L8"/>
  <sheetViews>
    <sheetView zoomScaleNormal="100" workbookViewId="0">
      <selection activeCell="H41" sqref="H41"/>
    </sheetView>
  </sheetViews>
  <sheetFormatPr defaultRowHeight="15" x14ac:dyDescent="0.25"/>
  <cols>
    <col min="1" max="6" width="21.7109375" bestFit="1" customWidth="1"/>
    <col min="7" max="7" width="24.85546875" bestFit="1" customWidth="1"/>
    <col min="8" max="13" width="19.28515625" bestFit="1" customWidth="1"/>
    <col min="14" max="14" width="21.7109375" bestFit="1" customWidth="1"/>
    <col min="15" max="20" width="19.28515625" bestFit="1" customWidth="1"/>
    <col min="21" max="21" width="19.42578125" bestFit="1" customWidth="1"/>
    <col min="22" max="27" width="20" bestFit="1" customWidth="1"/>
    <col min="28" max="28" width="23.140625" bestFit="1" customWidth="1"/>
    <col min="29" max="34" width="20.7109375" bestFit="1" customWidth="1"/>
    <col min="35" max="35" width="23.85546875" bestFit="1" customWidth="1"/>
    <col min="36" max="36" width="11.28515625" bestFit="1" customWidth="1"/>
  </cols>
  <sheetData>
    <row r="1" spans="1:12" x14ac:dyDescent="0.25">
      <c r="A1" s="2" t="s">
        <v>109</v>
      </c>
      <c r="B1" s="2" t="s">
        <v>110</v>
      </c>
      <c r="C1" s="2" t="s">
        <v>111</v>
      </c>
      <c r="D1" s="2" t="s">
        <v>91</v>
      </c>
      <c r="E1" s="2" t="s">
        <v>112</v>
      </c>
      <c r="F1" s="2" t="s">
        <v>113</v>
      </c>
      <c r="H1" s="2" t="s">
        <v>172</v>
      </c>
      <c r="I1" s="2" t="s">
        <v>177</v>
      </c>
      <c r="J1" s="2" t="s">
        <v>178</v>
      </c>
      <c r="K1" s="2" t="s">
        <v>179</v>
      </c>
      <c r="L1" s="2" t="s">
        <v>180</v>
      </c>
    </row>
    <row r="2" spans="1:12" x14ac:dyDescent="0.25">
      <c r="A2" s="3" t="str">
        <f>'[1]Essential competitive data '!A2</f>
        <v>RBC</v>
      </c>
      <c r="B2" s="3">
        <f>'[1]Essential competitive data '!B2</f>
        <v>23.4</v>
      </c>
      <c r="C2" s="3">
        <f>'[1]Essential competitive data '!C2</f>
        <v>8.9</v>
      </c>
      <c r="D2" s="3">
        <f>'[1]Essential competitive data '!D2</f>
        <v>8.1999999999999993</v>
      </c>
      <c r="E2" s="3">
        <f>'[1]Essential competitive data '!E2</f>
        <v>9.1</v>
      </c>
      <c r="F2" s="3" t="str">
        <f>'[1]Essential competitive data '!F2</f>
        <v>All Demographics</v>
      </c>
      <c r="H2" s="2" t="s">
        <v>173</v>
      </c>
      <c r="I2" s="3">
        <f>B6</f>
        <v>3.9</v>
      </c>
      <c r="J2" s="3" t="str">
        <f>INDEX(A2:A8, MATCH(MAX(B2:B8), B2:B8, 0))</f>
        <v>RBC</v>
      </c>
      <c r="K2" s="3">
        <f>MAX(B2:B8)</f>
        <v>23.4</v>
      </c>
      <c r="L2" s="10">
        <f>K2 - I2</f>
        <v>19.5</v>
      </c>
    </row>
    <row r="3" spans="1:12" x14ac:dyDescent="0.25">
      <c r="A3" s="3" t="str">
        <f>'[1]Essential competitive data '!A3</f>
        <v>TD Bank</v>
      </c>
      <c r="B3" s="3">
        <f>'[1]Essential competitive data '!B3</f>
        <v>21.7</v>
      </c>
      <c r="C3" s="3">
        <f>'[1]Essential competitive data '!C3</f>
        <v>8.6999999999999993</v>
      </c>
      <c r="D3" s="3">
        <f>'[1]Essential competitive data '!D3</f>
        <v>8</v>
      </c>
      <c r="E3" s="3">
        <f>'[1]Essential competitive data '!E3</f>
        <v>8.9</v>
      </c>
      <c r="F3" s="3" t="str">
        <f>'[1]Essential competitive data '!F3</f>
        <v>All Demographics</v>
      </c>
      <c r="H3" s="2" t="s">
        <v>174</v>
      </c>
      <c r="I3" s="3">
        <f>C6</f>
        <v>9.3000000000000007</v>
      </c>
      <c r="J3" s="3" t="str">
        <f>INDEX(A2:A8, MATCH(MAX(C2:C8), C2:C8, 0))</f>
        <v>Koala</v>
      </c>
      <c r="K3" s="3">
        <f>MAX(C2:C8)</f>
        <v>9.8000000000000007</v>
      </c>
      <c r="L3" s="11">
        <f>K3 - I3</f>
        <v>0.5</v>
      </c>
    </row>
    <row r="4" spans="1:12" x14ac:dyDescent="0.25">
      <c r="A4" s="3" t="str">
        <f>'[1]Essential competitive data '!A4</f>
        <v>BMO</v>
      </c>
      <c r="B4" s="3">
        <f>'[1]Essential competitive data '!B4</f>
        <v>18.899999999999999</v>
      </c>
      <c r="C4" s="3">
        <f>'[1]Essential competitive data '!C4</f>
        <v>8.4</v>
      </c>
      <c r="D4" s="3">
        <f>'[1]Essential competitive data '!D4</f>
        <v>7.9</v>
      </c>
      <c r="E4" s="3">
        <f>'[1]Essential competitive data '!E4</f>
        <v>8.6</v>
      </c>
      <c r="F4" s="3" t="str">
        <f>'[1]Essential competitive data '!F4</f>
        <v>All Demographics</v>
      </c>
      <c r="H4" s="2" t="s">
        <v>175</v>
      </c>
      <c r="I4" s="3">
        <f>D6</f>
        <v>7.6</v>
      </c>
      <c r="J4" s="3" t="str">
        <f>INDEX(A2:A8, MATCH(MAX(D2:D8), D2:D8, 0))</f>
        <v>Credit Unions</v>
      </c>
      <c r="K4" s="3">
        <f>MAX(D2:D8)</f>
        <v>8.6999999999999993</v>
      </c>
      <c r="L4" s="11">
        <f>K4 - I4</f>
        <v>1.0999999999999996</v>
      </c>
    </row>
    <row r="5" spans="1:12" x14ac:dyDescent="0.25">
      <c r="A5" s="3" t="str">
        <f>'[1]Essential competitive data '!A5</f>
        <v>StreamlineBank</v>
      </c>
      <c r="B5" s="3">
        <f>'[1]Essential competitive data '!B5</f>
        <v>4.8</v>
      </c>
      <c r="C5" s="3">
        <f>'[1]Essential competitive data '!C5</f>
        <v>6.2</v>
      </c>
      <c r="D5" s="3">
        <f>'[1]Essential competitive data '!D5</f>
        <v>8.1</v>
      </c>
      <c r="E5" s="3">
        <f>'[1]Essential competitive data '!E5</f>
        <v>6.8</v>
      </c>
      <c r="F5" s="3" t="str">
        <f>'[1]Essential competitive data '!F5</f>
        <v>Traditional/Community</v>
      </c>
      <c r="H5" s="2" t="s">
        <v>176</v>
      </c>
      <c r="I5" s="3">
        <f>E6</f>
        <v>9.4</v>
      </c>
      <c r="J5" s="3" t="str">
        <f>INDEX(A2:A8, MATCH(MAX(E2:E8), E2:E8, 0))</f>
        <v>Koala</v>
      </c>
      <c r="K5" s="3">
        <f>MAX(E2:E8)</f>
        <v>9.6999999999999993</v>
      </c>
      <c r="L5" s="11">
        <f>K5 - I5</f>
        <v>0.29999999999999893</v>
      </c>
    </row>
    <row r="6" spans="1:12" x14ac:dyDescent="0.25">
      <c r="A6" s="3" t="str">
        <f>'[1]Essential competitive data '!A6</f>
        <v>Tangerine</v>
      </c>
      <c r="B6" s="3">
        <f>'[1]Essential competitive data '!B6</f>
        <v>3.9</v>
      </c>
      <c r="C6" s="3">
        <f>'[1]Essential competitive data '!C6</f>
        <v>9.3000000000000007</v>
      </c>
      <c r="D6" s="3">
        <f>'[1]Essential competitive data '!D6</f>
        <v>7.6</v>
      </c>
      <c r="E6" s="3">
        <f>'[1]Essential competitive data '!E6</f>
        <v>9.4</v>
      </c>
      <c r="F6" s="3" t="str">
        <f>'[1]Essential competitive data '!F6</f>
        <v>Young Professionals</v>
      </c>
      <c r="H6" s="1"/>
    </row>
    <row r="7" spans="1:12" x14ac:dyDescent="0.25">
      <c r="A7" s="3" t="str">
        <f>'[1]Essential competitive data '!A7</f>
        <v>Koala</v>
      </c>
      <c r="B7" s="3">
        <f>'[1]Essential competitive data '!B7</f>
        <v>2.1</v>
      </c>
      <c r="C7" s="3">
        <f>'[1]Essential competitive data '!C7</f>
        <v>9.8000000000000007</v>
      </c>
      <c r="D7" s="3">
        <f>'[1]Essential competitive data '!D7</f>
        <v>8.4</v>
      </c>
      <c r="E7" s="3">
        <f>'[1]Essential competitive data '!E7</f>
        <v>9.6999999999999993</v>
      </c>
      <c r="F7" s="3" t="str">
        <f>'[1]Essential competitive data '!F7</f>
        <v>Gen Z/Millennials</v>
      </c>
    </row>
    <row r="8" spans="1:12" x14ac:dyDescent="0.25">
      <c r="A8" s="3" t="str">
        <f>'[1]Essential competitive data '!A8</f>
        <v>Credit Unions</v>
      </c>
      <c r="B8" s="3">
        <f>'[1]Essential competitive data '!B8</f>
        <v>6.2</v>
      </c>
      <c r="C8" s="3">
        <f>'[1]Essential competitive data '!C8</f>
        <v>5.4</v>
      </c>
      <c r="D8" s="3">
        <f>'[1]Essential competitive data '!D8</f>
        <v>8.6999999999999993</v>
      </c>
      <c r="E8" s="3">
        <f>'[1]Essential competitive data '!E8</f>
        <v>5.9</v>
      </c>
      <c r="F8" s="3" t="str">
        <f>'[1]Essential competitive data '!F8</f>
        <v>Community-Focused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73E2-03A0-4311-B87F-D9E757E05647}">
  <dimension ref="A1:R51"/>
  <sheetViews>
    <sheetView tabSelected="1" topLeftCell="E1" zoomScale="85" zoomScaleNormal="85" workbookViewId="0">
      <selection activeCell="L2" sqref="L2"/>
    </sheetView>
  </sheetViews>
  <sheetFormatPr defaultRowHeight="15" x14ac:dyDescent="0.25"/>
  <cols>
    <col min="1" max="1" width="12.85546875" customWidth="1"/>
    <col min="2" max="2" width="18.42578125" customWidth="1"/>
    <col min="5" max="5" width="16.42578125" customWidth="1"/>
    <col min="6" max="6" width="14.42578125" customWidth="1"/>
    <col min="7" max="7" width="14.28515625" customWidth="1"/>
    <col min="8" max="8" width="23.42578125" customWidth="1"/>
    <col min="9" max="9" width="22" customWidth="1"/>
    <col min="10" max="10" width="24" customWidth="1"/>
    <col min="11" max="11" width="14" customWidth="1"/>
    <col min="12" max="12" width="17.42578125" customWidth="1"/>
    <col min="13" max="13" width="12.140625" customWidth="1"/>
    <col min="14" max="14" width="11.7109375" customWidth="1"/>
    <col min="15" max="15" width="19.140625" customWidth="1"/>
    <col min="16" max="16" width="25" customWidth="1"/>
    <col min="17" max="17" width="22.85546875" customWidth="1"/>
    <col min="18" max="18" width="16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140</v>
      </c>
      <c r="O1" s="2" t="s">
        <v>141</v>
      </c>
      <c r="P1" s="2" t="s">
        <v>142</v>
      </c>
      <c r="Q1" s="2" t="s">
        <v>143</v>
      </c>
      <c r="R1" s="2"/>
    </row>
    <row r="2" spans="1:18" x14ac:dyDescent="0.25">
      <c r="A2" t="s">
        <v>13</v>
      </c>
      <c r="B2" t="s">
        <v>14</v>
      </c>
      <c r="C2">
        <v>28</v>
      </c>
      <c r="D2" t="s">
        <v>15</v>
      </c>
      <c r="E2" t="s">
        <v>16</v>
      </c>
      <c r="F2" t="s">
        <v>17</v>
      </c>
      <c r="G2">
        <v>3</v>
      </c>
      <c r="H2">
        <v>8.1999999999999993</v>
      </c>
      <c r="I2">
        <v>45</v>
      </c>
      <c r="J2">
        <v>78</v>
      </c>
      <c r="K2">
        <v>4</v>
      </c>
      <c r="L2">
        <v>7.8</v>
      </c>
      <c r="M2" t="s">
        <v>18</v>
      </c>
      <c r="N2" s="3" t="str">
        <f>IF(C2&lt;30,"Under 30",IF(C2&lt;45,"30-44",IF(C2&lt;60,"45-59","60+")))</f>
        <v>Under 30</v>
      </c>
      <c r="O2" s="3" t="str">
        <f>IF(E2="150000+","High Income",IF(OR(E2="100000-150000",D2="75000-100000"),"Mid Income","Lower Income"))</f>
        <v>Lower Income</v>
      </c>
      <c r="P2" s="3" t="str">
        <f>IF(H2&gt;=8,"High Digital",IF(H2&gt;=6,"Medium Digital","Low Digital"))</f>
        <v>High Digital</v>
      </c>
      <c r="Q2" s="3">
        <f>(H2*0.3)+(I2/10*0.2)+(J2/100*0.2)+(K2*0.15)+(L2*0.15)</f>
        <v>5.2859999999999996</v>
      </c>
      <c r="R2" s="3"/>
    </row>
    <row r="3" spans="1:18" x14ac:dyDescent="0.25">
      <c r="A3" t="s">
        <v>19</v>
      </c>
      <c r="B3" t="s">
        <v>14</v>
      </c>
      <c r="C3">
        <v>34</v>
      </c>
      <c r="D3" t="s">
        <v>20</v>
      </c>
      <c r="E3" t="s">
        <v>21</v>
      </c>
      <c r="F3" t="s">
        <v>17</v>
      </c>
      <c r="G3">
        <v>7</v>
      </c>
      <c r="H3">
        <v>9.1</v>
      </c>
      <c r="I3">
        <v>52</v>
      </c>
      <c r="J3">
        <v>82</v>
      </c>
      <c r="K3">
        <v>5</v>
      </c>
      <c r="L3">
        <v>8.1</v>
      </c>
      <c r="M3" t="s">
        <v>18</v>
      </c>
      <c r="N3" s="3" t="str">
        <f t="shared" ref="N3:N51" si="0">IF(C3&lt;30,"Under 30",IF(C3&lt;45,"30-44",IF(C3&lt;60,"45-59","60+")))</f>
        <v>30-44</v>
      </c>
      <c r="O3" s="3" t="str">
        <f t="shared" ref="O3:O51" si="1">IF(E3="150000+","High Income",IF(OR(E3="100000-150000",D3="75000-100000"),"Mid Income","Lower Income"))</f>
        <v>Lower Income</v>
      </c>
      <c r="P3" s="3" t="str">
        <f t="shared" ref="P3:P51" si="2">IF(H3&gt;=8,"High Digital",IF(H3&gt;=6,"Medium Digital","Low Digital"))</f>
        <v>High Digital</v>
      </c>
      <c r="Q3" s="3">
        <f t="shared" ref="Q3:Q51" si="3">(H3*0.3)+(I3/10*0.2)+(J3/100*0.2)+(K3*0.15)+(L3*0.15)</f>
        <v>5.899</v>
      </c>
      <c r="R3" s="3"/>
    </row>
    <row r="4" spans="1:18" x14ac:dyDescent="0.25">
      <c r="A4" t="s">
        <v>22</v>
      </c>
      <c r="B4" t="s">
        <v>14</v>
      </c>
      <c r="C4">
        <v>45</v>
      </c>
      <c r="D4" t="s">
        <v>15</v>
      </c>
      <c r="E4" t="s">
        <v>23</v>
      </c>
      <c r="F4" t="s">
        <v>17</v>
      </c>
      <c r="G4">
        <v>12</v>
      </c>
      <c r="H4">
        <v>6.8</v>
      </c>
      <c r="I4">
        <v>38</v>
      </c>
      <c r="J4">
        <v>65</v>
      </c>
      <c r="K4">
        <v>6</v>
      </c>
      <c r="L4">
        <v>7.2</v>
      </c>
      <c r="M4" t="s">
        <v>24</v>
      </c>
      <c r="N4" s="3" t="str">
        <f t="shared" si="0"/>
        <v>45-59</v>
      </c>
      <c r="O4" s="3" t="str">
        <f t="shared" si="1"/>
        <v>Mid Income</v>
      </c>
      <c r="P4" s="3" t="str">
        <f t="shared" si="2"/>
        <v>Medium Digital</v>
      </c>
      <c r="Q4" s="3">
        <f t="shared" si="3"/>
        <v>4.91</v>
      </c>
      <c r="R4" s="3"/>
    </row>
    <row r="5" spans="1:18" x14ac:dyDescent="0.25">
      <c r="A5" t="s">
        <v>25</v>
      </c>
      <c r="B5" t="s">
        <v>14</v>
      </c>
      <c r="C5">
        <v>29</v>
      </c>
      <c r="D5" t="s">
        <v>20</v>
      </c>
      <c r="E5" t="s">
        <v>26</v>
      </c>
      <c r="F5" t="s">
        <v>27</v>
      </c>
      <c r="G5">
        <v>2</v>
      </c>
      <c r="H5">
        <v>7.9</v>
      </c>
      <c r="I5">
        <v>28</v>
      </c>
      <c r="J5">
        <v>85</v>
      </c>
      <c r="K5">
        <v>2</v>
      </c>
      <c r="L5">
        <v>7.5</v>
      </c>
      <c r="M5" t="s">
        <v>18</v>
      </c>
      <c r="N5" s="3" t="str">
        <f t="shared" si="0"/>
        <v>Under 30</v>
      </c>
      <c r="O5" s="3" t="str">
        <f t="shared" si="1"/>
        <v>Lower Income</v>
      </c>
      <c r="P5" s="3" t="str">
        <f t="shared" si="2"/>
        <v>Medium Digital</v>
      </c>
      <c r="Q5" s="3">
        <f t="shared" si="3"/>
        <v>4.5250000000000004</v>
      </c>
      <c r="R5" s="3"/>
    </row>
    <row r="6" spans="1:18" x14ac:dyDescent="0.25">
      <c r="A6" t="s">
        <v>28</v>
      </c>
      <c r="B6" t="s">
        <v>14</v>
      </c>
      <c r="C6">
        <v>52</v>
      </c>
      <c r="D6" t="s">
        <v>20</v>
      </c>
      <c r="E6" t="s">
        <v>29</v>
      </c>
      <c r="F6" t="s">
        <v>17</v>
      </c>
      <c r="G6">
        <v>15</v>
      </c>
      <c r="H6">
        <v>4.2</v>
      </c>
      <c r="I6">
        <v>42</v>
      </c>
      <c r="J6">
        <v>45</v>
      </c>
      <c r="K6">
        <v>7</v>
      </c>
      <c r="L6">
        <v>8.9</v>
      </c>
      <c r="M6" t="s">
        <v>18</v>
      </c>
      <c r="N6" s="3" t="str">
        <f t="shared" si="0"/>
        <v>45-59</v>
      </c>
      <c r="O6" s="3" t="str">
        <f t="shared" si="1"/>
        <v>High Income</v>
      </c>
      <c r="P6" s="3" t="str">
        <f t="shared" si="2"/>
        <v>Low Digital</v>
      </c>
      <c r="Q6" s="3">
        <f t="shared" si="3"/>
        <v>4.5750000000000002</v>
      </c>
      <c r="R6" s="3"/>
    </row>
    <row r="7" spans="1:18" x14ac:dyDescent="0.25">
      <c r="A7" t="s">
        <v>30</v>
      </c>
      <c r="B7" t="s">
        <v>14</v>
      </c>
      <c r="C7">
        <v>41</v>
      </c>
      <c r="D7" t="s">
        <v>20</v>
      </c>
      <c r="E7" t="s">
        <v>23</v>
      </c>
      <c r="F7" t="s">
        <v>17</v>
      </c>
      <c r="G7">
        <v>9</v>
      </c>
      <c r="H7">
        <v>5.8</v>
      </c>
      <c r="I7">
        <v>47</v>
      </c>
      <c r="J7">
        <v>59</v>
      </c>
      <c r="K7">
        <v>5</v>
      </c>
      <c r="L7">
        <v>8.6</v>
      </c>
      <c r="M7" t="s">
        <v>18</v>
      </c>
      <c r="N7" s="3" t="str">
        <f t="shared" si="0"/>
        <v>30-44</v>
      </c>
      <c r="O7" s="3" t="str">
        <f t="shared" si="1"/>
        <v>Mid Income</v>
      </c>
      <c r="P7" s="3" t="str">
        <f t="shared" si="2"/>
        <v>Low Digital</v>
      </c>
      <c r="Q7" s="3">
        <f t="shared" si="3"/>
        <v>4.8380000000000001</v>
      </c>
      <c r="R7" s="3"/>
    </row>
    <row r="8" spans="1:18" x14ac:dyDescent="0.25">
      <c r="A8" t="s">
        <v>31</v>
      </c>
      <c r="B8" t="s">
        <v>14</v>
      </c>
      <c r="C8">
        <v>36</v>
      </c>
      <c r="D8" t="s">
        <v>15</v>
      </c>
      <c r="E8" t="s">
        <v>21</v>
      </c>
      <c r="F8" t="s">
        <v>17</v>
      </c>
      <c r="G8">
        <v>6</v>
      </c>
      <c r="H8">
        <v>8.3000000000000007</v>
      </c>
      <c r="I8">
        <v>44</v>
      </c>
      <c r="J8">
        <v>77</v>
      </c>
      <c r="K8">
        <v>4</v>
      </c>
      <c r="L8">
        <v>7.9</v>
      </c>
      <c r="M8" t="s">
        <v>18</v>
      </c>
      <c r="N8" s="3" t="str">
        <f t="shared" si="0"/>
        <v>30-44</v>
      </c>
      <c r="O8" s="3" t="str">
        <f t="shared" si="1"/>
        <v>Lower Income</v>
      </c>
      <c r="P8" s="3" t="str">
        <f t="shared" si="2"/>
        <v>High Digital</v>
      </c>
      <c r="Q8" s="3">
        <f t="shared" si="3"/>
        <v>5.3089999999999993</v>
      </c>
      <c r="R8" s="3"/>
    </row>
    <row r="9" spans="1:18" x14ac:dyDescent="0.25">
      <c r="A9" t="s">
        <v>32</v>
      </c>
      <c r="B9" t="s">
        <v>14</v>
      </c>
      <c r="C9">
        <v>50</v>
      </c>
      <c r="D9" t="s">
        <v>20</v>
      </c>
      <c r="E9" t="s">
        <v>29</v>
      </c>
      <c r="F9" t="s">
        <v>17</v>
      </c>
      <c r="G9">
        <v>13</v>
      </c>
      <c r="H9">
        <v>4.9000000000000004</v>
      </c>
      <c r="I9">
        <v>39</v>
      </c>
      <c r="J9">
        <v>49</v>
      </c>
      <c r="K9">
        <v>8</v>
      </c>
      <c r="L9">
        <v>9.1999999999999993</v>
      </c>
      <c r="M9" t="s">
        <v>18</v>
      </c>
      <c r="N9" s="3" t="str">
        <f t="shared" si="0"/>
        <v>45-59</v>
      </c>
      <c r="O9" s="3" t="str">
        <f t="shared" si="1"/>
        <v>High Income</v>
      </c>
      <c r="P9" s="3" t="str">
        <f t="shared" si="2"/>
        <v>Low Digital</v>
      </c>
      <c r="Q9" s="3">
        <f t="shared" si="3"/>
        <v>4.9279999999999999</v>
      </c>
      <c r="R9" s="3"/>
    </row>
    <row r="10" spans="1:18" x14ac:dyDescent="0.25">
      <c r="A10" t="s">
        <v>33</v>
      </c>
      <c r="B10" t="s">
        <v>14</v>
      </c>
      <c r="C10">
        <v>31</v>
      </c>
      <c r="D10" t="s">
        <v>15</v>
      </c>
      <c r="E10" t="s">
        <v>16</v>
      </c>
      <c r="F10" t="s">
        <v>27</v>
      </c>
      <c r="G10">
        <v>4</v>
      </c>
      <c r="H10">
        <v>8</v>
      </c>
      <c r="I10">
        <v>32</v>
      </c>
      <c r="J10">
        <v>81</v>
      </c>
      <c r="K10">
        <v>3</v>
      </c>
      <c r="L10">
        <v>7.7</v>
      </c>
      <c r="M10" t="s">
        <v>18</v>
      </c>
      <c r="N10" s="3" t="str">
        <f t="shared" si="0"/>
        <v>30-44</v>
      </c>
      <c r="O10" s="3" t="str">
        <f t="shared" si="1"/>
        <v>Lower Income</v>
      </c>
      <c r="P10" s="3" t="str">
        <f t="shared" si="2"/>
        <v>High Digital</v>
      </c>
      <c r="Q10" s="3">
        <f t="shared" si="3"/>
        <v>4.8070000000000004</v>
      </c>
      <c r="R10" s="3"/>
    </row>
    <row r="11" spans="1:18" x14ac:dyDescent="0.25">
      <c r="A11" t="s">
        <v>34</v>
      </c>
      <c r="B11" t="s">
        <v>14</v>
      </c>
      <c r="C11">
        <v>43</v>
      </c>
      <c r="D11" t="s">
        <v>20</v>
      </c>
      <c r="E11" t="s">
        <v>23</v>
      </c>
      <c r="F11" t="s">
        <v>17</v>
      </c>
      <c r="G11">
        <v>10</v>
      </c>
      <c r="H11">
        <v>6.5</v>
      </c>
      <c r="I11">
        <v>41</v>
      </c>
      <c r="J11">
        <v>62</v>
      </c>
      <c r="K11">
        <v>6</v>
      </c>
      <c r="L11">
        <v>8.4</v>
      </c>
      <c r="M11" t="s">
        <v>18</v>
      </c>
      <c r="N11" s="3" t="str">
        <f t="shared" si="0"/>
        <v>30-44</v>
      </c>
      <c r="O11" s="3" t="str">
        <f t="shared" si="1"/>
        <v>Mid Income</v>
      </c>
      <c r="P11" s="3" t="str">
        <f t="shared" si="2"/>
        <v>Medium Digital</v>
      </c>
      <c r="Q11" s="3">
        <f t="shared" si="3"/>
        <v>5.0540000000000003</v>
      </c>
      <c r="R11" s="3"/>
    </row>
    <row r="12" spans="1:18" x14ac:dyDescent="0.25">
      <c r="A12" t="s">
        <v>35</v>
      </c>
      <c r="B12" t="s">
        <v>36</v>
      </c>
      <c r="C12">
        <v>37</v>
      </c>
      <c r="D12" t="s">
        <v>15</v>
      </c>
      <c r="E12" t="s">
        <v>21</v>
      </c>
      <c r="F12" t="s">
        <v>27</v>
      </c>
      <c r="G12">
        <v>7</v>
      </c>
      <c r="H12">
        <v>7.6</v>
      </c>
      <c r="I12">
        <v>38</v>
      </c>
      <c r="J12">
        <v>71</v>
      </c>
      <c r="K12">
        <v>3</v>
      </c>
      <c r="L12">
        <v>8.1</v>
      </c>
      <c r="M12" t="s">
        <v>18</v>
      </c>
      <c r="N12" s="3" t="str">
        <f t="shared" si="0"/>
        <v>30-44</v>
      </c>
      <c r="O12" s="3" t="str">
        <f t="shared" si="1"/>
        <v>Lower Income</v>
      </c>
      <c r="P12" s="3" t="str">
        <f t="shared" si="2"/>
        <v>Medium Digital</v>
      </c>
      <c r="Q12" s="3">
        <f t="shared" si="3"/>
        <v>4.8469999999999995</v>
      </c>
      <c r="R12" s="3"/>
    </row>
    <row r="13" spans="1:18" x14ac:dyDescent="0.25">
      <c r="A13" t="s">
        <v>37</v>
      </c>
      <c r="B13" t="s">
        <v>36</v>
      </c>
      <c r="C13">
        <v>29</v>
      </c>
      <c r="D13" t="s">
        <v>20</v>
      </c>
      <c r="E13" t="s">
        <v>26</v>
      </c>
      <c r="F13" t="s">
        <v>27</v>
      </c>
      <c r="G13">
        <v>2</v>
      </c>
      <c r="H13">
        <v>9</v>
      </c>
      <c r="I13">
        <v>26</v>
      </c>
      <c r="J13">
        <v>89</v>
      </c>
      <c r="K13">
        <v>2</v>
      </c>
      <c r="L13">
        <v>7.4</v>
      </c>
      <c r="M13" t="s">
        <v>24</v>
      </c>
      <c r="N13" s="3" t="str">
        <f t="shared" si="0"/>
        <v>Under 30</v>
      </c>
      <c r="O13" s="3" t="str">
        <f t="shared" si="1"/>
        <v>Lower Income</v>
      </c>
      <c r="P13" s="3" t="str">
        <f t="shared" si="2"/>
        <v>High Digital</v>
      </c>
      <c r="Q13" s="3">
        <f t="shared" si="3"/>
        <v>4.8079999999999998</v>
      </c>
      <c r="R13" s="3"/>
    </row>
    <row r="14" spans="1:18" x14ac:dyDescent="0.25">
      <c r="A14" t="s">
        <v>38</v>
      </c>
      <c r="B14" t="s">
        <v>36</v>
      </c>
      <c r="C14">
        <v>54</v>
      </c>
      <c r="D14" t="s">
        <v>15</v>
      </c>
      <c r="E14" t="s">
        <v>29</v>
      </c>
      <c r="F14" t="s">
        <v>17</v>
      </c>
      <c r="G14">
        <v>17</v>
      </c>
      <c r="H14">
        <v>4.3</v>
      </c>
      <c r="I14">
        <v>35</v>
      </c>
      <c r="J14">
        <v>43</v>
      </c>
      <c r="K14">
        <v>7</v>
      </c>
      <c r="L14">
        <v>8.8000000000000007</v>
      </c>
      <c r="M14" t="s">
        <v>18</v>
      </c>
      <c r="N14" s="3" t="str">
        <f t="shared" si="0"/>
        <v>45-59</v>
      </c>
      <c r="O14" s="3" t="str">
        <f t="shared" si="1"/>
        <v>High Income</v>
      </c>
      <c r="P14" s="3" t="str">
        <f t="shared" si="2"/>
        <v>Low Digital</v>
      </c>
      <c r="Q14" s="3">
        <f t="shared" si="3"/>
        <v>4.4459999999999997</v>
      </c>
      <c r="R14" s="3"/>
    </row>
    <row r="15" spans="1:18" x14ac:dyDescent="0.25">
      <c r="A15" t="s">
        <v>39</v>
      </c>
      <c r="B15" t="s">
        <v>36</v>
      </c>
      <c r="C15">
        <v>32</v>
      </c>
      <c r="D15" t="s">
        <v>20</v>
      </c>
      <c r="E15" t="s">
        <v>16</v>
      </c>
      <c r="F15" t="s">
        <v>17</v>
      </c>
      <c r="G15">
        <v>5</v>
      </c>
      <c r="H15">
        <v>8.1999999999999993</v>
      </c>
      <c r="I15">
        <v>40</v>
      </c>
      <c r="J15">
        <v>78</v>
      </c>
      <c r="K15">
        <v>4</v>
      </c>
      <c r="L15">
        <v>7.8</v>
      </c>
      <c r="M15" t="s">
        <v>18</v>
      </c>
      <c r="N15" s="3" t="str">
        <f t="shared" si="0"/>
        <v>30-44</v>
      </c>
      <c r="O15" s="3" t="str">
        <f t="shared" si="1"/>
        <v>Lower Income</v>
      </c>
      <c r="P15" s="3" t="str">
        <f t="shared" si="2"/>
        <v>High Digital</v>
      </c>
      <c r="Q15" s="3">
        <f t="shared" si="3"/>
        <v>5.1859999999999999</v>
      </c>
      <c r="R15" s="3"/>
    </row>
    <row r="16" spans="1:18" x14ac:dyDescent="0.25">
      <c r="A16" t="s">
        <v>40</v>
      </c>
      <c r="B16" t="s">
        <v>36</v>
      </c>
      <c r="C16">
        <v>46</v>
      </c>
      <c r="D16" t="s">
        <v>15</v>
      </c>
      <c r="E16" t="s">
        <v>23</v>
      </c>
      <c r="F16" t="s">
        <v>17</v>
      </c>
      <c r="G16">
        <v>11</v>
      </c>
      <c r="H16">
        <v>6</v>
      </c>
      <c r="I16">
        <v>43</v>
      </c>
      <c r="J16">
        <v>56</v>
      </c>
      <c r="K16">
        <v>5</v>
      </c>
      <c r="L16">
        <v>8.5</v>
      </c>
      <c r="M16" t="s">
        <v>18</v>
      </c>
      <c r="N16" s="3" t="str">
        <f t="shared" si="0"/>
        <v>45-59</v>
      </c>
      <c r="O16" s="3" t="str">
        <f t="shared" si="1"/>
        <v>Mid Income</v>
      </c>
      <c r="P16" s="3" t="str">
        <f t="shared" si="2"/>
        <v>Medium Digital</v>
      </c>
      <c r="Q16" s="3">
        <f t="shared" si="3"/>
        <v>4.7969999999999997</v>
      </c>
      <c r="R16" s="3"/>
    </row>
    <row r="17" spans="1:18" x14ac:dyDescent="0.25">
      <c r="A17" t="s">
        <v>41</v>
      </c>
      <c r="B17" t="s">
        <v>36</v>
      </c>
      <c r="C17">
        <v>40</v>
      </c>
      <c r="D17" t="s">
        <v>20</v>
      </c>
      <c r="E17" t="s">
        <v>21</v>
      </c>
      <c r="F17" t="s">
        <v>27</v>
      </c>
      <c r="G17">
        <v>8</v>
      </c>
      <c r="H17">
        <v>7.1</v>
      </c>
      <c r="I17">
        <v>37</v>
      </c>
      <c r="J17">
        <v>68</v>
      </c>
      <c r="K17">
        <v>3</v>
      </c>
      <c r="L17">
        <v>8</v>
      </c>
      <c r="M17" t="s">
        <v>18</v>
      </c>
      <c r="N17" s="3" t="str">
        <f t="shared" si="0"/>
        <v>30-44</v>
      </c>
      <c r="O17" s="3" t="str">
        <f t="shared" si="1"/>
        <v>Lower Income</v>
      </c>
      <c r="P17" s="3" t="str">
        <f t="shared" si="2"/>
        <v>Medium Digital</v>
      </c>
      <c r="Q17" s="3">
        <f t="shared" si="3"/>
        <v>4.6560000000000006</v>
      </c>
      <c r="R17" s="3"/>
    </row>
    <row r="18" spans="1:18" x14ac:dyDescent="0.25">
      <c r="A18" t="s">
        <v>42</v>
      </c>
      <c r="B18" t="s">
        <v>36</v>
      </c>
      <c r="C18">
        <v>33</v>
      </c>
      <c r="D18" t="s">
        <v>15</v>
      </c>
      <c r="E18" t="s">
        <v>16</v>
      </c>
      <c r="F18" t="s">
        <v>17</v>
      </c>
      <c r="G18">
        <v>4</v>
      </c>
      <c r="H18">
        <v>8.5</v>
      </c>
      <c r="I18">
        <v>42</v>
      </c>
      <c r="J18">
        <v>75</v>
      </c>
      <c r="K18">
        <v>4</v>
      </c>
      <c r="L18">
        <v>7.9</v>
      </c>
      <c r="M18" t="s">
        <v>18</v>
      </c>
      <c r="N18" s="3" t="str">
        <f t="shared" si="0"/>
        <v>30-44</v>
      </c>
      <c r="O18" s="3" t="str">
        <f t="shared" si="1"/>
        <v>Lower Income</v>
      </c>
      <c r="P18" s="3" t="str">
        <f t="shared" si="2"/>
        <v>High Digital</v>
      </c>
      <c r="Q18" s="3">
        <f t="shared" si="3"/>
        <v>5.3249999999999993</v>
      </c>
      <c r="R18" s="3"/>
    </row>
    <row r="19" spans="1:18" x14ac:dyDescent="0.25">
      <c r="A19" t="s">
        <v>43</v>
      </c>
      <c r="B19" t="s">
        <v>36</v>
      </c>
      <c r="C19">
        <v>48</v>
      </c>
      <c r="D19" t="s">
        <v>20</v>
      </c>
      <c r="E19" t="s">
        <v>23</v>
      </c>
      <c r="F19" t="s">
        <v>17</v>
      </c>
      <c r="G19">
        <v>12</v>
      </c>
      <c r="H19">
        <v>5.7</v>
      </c>
      <c r="I19">
        <v>45</v>
      </c>
      <c r="J19">
        <v>54</v>
      </c>
      <c r="K19">
        <v>6</v>
      </c>
      <c r="L19">
        <v>8.6999999999999993</v>
      </c>
      <c r="M19" t="s">
        <v>18</v>
      </c>
      <c r="N19" s="3" t="str">
        <f t="shared" si="0"/>
        <v>45-59</v>
      </c>
      <c r="O19" s="3" t="str">
        <f t="shared" si="1"/>
        <v>Mid Income</v>
      </c>
      <c r="P19" s="3" t="str">
        <f t="shared" si="2"/>
        <v>Low Digital</v>
      </c>
      <c r="Q19" s="3">
        <f t="shared" si="3"/>
        <v>4.923</v>
      </c>
      <c r="R19" s="3"/>
    </row>
    <row r="20" spans="1:18" x14ac:dyDescent="0.25">
      <c r="A20" t="s">
        <v>44</v>
      </c>
      <c r="B20" t="s">
        <v>36</v>
      </c>
      <c r="C20">
        <v>30</v>
      </c>
      <c r="D20" t="s">
        <v>15</v>
      </c>
      <c r="E20" t="s">
        <v>26</v>
      </c>
      <c r="F20" t="s">
        <v>27</v>
      </c>
      <c r="G20">
        <v>3</v>
      </c>
      <c r="H20">
        <v>8.6999999999999993</v>
      </c>
      <c r="I20">
        <v>29</v>
      </c>
      <c r="J20">
        <v>86</v>
      </c>
      <c r="K20">
        <v>2</v>
      </c>
      <c r="L20">
        <v>7.5</v>
      </c>
      <c r="M20" t="s">
        <v>24</v>
      </c>
      <c r="N20" s="3" t="str">
        <f t="shared" si="0"/>
        <v>30-44</v>
      </c>
      <c r="O20" s="3" t="str">
        <f t="shared" si="1"/>
        <v>Lower Income</v>
      </c>
      <c r="P20" s="3" t="str">
        <f t="shared" si="2"/>
        <v>High Digital</v>
      </c>
      <c r="Q20" s="3">
        <f t="shared" si="3"/>
        <v>4.7869999999999999</v>
      </c>
      <c r="R20" s="3"/>
    </row>
    <row r="21" spans="1:18" x14ac:dyDescent="0.25">
      <c r="A21" t="s">
        <v>45</v>
      </c>
      <c r="B21" t="s">
        <v>36</v>
      </c>
      <c r="C21">
        <v>52</v>
      </c>
      <c r="D21" t="s">
        <v>20</v>
      </c>
      <c r="E21" t="s">
        <v>29</v>
      </c>
      <c r="F21" t="s">
        <v>17</v>
      </c>
      <c r="G21">
        <v>16</v>
      </c>
      <c r="H21">
        <v>4.4000000000000004</v>
      </c>
      <c r="I21">
        <v>38</v>
      </c>
      <c r="J21">
        <v>44</v>
      </c>
      <c r="K21">
        <v>7</v>
      </c>
      <c r="L21">
        <v>9</v>
      </c>
      <c r="M21" t="s">
        <v>18</v>
      </c>
      <c r="N21" s="3" t="str">
        <f t="shared" si="0"/>
        <v>45-59</v>
      </c>
      <c r="O21" s="3" t="str">
        <f t="shared" si="1"/>
        <v>High Income</v>
      </c>
      <c r="P21" s="3" t="str">
        <f t="shared" si="2"/>
        <v>Low Digital</v>
      </c>
      <c r="Q21" s="3">
        <f t="shared" si="3"/>
        <v>4.5679999999999996</v>
      </c>
      <c r="R21" s="3"/>
    </row>
    <row r="22" spans="1:18" x14ac:dyDescent="0.25">
      <c r="A22" t="s">
        <v>46</v>
      </c>
      <c r="B22" t="s">
        <v>47</v>
      </c>
      <c r="C22">
        <v>38</v>
      </c>
      <c r="D22" t="s">
        <v>15</v>
      </c>
      <c r="E22" t="s">
        <v>21</v>
      </c>
      <c r="F22" t="s">
        <v>27</v>
      </c>
      <c r="G22">
        <v>6</v>
      </c>
      <c r="H22">
        <v>7.4</v>
      </c>
      <c r="I22">
        <v>36</v>
      </c>
      <c r="J22">
        <v>70</v>
      </c>
      <c r="K22">
        <v>3</v>
      </c>
      <c r="L22">
        <v>8.1999999999999993</v>
      </c>
      <c r="M22" t="s">
        <v>18</v>
      </c>
      <c r="N22" s="3" t="str">
        <f t="shared" si="0"/>
        <v>30-44</v>
      </c>
      <c r="O22" s="3" t="str">
        <f t="shared" si="1"/>
        <v>Lower Income</v>
      </c>
      <c r="P22" s="3" t="str">
        <f t="shared" si="2"/>
        <v>Medium Digital</v>
      </c>
      <c r="Q22" s="3">
        <f t="shared" si="3"/>
        <v>4.76</v>
      </c>
      <c r="R22" s="3"/>
    </row>
    <row r="23" spans="1:18" x14ac:dyDescent="0.25">
      <c r="A23" t="s">
        <v>48</v>
      </c>
      <c r="B23" t="s">
        <v>47</v>
      </c>
      <c r="C23">
        <v>45</v>
      </c>
      <c r="D23" t="s">
        <v>20</v>
      </c>
      <c r="E23" t="s">
        <v>23</v>
      </c>
      <c r="F23" t="s">
        <v>17</v>
      </c>
      <c r="G23">
        <v>11</v>
      </c>
      <c r="H23">
        <v>6.1</v>
      </c>
      <c r="I23">
        <v>44</v>
      </c>
      <c r="J23">
        <v>58</v>
      </c>
      <c r="K23">
        <v>5</v>
      </c>
      <c r="L23">
        <v>8.3000000000000007</v>
      </c>
      <c r="M23" t="s">
        <v>18</v>
      </c>
      <c r="N23" s="3" t="str">
        <f t="shared" si="0"/>
        <v>45-59</v>
      </c>
      <c r="O23" s="3" t="str">
        <f t="shared" si="1"/>
        <v>Mid Income</v>
      </c>
      <c r="P23" s="3" t="str">
        <f t="shared" si="2"/>
        <v>Medium Digital</v>
      </c>
      <c r="Q23" s="3">
        <f t="shared" si="3"/>
        <v>4.8209999999999997</v>
      </c>
      <c r="R23" s="3"/>
    </row>
    <row r="24" spans="1:18" x14ac:dyDescent="0.25">
      <c r="A24" t="s">
        <v>49</v>
      </c>
      <c r="B24" t="s">
        <v>47</v>
      </c>
      <c r="C24">
        <v>32</v>
      </c>
      <c r="D24" t="s">
        <v>15</v>
      </c>
      <c r="E24" t="s">
        <v>16</v>
      </c>
      <c r="F24" t="s">
        <v>17</v>
      </c>
      <c r="G24">
        <v>5</v>
      </c>
      <c r="H24">
        <v>8.1</v>
      </c>
      <c r="I24">
        <v>41</v>
      </c>
      <c r="J24">
        <v>76</v>
      </c>
      <c r="K24">
        <v>4</v>
      </c>
      <c r="L24">
        <v>7.7</v>
      </c>
      <c r="M24" t="s">
        <v>18</v>
      </c>
      <c r="N24" s="3" t="str">
        <f t="shared" si="0"/>
        <v>30-44</v>
      </c>
      <c r="O24" s="3" t="str">
        <f t="shared" si="1"/>
        <v>Lower Income</v>
      </c>
      <c r="P24" s="3" t="str">
        <f t="shared" si="2"/>
        <v>High Digital</v>
      </c>
      <c r="Q24" s="3">
        <f t="shared" si="3"/>
        <v>5.157</v>
      </c>
      <c r="R24" s="3"/>
    </row>
    <row r="25" spans="1:18" x14ac:dyDescent="0.25">
      <c r="A25" t="s">
        <v>50</v>
      </c>
      <c r="B25" t="s">
        <v>47</v>
      </c>
      <c r="C25">
        <v>49</v>
      </c>
      <c r="D25" t="s">
        <v>20</v>
      </c>
      <c r="E25" t="s">
        <v>29</v>
      </c>
      <c r="F25" t="s">
        <v>17</v>
      </c>
      <c r="G25">
        <v>14</v>
      </c>
      <c r="H25">
        <v>5</v>
      </c>
      <c r="I25">
        <v>40</v>
      </c>
      <c r="J25">
        <v>51</v>
      </c>
      <c r="K25">
        <v>6</v>
      </c>
      <c r="L25">
        <v>8.9</v>
      </c>
      <c r="M25" t="s">
        <v>18</v>
      </c>
      <c r="N25" s="3" t="str">
        <f t="shared" si="0"/>
        <v>45-59</v>
      </c>
      <c r="O25" s="3" t="str">
        <f t="shared" si="1"/>
        <v>High Income</v>
      </c>
      <c r="P25" s="3" t="str">
        <f t="shared" si="2"/>
        <v>Low Digital</v>
      </c>
      <c r="Q25" s="3">
        <f t="shared" si="3"/>
        <v>4.6369999999999996</v>
      </c>
      <c r="R25" s="3"/>
    </row>
    <row r="26" spans="1:18" x14ac:dyDescent="0.25">
      <c r="A26" t="s">
        <v>51</v>
      </c>
      <c r="B26" t="s">
        <v>47</v>
      </c>
      <c r="C26">
        <v>28</v>
      </c>
      <c r="D26" t="s">
        <v>15</v>
      </c>
      <c r="E26" t="s">
        <v>26</v>
      </c>
      <c r="F26" t="s">
        <v>27</v>
      </c>
      <c r="G26">
        <v>2</v>
      </c>
      <c r="H26">
        <v>8.9</v>
      </c>
      <c r="I26">
        <v>25</v>
      </c>
      <c r="J26">
        <v>87</v>
      </c>
      <c r="K26">
        <v>2</v>
      </c>
      <c r="L26">
        <v>7.3</v>
      </c>
      <c r="M26" t="s">
        <v>24</v>
      </c>
      <c r="N26" s="3" t="str">
        <f t="shared" si="0"/>
        <v>Under 30</v>
      </c>
      <c r="O26" s="3" t="str">
        <f t="shared" si="1"/>
        <v>Lower Income</v>
      </c>
      <c r="P26" s="3" t="str">
        <f t="shared" si="2"/>
        <v>High Digital</v>
      </c>
      <c r="Q26" s="3">
        <f t="shared" si="3"/>
        <v>4.7389999999999999</v>
      </c>
      <c r="R26" s="3"/>
    </row>
    <row r="27" spans="1:18" x14ac:dyDescent="0.25">
      <c r="A27" t="s">
        <v>52</v>
      </c>
      <c r="B27" t="s">
        <v>47</v>
      </c>
      <c r="C27">
        <v>43</v>
      </c>
      <c r="D27" t="s">
        <v>20</v>
      </c>
      <c r="E27" t="s">
        <v>23</v>
      </c>
      <c r="F27" t="s">
        <v>17</v>
      </c>
      <c r="G27">
        <v>10</v>
      </c>
      <c r="H27">
        <v>6.2</v>
      </c>
      <c r="I27">
        <v>46</v>
      </c>
      <c r="J27">
        <v>60</v>
      </c>
      <c r="K27">
        <v>5</v>
      </c>
      <c r="L27">
        <v>8.6</v>
      </c>
      <c r="M27" t="s">
        <v>18</v>
      </c>
      <c r="N27" s="3" t="str">
        <f t="shared" si="0"/>
        <v>30-44</v>
      </c>
      <c r="O27" s="3" t="str">
        <f t="shared" si="1"/>
        <v>Mid Income</v>
      </c>
      <c r="P27" s="3" t="str">
        <f t="shared" si="2"/>
        <v>Medium Digital</v>
      </c>
      <c r="Q27" s="3">
        <f t="shared" si="3"/>
        <v>4.9399999999999995</v>
      </c>
      <c r="R27" s="3"/>
    </row>
    <row r="28" spans="1:18" x14ac:dyDescent="0.25">
      <c r="A28" t="s">
        <v>53</v>
      </c>
      <c r="B28" t="s">
        <v>47</v>
      </c>
      <c r="C28">
        <v>35</v>
      </c>
      <c r="D28" t="s">
        <v>15</v>
      </c>
      <c r="E28" t="s">
        <v>21</v>
      </c>
      <c r="F28" t="s">
        <v>27</v>
      </c>
      <c r="G28">
        <v>7</v>
      </c>
      <c r="H28">
        <v>7.7</v>
      </c>
      <c r="I28">
        <v>37</v>
      </c>
      <c r="J28">
        <v>73</v>
      </c>
      <c r="K28">
        <v>3</v>
      </c>
      <c r="L28">
        <v>8</v>
      </c>
      <c r="M28" t="s">
        <v>18</v>
      </c>
      <c r="N28" s="3" t="str">
        <f t="shared" si="0"/>
        <v>30-44</v>
      </c>
      <c r="O28" s="3" t="str">
        <f t="shared" si="1"/>
        <v>Lower Income</v>
      </c>
      <c r="P28" s="3" t="str">
        <f t="shared" si="2"/>
        <v>Medium Digital</v>
      </c>
      <c r="Q28" s="3">
        <f t="shared" si="3"/>
        <v>4.8460000000000001</v>
      </c>
      <c r="R28" s="3"/>
    </row>
    <row r="29" spans="1:18" x14ac:dyDescent="0.25">
      <c r="A29" t="s">
        <v>54</v>
      </c>
      <c r="B29" t="s">
        <v>47</v>
      </c>
      <c r="C29">
        <v>51</v>
      </c>
      <c r="D29" t="s">
        <v>20</v>
      </c>
      <c r="E29" t="s">
        <v>29</v>
      </c>
      <c r="F29" t="s">
        <v>17</v>
      </c>
      <c r="G29">
        <v>15</v>
      </c>
      <c r="H29">
        <v>4.7</v>
      </c>
      <c r="I29">
        <v>42</v>
      </c>
      <c r="J29">
        <v>47</v>
      </c>
      <c r="K29">
        <v>7</v>
      </c>
      <c r="L29">
        <v>8.8000000000000007</v>
      </c>
      <c r="M29" t="s">
        <v>18</v>
      </c>
      <c r="N29" s="3" t="str">
        <f t="shared" si="0"/>
        <v>45-59</v>
      </c>
      <c r="O29" s="3" t="str">
        <f t="shared" si="1"/>
        <v>High Income</v>
      </c>
      <c r="P29" s="3" t="str">
        <f t="shared" si="2"/>
        <v>Low Digital</v>
      </c>
      <c r="Q29" s="3">
        <f t="shared" si="3"/>
        <v>4.7140000000000004</v>
      </c>
      <c r="R29" s="3"/>
    </row>
    <row r="30" spans="1:18" x14ac:dyDescent="0.25">
      <c r="A30" t="s">
        <v>55</v>
      </c>
      <c r="B30" t="s">
        <v>47</v>
      </c>
      <c r="C30">
        <v>29</v>
      </c>
      <c r="D30" t="s">
        <v>15</v>
      </c>
      <c r="E30" t="s">
        <v>26</v>
      </c>
      <c r="F30" t="s">
        <v>27</v>
      </c>
      <c r="G30">
        <v>3</v>
      </c>
      <c r="H30">
        <v>8.4</v>
      </c>
      <c r="I30">
        <v>27</v>
      </c>
      <c r="J30">
        <v>82</v>
      </c>
      <c r="K30">
        <v>2</v>
      </c>
      <c r="L30">
        <v>7.6</v>
      </c>
      <c r="M30" t="s">
        <v>24</v>
      </c>
      <c r="N30" s="3" t="str">
        <f t="shared" si="0"/>
        <v>Under 30</v>
      </c>
      <c r="O30" s="3" t="str">
        <f t="shared" si="1"/>
        <v>Lower Income</v>
      </c>
      <c r="P30" s="3" t="str">
        <f t="shared" si="2"/>
        <v>High Digital</v>
      </c>
      <c r="Q30" s="3">
        <f t="shared" si="3"/>
        <v>4.6639999999999997</v>
      </c>
      <c r="R30" s="3"/>
    </row>
    <row r="31" spans="1:18" x14ac:dyDescent="0.25">
      <c r="A31" t="s">
        <v>56</v>
      </c>
      <c r="B31" t="s">
        <v>47</v>
      </c>
      <c r="C31">
        <v>41</v>
      </c>
      <c r="D31" t="s">
        <v>20</v>
      </c>
      <c r="E31" t="s">
        <v>21</v>
      </c>
      <c r="F31" t="s">
        <v>17</v>
      </c>
      <c r="G31">
        <v>9</v>
      </c>
      <c r="H31">
        <v>6.9</v>
      </c>
      <c r="I31">
        <v>43</v>
      </c>
      <c r="J31">
        <v>64</v>
      </c>
      <c r="K31">
        <v>4</v>
      </c>
      <c r="L31">
        <v>8.1</v>
      </c>
      <c r="M31" t="s">
        <v>18</v>
      </c>
      <c r="N31" s="3" t="str">
        <f t="shared" si="0"/>
        <v>30-44</v>
      </c>
      <c r="O31" s="3" t="str">
        <f t="shared" si="1"/>
        <v>Lower Income</v>
      </c>
      <c r="P31" s="3" t="str">
        <f t="shared" si="2"/>
        <v>Medium Digital</v>
      </c>
      <c r="Q31" s="3">
        <f t="shared" si="3"/>
        <v>4.8729999999999993</v>
      </c>
      <c r="R31" s="3"/>
    </row>
    <row r="32" spans="1:18" x14ac:dyDescent="0.25">
      <c r="A32" t="s">
        <v>57</v>
      </c>
      <c r="B32" t="s">
        <v>58</v>
      </c>
      <c r="C32">
        <v>39</v>
      </c>
      <c r="D32" t="s">
        <v>20</v>
      </c>
      <c r="E32" t="s">
        <v>21</v>
      </c>
      <c r="F32" t="s">
        <v>27</v>
      </c>
      <c r="G32">
        <v>7</v>
      </c>
      <c r="H32">
        <v>7.2</v>
      </c>
      <c r="I32">
        <v>36</v>
      </c>
      <c r="J32">
        <v>69</v>
      </c>
      <c r="K32">
        <v>3</v>
      </c>
      <c r="L32">
        <v>7.9</v>
      </c>
      <c r="M32" t="s">
        <v>18</v>
      </c>
      <c r="N32" s="3" t="str">
        <f t="shared" si="0"/>
        <v>30-44</v>
      </c>
      <c r="O32" s="3" t="str">
        <f t="shared" si="1"/>
        <v>Lower Income</v>
      </c>
      <c r="P32" s="3" t="str">
        <f t="shared" si="2"/>
        <v>Medium Digital</v>
      </c>
      <c r="Q32" s="3">
        <f t="shared" si="3"/>
        <v>4.6530000000000005</v>
      </c>
      <c r="R32" s="3"/>
    </row>
    <row r="33" spans="1:18" x14ac:dyDescent="0.25">
      <c r="A33" t="s">
        <v>59</v>
      </c>
      <c r="B33" t="s">
        <v>58</v>
      </c>
      <c r="C33">
        <v>44</v>
      </c>
      <c r="D33" t="s">
        <v>15</v>
      </c>
      <c r="E33" t="s">
        <v>16</v>
      </c>
      <c r="F33" t="s">
        <v>17</v>
      </c>
      <c r="G33">
        <v>10</v>
      </c>
      <c r="H33">
        <v>6.3</v>
      </c>
      <c r="I33">
        <v>41</v>
      </c>
      <c r="J33">
        <v>61</v>
      </c>
      <c r="K33">
        <v>5</v>
      </c>
      <c r="L33">
        <v>8.1</v>
      </c>
      <c r="M33" t="s">
        <v>18</v>
      </c>
      <c r="N33" s="3" t="str">
        <f t="shared" si="0"/>
        <v>30-44</v>
      </c>
      <c r="O33" s="3" t="str">
        <f t="shared" si="1"/>
        <v>Lower Income</v>
      </c>
      <c r="P33" s="3" t="str">
        <f t="shared" si="2"/>
        <v>Medium Digital</v>
      </c>
      <c r="Q33" s="3">
        <f t="shared" si="3"/>
        <v>4.7969999999999997</v>
      </c>
      <c r="R33" s="3"/>
    </row>
    <row r="34" spans="1:18" x14ac:dyDescent="0.25">
      <c r="A34" t="s">
        <v>60</v>
      </c>
      <c r="B34" t="s">
        <v>58</v>
      </c>
      <c r="C34">
        <v>29</v>
      </c>
      <c r="D34" t="s">
        <v>20</v>
      </c>
      <c r="E34" t="s">
        <v>26</v>
      </c>
      <c r="F34" t="s">
        <v>27</v>
      </c>
      <c r="G34">
        <v>3</v>
      </c>
      <c r="H34">
        <v>8.1</v>
      </c>
      <c r="I34">
        <v>27</v>
      </c>
      <c r="J34">
        <v>79</v>
      </c>
      <c r="K34">
        <v>2</v>
      </c>
      <c r="L34">
        <v>7.4</v>
      </c>
      <c r="M34" t="s">
        <v>18</v>
      </c>
      <c r="N34" s="3" t="str">
        <f t="shared" si="0"/>
        <v>Under 30</v>
      </c>
      <c r="O34" s="3" t="str">
        <f t="shared" si="1"/>
        <v>Lower Income</v>
      </c>
      <c r="P34" s="3" t="str">
        <f t="shared" si="2"/>
        <v>High Digital</v>
      </c>
      <c r="Q34" s="3">
        <f t="shared" si="3"/>
        <v>4.5379999999999994</v>
      </c>
      <c r="R34" s="3"/>
    </row>
    <row r="35" spans="1:18" x14ac:dyDescent="0.25">
      <c r="A35" t="s">
        <v>61</v>
      </c>
      <c r="B35" t="s">
        <v>58</v>
      </c>
      <c r="C35">
        <v>51</v>
      </c>
      <c r="D35" t="s">
        <v>15</v>
      </c>
      <c r="E35" t="s">
        <v>23</v>
      </c>
      <c r="F35" t="s">
        <v>17</v>
      </c>
      <c r="G35">
        <v>14</v>
      </c>
      <c r="H35">
        <v>5.2</v>
      </c>
      <c r="I35">
        <v>43</v>
      </c>
      <c r="J35">
        <v>48</v>
      </c>
      <c r="K35">
        <v>6</v>
      </c>
      <c r="L35">
        <v>8.5</v>
      </c>
      <c r="M35" t="s">
        <v>18</v>
      </c>
      <c r="N35" s="3" t="str">
        <f t="shared" si="0"/>
        <v>45-59</v>
      </c>
      <c r="O35" s="3" t="str">
        <f t="shared" si="1"/>
        <v>Mid Income</v>
      </c>
      <c r="P35" s="3" t="str">
        <f t="shared" si="2"/>
        <v>Low Digital</v>
      </c>
      <c r="Q35" s="3">
        <f t="shared" si="3"/>
        <v>4.6909999999999998</v>
      </c>
      <c r="R35" s="3"/>
    </row>
    <row r="36" spans="1:18" x14ac:dyDescent="0.25">
      <c r="A36" t="s">
        <v>62</v>
      </c>
      <c r="B36" t="s">
        <v>58</v>
      </c>
      <c r="C36">
        <v>33</v>
      </c>
      <c r="D36" t="s">
        <v>20</v>
      </c>
      <c r="E36" t="s">
        <v>21</v>
      </c>
      <c r="F36" t="s">
        <v>17</v>
      </c>
      <c r="G36">
        <v>5</v>
      </c>
      <c r="H36">
        <v>8.9</v>
      </c>
      <c r="I36">
        <v>44</v>
      </c>
      <c r="J36">
        <v>81</v>
      </c>
      <c r="K36">
        <v>4</v>
      </c>
      <c r="L36">
        <v>7.7</v>
      </c>
      <c r="M36" t="s">
        <v>18</v>
      </c>
      <c r="N36" s="3" t="str">
        <f t="shared" si="0"/>
        <v>30-44</v>
      </c>
      <c r="O36" s="3" t="str">
        <f t="shared" si="1"/>
        <v>Lower Income</v>
      </c>
      <c r="P36" s="3" t="str">
        <f t="shared" si="2"/>
        <v>High Digital</v>
      </c>
      <c r="Q36" s="3">
        <f t="shared" si="3"/>
        <v>5.4669999999999996</v>
      </c>
      <c r="R36" s="3"/>
    </row>
    <row r="37" spans="1:18" x14ac:dyDescent="0.25">
      <c r="A37" t="s">
        <v>63</v>
      </c>
      <c r="B37" t="s">
        <v>58</v>
      </c>
      <c r="C37">
        <v>38</v>
      </c>
      <c r="D37" t="s">
        <v>15</v>
      </c>
      <c r="E37" t="s">
        <v>21</v>
      </c>
      <c r="F37" t="s">
        <v>27</v>
      </c>
      <c r="G37">
        <v>6</v>
      </c>
      <c r="H37">
        <v>7.4</v>
      </c>
      <c r="I37">
        <v>36</v>
      </c>
      <c r="J37">
        <v>70</v>
      </c>
      <c r="K37">
        <v>3</v>
      </c>
      <c r="L37">
        <v>8.1999999999999993</v>
      </c>
      <c r="M37" t="s">
        <v>18</v>
      </c>
      <c r="N37" s="3" t="str">
        <f t="shared" si="0"/>
        <v>30-44</v>
      </c>
      <c r="O37" s="3" t="str">
        <f t="shared" si="1"/>
        <v>Lower Income</v>
      </c>
      <c r="P37" s="3" t="str">
        <f t="shared" si="2"/>
        <v>Medium Digital</v>
      </c>
      <c r="Q37" s="3">
        <f t="shared" si="3"/>
        <v>4.76</v>
      </c>
      <c r="R37" s="3"/>
    </row>
    <row r="38" spans="1:18" x14ac:dyDescent="0.25">
      <c r="A38" t="s">
        <v>64</v>
      </c>
      <c r="B38" t="s">
        <v>58</v>
      </c>
      <c r="C38">
        <v>45</v>
      </c>
      <c r="D38" t="s">
        <v>20</v>
      </c>
      <c r="E38" t="s">
        <v>23</v>
      </c>
      <c r="F38" t="s">
        <v>17</v>
      </c>
      <c r="G38">
        <v>11</v>
      </c>
      <c r="H38">
        <v>6.1</v>
      </c>
      <c r="I38">
        <v>44</v>
      </c>
      <c r="J38">
        <v>58</v>
      </c>
      <c r="K38">
        <v>5</v>
      </c>
      <c r="L38">
        <v>8.3000000000000007</v>
      </c>
      <c r="M38" t="s">
        <v>18</v>
      </c>
      <c r="N38" s="3" t="str">
        <f t="shared" si="0"/>
        <v>45-59</v>
      </c>
      <c r="O38" s="3" t="str">
        <f t="shared" si="1"/>
        <v>Mid Income</v>
      </c>
      <c r="P38" s="3" t="str">
        <f t="shared" si="2"/>
        <v>Medium Digital</v>
      </c>
      <c r="Q38" s="3">
        <f t="shared" si="3"/>
        <v>4.8209999999999997</v>
      </c>
      <c r="R38" s="3"/>
    </row>
    <row r="39" spans="1:18" x14ac:dyDescent="0.25">
      <c r="A39" t="s">
        <v>65</v>
      </c>
      <c r="B39" t="s">
        <v>58</v>
      </c>
      <c r="C39">
        <v>32</v>
      </c>
      <c r="D39" t="s">
        <v>15</v>
      </c>
      <c r="E39" t="s">
        <v>16</v>
      </c>
      <c r="F39" t="s">
        <v>17</v>
      </c>
      <c r="G39">
        <v>5</v>
      </c>
      <c r="H39">
        <v>8.1</v>
      </c>
      <c r="I39">
        <v>41</v>
      </c>
      <c r="J39">
        <v>76</v>
      </c>
      <c r="K39">
        <v>4</v>
      </c>
      <c r="L39">
        <v>7.7</v>
      </c>
      <c r="M39" t="s">
        <v>18</v>
      </c>
      <c r="N39" s="3" t="str">
        <f t="shared" si="0"/>
        <v>30-44</v>
      </c>
      <c r="O39" s="3" t="str">
        <f t="shared" si="1"/>
        <v>Lower Income</v>
      </c>
      <c r="P39" s="3" t="str">
        <f t="shared" si="2"/>
        <v>High Digital</v>
      </c>
      <c r="Q39" s="3">
        <f t="shared" si="3"/>
        <v>5.157</v>
      </c>
      <c r="R39" s="3"/>
    </row>
    <row r="40" spans="1:18" x14ac:dyDescent="0.25">
      <c r="A40" t="s">
        <v>66</v>
      </c>
      <c r="B40" t="s">
        <v>58</v>
      </c>
      <c r="C40">
        <v>49</v>
      </c>
      <c r="D40" t="s">
        <v>20</v>
      </c>
      <c r="E40" t="s">
        <v>29</v>
      </c>
      <c r="F40" t="s">
        <v>17</v>
      </c>
      <c r="G40">
        <v>14</v>
      </c>
      <c r="H40">
        <v>5</v>
      </c>
      <c r="I40">
        <v>40</v>
      </c>
      <c r="J40">
        <v>51</v>
      </c>
      <c r="K40">
        <v>6</v>
      </c>
      <c r="L40">
        <v>8.9</v>
      </c>
      <c r="M40" t="s">
        <v>18</v>
      </c>
      <c r="N40" s="3" t="str">
        <f t="shared" si="0"/>
        <v>45-59</v>
      </c>
      <c r="O40" s="3" t="str">
        <f t="shared" si="1"/>
        <v>High Income</v>
      </c>
      <c r="P40" s="3" t="str">
        <f t="shared" si="2"/>
        <v>Low Digital</v>
      </c>
      <c r="Q40" s="3">
        <f t="shared" si="3"/>
        <v>4.6369999999999996</v>
      </c>
      <c r="R40" s="3"/>
    </row>
    <row r="41" spans="1:18" x14ac:dyDescent="0.25">
      <c r="A41" t="s">
        <v>67</v>
      </c>
      <c r="B41" t="s">
        <v>58</v>
      </c>
      <c r="C41">
        <v>28</v>
      </c>
      <c r="D41" t="s">
        <v>15</v>
      </c>
      <c r="E41" t="s">
        <v>26</v>
      </c>
      <c r="F41" t="s">
        <v>27</v>
      </c>
      <c r="G41">
        <v>2</v>
      </c>
      <c r="H41">
        <v>8.9</v>
      </c>
      <c r="I41">
        <v>25</v>
      </c>
      <c r="J41">
        <v>87</v>
      </c>
      <c r="K41">
        <v>2</v>
      </c>
      <c r="L41">
        <v>7.3</v>
      </c>
      <c r="M41" t="s">
        <v>24</v>
      </c>
      <c r="N41" s="3" t="str">
        <f t="shared" si="0"/>
        <v>Under 30</v>
      </c>
      <c r="O41" s="3" t="str">
        <f t="shared" si="1"/>
        <v>Lower Income</v>
      </c>
      <c r="P41" s="3" t="str">
        <f t="shared" si="2"/>
        <v>High Digital</v>
      </c>
      <c r="Q41" s="3">
        <f t="shared" si="3"/>
        <v>4.7389999999999999</v>
      </c>
      <c r="R41" s="3"/>
    </row>
    <row r="42" spans="1:18" x14ac:dyDescent="0.25">
      <c r="A42" t="s">
        <v>68</v>
      </c>
      <c r="B42" t="s">
        <v>69</v>
      </c>
      <c r="C42">
        <v>46</v>
      </c>
      <c r="D42" t="s">
        <v>15</v>
      </c>
      <c r="E42" t="s">
        <v>16</v>
      </c>
      <c r="F42" t="s">
        <v>27</v>
      </c>
      <c r="G42">
        <v>12</v>
      </c>
      <c r="H42">
        <v>5.7</v>
      </c>
      <c r="I42">
        <v>32</v>
      </c>
      <c r="J42">
        <v>56</v>
      </c>
      <c r="K42">
        <v>3</v>
      </c>
      <c r="L42">
        <v>8.1999999999999993</v>
      </c>
      <c r="M42" t="s">
        <v>18</v>
      </c>
      <c r="N42" s="3" t="str">
        <f t="shared" si="0"/>
        <v>45-59</v>
      </c>
      <c r="O42" s="3" t="str">
        <f t="shared" si="1"/>
        <v>Lower Income</v>
      </c>
      <c r="P42" s="3" t="str">
        <f t="shared" si="2"/>
        <v>Low Digital</v>
      </c>
      <c r="Q42" s="3">
        <f t="shared" si="3"/>
        <v>4.1419999999999995</v>
      </c>
      <c r="R42" s="3"/>
    </row>
    <row r="43" spans="1:18" x14ac:dyDescent="0.25">
      <c r="A43" t="s">
        <v>70</v>
      </c>
      <c r="B43" t="s">
        <v>69</v>
      </c>
      <c r="C43">
        <v>38</v>
      </c>
      <c r="D43" t="s">
        <v>20</v>
      </c>
      <c r="E43" t="s">
        <v>23</v>
      </c>
      <c r="F43" t="s">
        <v>17</v>
      </c>
      <c r="G43">
        <v>8</v>
      </c>
      <c r="H43">
        <v>6.8</v>
      </c>
      <c r="I43">
        <v>45</v>
      </c>
      <c r="J43">
        <v>63</v>
      </c>
      <c r="K43">
        <v>5</v>
      </c>
      <c r="L43">
        <v>8.4</v>
      </c>
      <c r="M43" t="s">
        <v>18</v>
      </c>
      <c r="N43" s="3" t="str">
        <f t="shared" si="0"/>
        <v>30-44</v>
      </c>
      <c r="O43" s="3" t="str">
        <f t="shared" si="1"/>
        <v>Mid Income</v>
      </c>
      <c r="P43" s="3" t="str">
        <f t="shared" si="2"/>
        <v>Medium Digital</v>
      </c>
      <c r="Q43" s="3">
        <f t="shared" si="3"/>
        <v>5.0759999999999996</v>
      </c>
      <c r="R43" s="3"/>
    </row>
    <row r="44" spans="1:18" x14ac:dyDescent="0.25">
      <c r="A44" t="s">
        <v>71</v>
      </c>
      <c r="B44" t="s">
        <v>69</v>
      </c>
      <c r="C44">
        <v>32</v>
      </c>
      <c r="D44" t="s">
        <v>15</v>
      </c>
      <c r="E44" t="s">
        <v>21</v>
      </c>
      <c r="F44" t="s">
        <v>17</v>
      </c>
      <c r="G44">
        <v>6</v>
      </c>
      <c r="H44">
        <v>7.9</v>
      </c>
      <c r="I44">
        <v>39</v>
      </c>
      <c r="J44">
        <v>74</v>
      </c>
      <c r="K44">
        <v>4</v>
      </c>
      <c r="L44">
        <v>7.9</v>
      </c>
      <c r="M44" t="s">
        <v>18</v>
      </c>
      <c r="N44" s="3" t="str">
        <f t="shared" si="0"/>
        <v>30-44</v>
      </c>
      <c r="O44" s="3" t="str">
        <f t="shared" si="1"/>
        <v>Lower Income</v>
      </c>
      <c r="P44" s="3" t="str">
        <f t="shared" si="2"/>
        <v>Medium Digital</v>
      </c>
      <c r="Q44" s="3">
        <f t="shared" si="3"/>
        <v>5.0830000000000002</v>
      </c>
      <c r="R44" s="3"/>
    </row>
    <row r="45" spans="1:18" x14ac:dyDescent="0.25">
      <c r="A45" t="s">
        <v>72</v>
      </c>
      <c r="B45" t="s">
        <v>69</v>
      </c>
      <c r="C45">
        <v>49</v>
      </c>
      <c r="D45" t="s">
        <v>20</v>
      </c>
      <c r="E45" t="s">
        <v>29</v>
      </c>
      <c r="F45" t="s">
        <v>17</v>
      </c>
      <c r="G45">
        <v>16</v>
      </c>
      <c r="H45">
        <v>4.5</v>
      </c>
      <c r="I45">
        <v>41</v>
      </c>
      <c r="J45">
        <v>46</v>
      </c>
      <c r="K45">
        <v>7</v>
      </c>
      <c r="L45">
        <v>9</v>
      </c>
      <c r="M45" t="s">
        <v>18</v>
      </c>
      <c r="N45" s="3" t="str">
        <f t="shared" si="0"/>
        <v>45-59</v>
      </c>
      <c r="O45" s="3" t="str">
        <f t="shared" si="1"/>
        <v>High Income</v>
      </c>
      <c r="P45" s="3" t="str">
        <f t="shared" si="2"/>
        <v>Low Digital</v>
      </c>
      <c r="Q45" s="3">
        <f t="shared" si="3"/>
        <v>4.6619999999999999</v>
      </c>
      <c r="R45" s="3"/>
    </row>
    <row r="46" spans="1:18" x14ac:dyDescent="0.25">
      <c r="A46" t="s">
        <v>73</v>
      </c>
      <c r="B46" t="s">
        <v>69</v>
      </c>
      <c r="C46">
        <v>28</v>
      </c>
      <c r="D46" t="s">
        <v>15</v>
      </c>
      <c r="E46" t="s">
        <v>26</v>
      </c>
      <c r="F46" t="s">
        <v>27</v>
      </c>
      <c r="G46">
        <v>2</v>
      </c>
      <c r="H46">
        <v>8.6</v>
      </c>
      <c r="I46">
        <v>24</v>
      </c>
      <c r="J46">
        <v>83</v>
      </c>
      <c r="K46">
        <v>2</v>
      </c>
      <c r="L46">
        <v>7.2</v>
      </c>
      <c r="M46" t="s">
        <v>24</v>
      </c>
      <c r="N46" s="3" t="str">
        <f t="shared" si="0"/>
        <v>Under 30</v>
      </c>
      <c r="O46" s="3" t="str">
        <f t="shared" si="1"/>
        <v>Lower Income</v>
      </c>
      <c r="P46" s="3" t="str">
        <f t="shared" si="2"/>
        <v>High Digital</v>
      </c>
      <c r="Q46" s="3">
        <f t="shared" si="3"/>
        <v>4.6059999999999999</v>
      </c>
      <c r="R46" s="3"/>
    </row>
    <row r="47" spans="1:18" x14ac:dyDescent="0.25">
      <c r="A47" t="s">
        <v>74</v>
      </c>
      <c r="B47" t="s">
        <v>69</v>
      </c>
      <c r="C47">
        <v>43</v>
      </c>
      <c r="D47" t="s">
        <v>20</v>
      </c>
      <c r="E47" t="s">
        <v>23</v>
      </c>
      <c r="F47" t="s">
        <v>17</v>
      </c>
      <c r="G47">
        <v>10</v>
      </c>
      <c r="H47">
        <v>6.2</v>
      </c>
      <c r="I47">
        <v>46</v>
      </c>
      <c r="J47">
        <v>60</v>
      </c>
      <c r="K47">
        <v>5</v>
      </c>
      <c r="L47">
        <v>8.6</v>
      </c>
      <c r="M47" t="s">
        <v>18</v>
      </c>
      <c r="N47" s="3" t="str">
        <f t="shared" si="0"/>
        <v>30-44</v>
      </c>
      <c r="O47" s="3" t="str">
        <f t="shared" si="1"/>
        <v>Mid Income</v>
      </c>
      <c r="P47" s="3" t="str">
        <f t="shared" si="2"/>
        <v>Medium Digital</v>
      </c>
      <c r="Q47" s="3">
        <f t="shared" si="3"/>
        <v>4.9399999999999995</v>
      </c>
      <c r="R47" s="3"/>
    </row>
    <row r="48" spans="1:18" x14ac:dyDescent="0.25">
      <c r="A48" t="s">
        <v>75</v>
      </c>
      <c r="B48" t="s">
        <v>69</v>
      </c>
      <c r="C48">
        <v>35</v>
      </c>
      <c r="D48" t="s">
        <v>15</v>
      </c>
      <c r="E48" t="s">
        <v>21</v>
      </c>
      <c r="F48" t="s">
        <v>27</v>
      </c>
      <c r="G48">
        <v>7</v>
      </c>
      <c r="H48">
        <v>7.7</v>
      </c>
      <c r="I48">
        <v>37</v>
      </c>
      <c r="J48">
        <v>73</v>
      </c>
      <c r="K48">
        <v>3</v>
      </c>
      <c r="L48">
        <v>8</v>
      </c>
      <c r="M48" t="s">
        <v>18</v>
      </c>
      <c r="N48" s="3" t="str">
        <f t="shared" si="0"/>
        <v>30-44</v>
      </c>
      <c r="O48" s="3" t="str">
        <f t="shared" si="1"/>
        <v>Lower Income</v>
      </c>
      <c r="P48" s="3" t="str">
        <f t="shared" si="2"/>
        <v>Medium Digital</v>
      </c>
      <c r="Q48" s="3">
        <f t="shared" si="3"/>
        <v>4.8460000000000001</v>
      </c>
      <c r="R48" s="3"/>
    </row>
    <row r="49" spans="1:18" x14ac:dyDescent="0.25">
      <c r="A49" t="s">
        <v>76</v>
      </c>
      <c r="B49" t="s">
        <v>69</v>
      </c>
      <c r="C49">
        <v>51</v>
      </c>
      <c r="D49" t="s">
        <v>20</v>
      </c>
      <c r="E49" t="s">
        <v>29</v>
      </c>
      <c r="F49" t="s">
        <v>17</v>
      </c>
      <c r="G49">
        <v>15</v>
      </c>
      <c r="H49">
        <v>4.7</v>
      </c>
      <c r="I49">
        <v>42</v>
      </c>
      <c r="J49">
        <v>47</v>
      </c>
      <c r="K49">
        <v>7</v>
      </c>
      <c r="L49">
        <v>8.8000000000000007</v>
      </c>
      <c r="M49" t="s">
        <v>18</v>
      </c>
      <c r="N49" s="3" t="str">
        <f t="shared" si="0"/>
        <v>45-59</v>
      </c>
      <c r="O49" s="3" t="str">
        <f t="shared" si="1"/>
        <v>High Income</v>
      </c>
      <c r="P49" s="3" t="str">
        <f t="shared" si="2"/>
        <v>Low Digital</v>
      </c>
      <c r="Q49" s="3">
        <f t="shared" si="3"/>
        <v>4.7140000000000004</v>
      </c>
      <c r="R49" s="3"/>
    </row>
    <row r="50" spans="1:18" x14ac:dyDescent="0.25">
      <c r="A50" t="s">
        <v>77</v>
      </c>
      <c r="B50" t="s">
        <v>69</v>
      </c>
      <c r="C50">
        <v>29</v>
      </c>
      <c r="D50" t="s">
        <v>15</v>
      </c>
      <c r="E50" t="s">
        <v>26</v>
      </c>
      <c r="F50" t="s">
        <v>27</v>
      </c>
      <c r="G50">
        <v>3</v>
      </c>
      <c r="H50">
        <v>8.4</v>
      </c>
      <c r="I50">
        <v>27</v>
      </c>
      <c r="J50">
        <v>82</v>
      </c>
      <c r="K50">
        <v>2</v>
      </c>
      <c r="L50">
        <v>7.6</v>
      </c>
      <c r="M50" t="s">
        <v>24</v>
      </c>
      <c r="N50" s="3" t="str">
        <f t="shared" si="0"/>
        <v>Under 30</v>
      </c>
      <c r="O50" s="3" t="str">
        <f t="shared" si="1"/>
        <v>Lower Income</v>
      </c>
      <c r="P50" s="3" t="str">
        <f t="shared" si="2"/>
        <v>High Digital</v>
      </c>
      <c r="Q50" s="3">
        <f t="shared" si="3"/>
        <v>4.6639999999999997</v>
      </c>
      <c r="R50" s="3"/>
    </row>
    <row r="51" spans="1:18" x14ac:dyDescent="0.25">
      <c r="A51" t="s">
        <v>78</v>
      </c>
      <c r="B51" t="s">
        <v>69</v>
      </c>
      <c r="C51">
        <v>41</v>
      </c>
      <c r="D51" t="s">
        <v>20</v>
      </c>
      <c r="E51" t="s">
        <v>21</v>
      </c>
      <c r="F51" t="s">
        <v>17</v>
      </c>
      <c r="G51">
        <v>9</v>
      </c>
      <c r="H51">
        <v>6.9</v>
      </c>
      <c r="I51">
        <v>43</v>
      </c>
      <c r="J51">
        <v>64</v>
      </c>
      <c r="K51">
        <v>4</v>
      </c>
      <c r="L51">
        <v>8.1</v>
      </c>
      <c r="M51" t="s">
        <v>18</v>
      </c>
      <c r="N51" s="3" t="str">
        <f t="shared" si="0"/>
        <v>30-44</v>
      </c>
      <c r="O51" s="3" t="str">
        <f t="shared" si="1"/>
        <v>Lower Income</v>
      </c>
      <c r="P51" s="3" t="str">
        <f t="shared" si="2"/>
        <v>Medium Digital</v>
      </c>
      <c r="Q51" s="3">
        <f t="shared" si="3"/>
        <v>4.8729999999999993</v>
      </c>
      <c r="R5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A83B-7810-4FBC-A8DE-6D44473CAD9B}">
  <dimension ref="A1:P42"/>
  <sheetViews>
    <sheetView workbookViewId="0">
      <selection activeCell="O37" sqref="O37"/>
    </sheetView>
  </sheetViews>
  <sheetFormatPr defaultRowHeight="15" x14ac:dyDescent="0.25"/>
  <cols>
    <col min="1" max="1" width="25.85546875" customWidth="1"/>
    <col min="4" max="4" width="16.5703125" customWidth="1"/>
    <col min="5" max="5" width="15" customWidth="1"/>
    <col min="6" max="6" width="19.140625" customWidth="1"/>
    <col min="7" max="7" width="12.5703125" customWidth="1"/>
    <col min="8" max="8" width="20.7109375" customWidth="1"/>
    <col min="9" max="10" width="21.28515625" customWidth="1"/>
    <col min="11" max="12" width="15.7109375" customWidth="1"/>
    <col min="13" max="13" width="12.5703125" customWidth="1"/>
    <col min="14" max="14" width="21.85546875" customWidth="1"/>
    <col min="15" max="15" width="14.7109375" customWidth="1"/>
    <col min="16" max="16" width="26.5703125" customWidth="1"/>
    <col min="17" max="17" width="20.85546875" customWidth="1"/>
    <col min="18" max="18" width="18.140625" customWidth="1"/>
    <col min="19" max="19" width="24.5703125" customWidth="1"/>
  </cols>
  <sheetData>
    <row r="1" spans="1:16" x14ac:dyDescent="0.25">
      <c r="A1" s="1" t="s">
        <v>1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2" t="s">
        <v>91</v>
      </c>
      <c r="O1" s="2" t="s">
        <v>92</v>
      </c>
      <c r="P1" s="2" t="s">
        <v>93</v>
      </c>
    </row>
    <row r="2" spans="1:16" x14ac:dyDescent="0.25">
      <c r="A2" t="s">
        <v>14</v>
      </c>
      <c r="B2" t="s">
        <v>94</v>
      </c>
      <c r="C2">
        <v>2023</v>
      </c>
      <c r="D2">
        <v>15500</v>
      </c>
      <c r="E2">
        <v>178</v>
      </c>
      <c r="F2">
        <v>21</v>
      </c>
      <c r="G2">
        <v>10200</v>
      </c>
      <c r="H2">
        <v>8900</v>
      </c>
      <c r="I2">
        <v>48000</v>
      </c>
      <c r="J2">
        <v>71000</v>
      </c>
      <c r="K2">
        <v>235000</v>
      </c>
      <c r="L2">
        <v>467000</v>
      </c>
      <c r="M2">
        <v>29</v>
      </c>
      <c r="N2" s="3">
        <v>7.9</v>
      </c>
      <c r="O2" s="3">
        <v>8.1999999999999993</v>
      </c>
      <c r="P2" s="3">
        <v>65.8</v>
      </c>
    </row>
    <row r="3" spans="1:16" x14ac:dyDescent="0.25">
      <c r="A3" t="s">
        <v>14</v>
      </c>
      <c r="B3" t="s">
        <v>95</v>
      </c>
      <c r="C3">
        <v>2023</v>
      </c>
      <c r="D3">
        <v>16100</v>
      </c>
      <c r="E3">
        <v>192</v>
      </c>
      <c r="F3">
        <v>28</v>
      </c>
      <c r="G3">
        <v>11100</v>
      </c>
      <c r="H3">
        <v>9100</v>
      </c>
      <c r="I3">
        <v>53000</v>
      </c>
      <c r="J3">
        <v>81000</v>
      </c>
      <c r="K3">
        <v>241000</v>
      </c>
      <c r="L3">
        <v>500000</v>
      </c>
      <c r="M3">
        <v>30</v>
      </c>
      <c r="N3" s="3">
        <v>8</v>
      </c>
      <c r="O3" s="3">
        <v>7.9</v>
      </c>
      <c r="P3" s="3">
        <v>68.900000000000006</v>
      </c>
    </row>
    <row r="4" spans="1:16" x14ac:dyDescent="0.25">
      <c r="A4" t="s">
        <v>14</v>
      </c>
      <c r="B4" t="s">
        <v>96</v>
      </c>
      <c r="C4">
        <v>2023</v>
      </c>
      <c r="D4">
        <v>16700</v>
      </c>
      <c r="E4">
        <v>190</v>
      </c>
      <c r="F4">
        <v>29</v>
      </c>
      <c r="G4">
        <v>11800</v>
      </c>
      <c r="H4">
        <v>9200</v>
      </c>
      <c r="I4">
        <v>57000</v>
      </c>
      <c r="J4">
        <v>91000</v>
      </c>
      <c r="K4">
        <v>248000</v>
      </c>
      <c r="L4">
        <v>535000</v>
      </c>
      <c r="M4">
        <v>31</v>
      </c>
      <c r="N4" s="3">
        <v>7.9</v>
      </c>
      <c r="O4" s="3">
        <v>8.1</v>
      </c>
      <c r="P4" s="3">
        <v>70.7</v>
      </c>
    </row>
    <row r="5" spans="1:16" x14ac:dyDescent="0.25">
      <c r="A5" t="s">
        <v>14</v>
      </c>
      <c r="B5" t="s">
        <v>97</v>
      </c>
      <c r="C5">
        <v>2023</v>
      </c>
      <c r="D5">
        <v>17200</v>
      </c>
      <c r="E5">
        <v>195</v>
      </c>
      <c r="F5">
        <v>31</v>
      </c>
      <c r="G5">
        <v>12500</v>
      </c>
      <c r="H5">
        <v>9500</v>
      </c>
      <c r="I5">
        <v>63000</v>
      </c>
      <c r="J5">
        <v>101000</v>
      </c>
      <c r="K5">
        <v>254000</v>
      </c>
      <c r="L5">
        <v>558000</v>
      </c>
      <c r="M5">
        <v>32</v>
      </c>
      <c r="N5" s="3">
        <v>8</v>
      </c>
      <c r="O5" s="3">
        <v>8</v>
      </c>
      <c r="P5" s="3">
        <v>72.7</v>
      </c>
    </row>
    <row r="6" spans="1:16" x14ac:dyDescent="0.25">
      <c r="A6" t="s">
        <v>14</v>
      </c>
      <c r="B6" t="s">
        <v>94</v>
      </c>
      <c r="C6">
        <v>2024</v>
      </c>
      <c r="D6">
        <v>17600</v>
      </c>
      <c r="E6">
        <v>201</v>
      </c>
      <c r="F6">
        <v>35</v>
      </c>
      <c r="G6">
        <v>13200</v>
      </c>
      <c r="H6">
        <v>9300</v>
      </c>
      <c r="I6">
        <v>68000</v>
      </c>
      <c r="J6">
        <v>108000</v>
      </c>
      <c r="K6">
        <v>259000</v>
      </c>
      <c r="L6">
        <v>579000</v>
      </c>
      <c r="M6">
        <v>32</v>
      </c>
      <c r="N6" s="3">
        <v>8.1</v>
      </c>
      <c r="O6" s="3">
        <v>7.8</v>
      </c>
      <c r="P6" s="3">
        <v>75</v>
      </c>
    </row>
    <row r="7" spans="1:16" x14ac:dyDescent="0.25">
      <c r="A7" t="s">
        <v>14</v>
      </c>
      <c r="B7" t="s">
        <v>95</v>
      </c>
      <c r="C7">
        <v>2024</v>
      </c>
      <c r="D7">
        <v>18000</v>
      </c>
      <c r="E7">
        <v>189</v>
      </c>
      <c r="F7">
        <v>42</v>
      </c>
      <c r="G7">
        <v>13900</v>
      </c>
      <c r="H7">
        <v>9400</v>
      </c>
      <c r="I7">
        <v>72000</v>
      </c>
      <c r="J7">
        <v>115000</v>
      </c>
      <c r="K7">
        <v>264000</v>
      </c>
      <c r="L7">
        <v>601000</v>
      </c>
      <c r="M7">
        <v>33</v>
      </c>
      <c r="N7" s="3">
        <v>8.1999999999999993</v>
      </c>
      <c r="O7" s="3">
        <v>7.6</v>
      </c>
      <c r="P7" s="3">
        <v>77.2</v>
      </c>
    </row>
    <row r="8" spans="1:16" x14ac:dyDescent="0.25">
      <c r="A8" t="s">
        <v>36</v>
      </c>
      <c r="B8" t="s">
        <v>94</v>
      </c>
      <c r="C8">
        <v>2023</v>
      </c>
      <c r="D8">
        <v>12400</v>
      </c>
      <c r="E8">
        <v>145</v>
      </c>
      <c r="F8">
        <v>26</v>
      </c>
      <c r="G8">
        <v>7400</v>
      </c>
      <c r="H8">
        <v>7400</v>
      </c>
      <c r="I8">
        <v>34000</v>
      </c>
      <c r="J8">
        <v>43000</v>
      </c>
      <c r="K8">
        <v>187000</v>
      </c>
      <c r="L8">
        <v>344000</v>
      </c>
      <c r="M8">
        <v>23</v>
      </c>
      <c r="N8" s="3">
        <v>8.1</v>
      </c>
      <c r="O8" s="3">
        <v>9</v>
      </c>
      <c r="P8" s="3">
        <v>59.7</v>
      </c>
    </row>
    <row r="9" spans="1:16" x14ac:dyDescent="0.25">
      <c r="A9" t="s">
        <v>36</v>
      </c>
      <c r="B9" t="s">
        <v>95</v>
      </c>
      <c r="C9">
        <v>2023</v>
      </c>
      <c r="D9">
        <v>12800</v>
      </c>
      <c r="E9">
        <v>164</v>
      </c>
      <c r="F9">
        <v>31</v>
      </c>
      <c r="G9">
        <v>8000</v>
      </c>
      <c r="H9">
        <v>7700</v>
      </c>
      <c r="I9">
        <v>37000</v>
      </c>
      <c r="J9">
        <v>48000</v>
      </c>
      <c r="K9">
        <v>193000</v>
      </c>
      <c r="L9">
        <v>368000</v>
      </c>
      <c r="M9">
        <v>24</v>
      </c>
      <c r="N9" s="3">
        <v>8</v>
      </c>
      <c r="O9" s="3">
        <v>8.9</v>
      </c>
      <c r="P9" s="3">
        <v>62.5</v>
      </c>
    </row>
    <row r="10" spans="1:16" x14ac:dyDescent="0.25">
      <c r="A10" t="s">
        <v>36</v>
      </c>
      <c r="B10" t="s">
        <v>96</v>
      </c>
      <c r="C10">
        <v>2023</v>
      </c>
      <c r="D10">
        <v>13200</v>
      </c>
      <c r="E10">
        <v>163</v>
      </c>
      <c r="F10">
        <v>44</v>
      </c>
      <c r="G10">
        <v>8500</v>
      </c>
      <c r="H10">
        <v>8100</v>
      </c>
      <c r="I10">
        <v>41000</v>
      </c>
      <c r="J10">
        <v>53000</v>
      </c>
      <c r="K10">
        <v>199000</v>
      </c>
      <c r="L10">
        <v>389000</v>
      </c>
      <c r="M10">
        <v>25</v>
      </c>
      <c r="N10" s="3">
        <v>8.1</v>
      </c>
      <c r="O10" s="3">
        <v>9.1</v>
      </c>
      <c r="P10" s="3">
        <v>64.400000000000006</v>
      </c>
    </row>
    <row r="11" spans="1:16" x14ac:dyDescent="0.25">
      <c r="A11" t="s">
        <v>36</v>
      </c>
      <c r="B11" t="s">
        <v>97</v>
      </c>
      <c r="C11">
        <v>2023</v>
      </c>
      <c r="D11">
        <v>13600</v>
      </c>
      <c r="E11">
        <v>166</v>
      </c>
      <c r="F11">
        <v>54</v>
      </c>
      <c r="G11">
        <v>9100</v>
      </c>
      <c r="H11">
        <v>8400</v>
      </c>
      <c r="I11">
        <v>45000</v>
      </c>
      <c r="J11">
        <v>58000</v>
      </c>
      <c r="K11">
        <v>204000</v>
      </c>
      <c r="L11">
        <v>413000</v>
      </c>
      <c r="M11">
        <v>26</v>
      </c>
      <c r="N11" s="3">
        <v>8.1999999999999993</v>
      </c>
      <c r="O11" s="3">
        <v>8.8000000000000007</v>
      </c>
      <c r="P11" s="3">
        <v>66.900000000000006</v>
      </c>
    </row>
    <row r="12" spans="1:16" x14ac:dyDescent="0.25">
      <c r="A12" t="s">
        <v>36</v>
      </c>
      <c r="B12" t="s">
        <v>94</v>
      </c>
      <c r="C12">
        <v>2024</v>
      </c>
      <c r="D12">
        <v>13900</v>
      </c>
      <c r="E12">
        <v>171</v>
      </c>
      <c r="F12">
        <v>59</v>
      </c>
      <c r="G12">
        <v>9700</v>
      </c>
      <c r="H12">
        <v>8200</v>
      </c>
      <c r="I12">
        <v>49000</v>
      </c>
      <c r="J12">
        <v>63000</v>
      </c>
      <c r="K12">
        <v>208000</v>
      </c>
      <c r="L12">
        <v>435000</v>
      </c>
      <c r="M12">
        <v>26</v>
      </c>
      <c r="N12" s="3">
        <v>8.3000000000000007</v>
      </c>
      <c r="O12" s="3">
        <v>8.6</v>
      </c>
      <c r="P12" s="3">
        <v>69.8</v>
      </c>
    </row>
    <row r="13" spans="1:16" x14ac:dyDescent="0.25">
      <c r="A13" t="s">
        <v>36</v>
      </c>
      <c r="B13" t="s">
        <v>95</v>
      </c>
      <c r="C13">
        <v>2024</v>
      </c>
      <c r="D13">
        <v>14200</v>
      </c>
      <c r="E13">
        <v>165</v>
      </c>
      <c r="F13">
        <v>67</v>
      </c>
      <c r="G13">
        <v>10300</v>
      </c>
      <c r="H13">
        <v>8300</v>
      </c>
      <c r="I13">
        <v>52000</v>
      </c>
      <c r="J13">
        <v>67000</v>
      </c>
      <c r="K13">
        <v>213000</v>
      </c>
      <c r="L13">
        <v>456000</v>
      </c>
      <c r="M13">
        <v>27</v>
      </c>
      <c r="N13" s="3">
        <v>8.4</v>
      </c>
      <c r="O13" s="3">
        <v>8.4</v>
      </c>
      <c r="P13" s="3">
        <v>72.5</v>
      </c>
    </row>
    <row r="14" spans="1:16" x14ac:dyDescent="0.25">
      <c r="A14" t="s">
        <v>47</v>
      </c>
      <c r="B14" t="s">
        <v>94</v>
      </c>
      <c r="C14">
        <v>2023</v>
      </c>
      <c r="D14">
        <v>11300</v>
      </c>
      <c r="E14">
        <v>142</v>
      </c>
      <c r="F14">
        <v>33</v>
      </c>
      <c r="G14">
        <v>7200</v>
      </c>
      <c r="H14">
        <v>6700</v>
      </c>
      <c r="I14">
        <v>30000</v>
      </c>
      <c r="J14">
        <v>40000</v>
      </c>
      <c r="K14">
        <v>175000</v>
      </c>
      <c r="L14">
        <v>319000</v>
      </c>
      <c r="M14">
        <v>21</v>
      </c>
      <c r="N14" s="3">
        <v>7.9</v>
      </c>
      <c r="O14" s="3">
        <v>9.4</v>
      </c>
      <c r="P14" s="3">
        <v>63.7</v>
      </c>
    </row>
    <row r="15" spans="1:16" x14ac:dyDescent="0.25">
      <c r="A15" t="s">
        <v>47</v>
      </c>
      <c r="B15" t="s">
        <v>95</v>
      </c>
      <c r="C15">
        <v>2023</v>
      </c>
      <c r="D15">
        <v>11700</v>
      </c>
      <c r="E15">
        <v>159</v>
      </c>
      <c r="F15">
        <v>42</v>
      </c>
      <c r="G15">
        <v>7800</v>
      </c>
      <c r="H15">
        <v>7000</v>
      </c>
      <c r="I15">
        <v>34000</v>
      </c>
      <c r="J15">
        <v>44000</v>
      </c>
      <c r="K15">
        <v>180000</v>
      </c>
      <c r="L15">
        <v>340000</v>
      </c>
      <c r="M15">
        <v>22</v>
      </c>
      <c r="N15" s="3">
        <v>7.9</v>
      </c>
      <c r="O15" s="3">
        <v>9.3000000000000007</v>
      </c>
      <c r="P15" s="3">
        <v>66.7</v>
      </c>
    </row>
    <row r="16" spans="1:16" x14ac:dyDescent="0.25">
      <c r="A16" t="s">
        <v>47</v>
      </c>
      <c r="B16" t="s">
        <v>96</v>
      </c>
      <c r="C16">
        <v>2023</v>
      </c>
      <c r="D16">
        <v>12100</v>
      </c>
      <c r="E16">
        <v>167</v>
      </c>
      <c r="F16">
        <v>54</v>
      </c>
      <c r="G16">
        <v>8400</v>
      </c>
      <c r="H16">
        <v>7300</v>
      </c>
      <c r="I16">
        <v>38000</v>
      </c>
      <c r="J16">
        <v>49000</v>
      </c>
      <c r="K16">
        <v>185000</v>
      </c>
      <c r="L16">
        <v>361000</v>
      </c>
      <c r="M16">
        <v>23</v>
      </c>
      <c r="N16" s="3">
        <v>8</v>
      </c>
      <c r="O16" s="3">
        <v>9.5</v>
      </c>
      <c r="P16" s="3">
        <v>69.400000000000006</v>
      </c>
    </row>
    <row r="17" spans="1:16" x14ac:dyDescent="0.25">
      <c r="A17" t="s">
        <v>47</v>
      </c>
      <c r="B17" t="s">
        <v>97</v>
      </c>
      <c r="C17">
        <v>2023</v>
      </c>
      <c r="D17">
        <v>12400</v>
      </c>
      <c r="E17">
        <v>174</v>
      </c>
      <c r="F17">
        <v>57</v>
      </c>
      <c r="G17">
        <v>9000</v>
      </c>
      <c r="H17">
        <v>7600</v>
      </c>
      <c r="I17">
        <v>43000</v>
      </c>
      <c r="J17">
        <v>55000</v>
      </c>
      <c r="K17">
        <v>194000</v>
      </c>
      <c r="L17">
        <v>382000</v>
      </c>
      <c r="M17">
        <v>24</v>
      </c>
      <c r="N17" s="3">
        <v>8.1</v>
      </c>
      <c r="O17" s="3">
        <v>9.4</v>
      </c>
      <c r="P17" s="3">
        <v>72.599999999999994</v>
      </c>
    </row>
    <row r="18" spans="1:16" x14ac:dyDescent="0.25">
      <c r="A18" t="s">
        <v>47</v>
      </c>
      <c r="B18" t="s">
        <v>94</v>
      </c>
      <c r="C18">
        <v>2024</v>
      </c>
      <c r="D18">
        <v>12700</v>
      </c>
      <c r="E18">
        <v>178</v>
      </c>
      <c r="F18">
        <v>63</v>
      </c>
      <c r="G18">
        <v>9600</v>
      </c>
      <c r="H18">
        <v>7400</v>
      </c>
      <c r="I18">
        <v>47000</v>
      </c>
      <c r="J18">
        <v>60000</v>
      </c>
      <c r="K18">
        <v>197000</v>
      </c>
      <c r="L18">
        <v>402000</v>
      </c>
      <c r="M18">
        <v>24</v>
      </c>
      <c r="N18" s="3">
        <v>8.1999999999999993</v>
      </c>
      <c r="O18" s="3">
        <v>9.1999999999999993</v>
      </c>
      <c r="P18" s="3">
        <v>75.599999999999994</v>
      </c>
    </row>
    <row r="19" spans="1:16" x14ac:dyDescent="0.25">
      <c r="A19" t="s">
        <v>47</v>
      </c>
      <c r="B19" t="s">
        <v>95</v>
      </c>
      <c r="C19">
        <v>2024</v>
      </c>
      <c r="D19">
        <v>13000</v>
      </c>
      <c r="E19">
        <v>172</v>
      </c>
      <c r="F19">
        <v>71</v>
      </c>
      <c r="G19">
        <v>10200</v>
      </c>
      <c r="H19">
        <v>7500</v>
      </c>
      <c r="I19">
        <v>50000</v>
      </c>
      <c r="J19">
        <v>65000</v>
      </c>
      <c r="K19">
        <v>201000</v>
      </c>
      <c r="L19">
        <v>423000</v>
      </c>
      <c r="M19">
        <v>25</v>
      </c>
      <c r="N19" s="3">
        <v>8.3000000000000007</v>
      </c>
      <c r="O19" s="3">
        <v>9</v>
      </c>
      <c r="P19" s="3">
        <v>78.5</v>
      </c>
    </row>
    <row r="20" spans="1:16" x14ac:dyDescent="0.25">
      <c r="A20" t="s">
        <v>58</v>
      </c>
      <c r="B20" t="s">
        <v>94</v>
      </c>
      <c r="C20">
        <v>2023</v>
      </c>
      <c r="D20">
        <v>9900</v>
      </c>
      <c r="E20">
        <v>134</v>
      </c>
      <c r="F20">
        <v>34</v>
      </c>
      <c r="G20">
        <v>6100</v>
      </c>
      <c r="H20">
        <v>6300</v>
      </c>
      <c r="I20">
        <v>25000</v>
      </c>
      <c r="J20">
        <v>34000</v>
      </c>
      <c r="K20">
        <v>159000</v>
      </c>
      <c r="L20">
        <v>287000</v>
      </c>
      <c r="M20">
        <v>19</v>
      </c>
      <c r="N20" s="3">
        <v>8</v>
      </c>
      <c r="O20" s="3">
        <v>10.199999999999999</v>
      </c>
      <c r="P20" s="3">
        <v>61.6</v>
      </c>
    </row>
    <row r="21" spans="1:16" x14ac:dyDescent="0.25">
      <c r="A21" t="s">
        <v>58</v>
      </c>
      <c r="B21" t="s">
        <v>95</v>
      </c>
      <c r="C21">
        <v>2023</v>
      </c>
      <c r="D21">
        <v>10300</v>
      </c>
      <c r="E21">
        <v>152</v>
      </c>
      <c r="F21">
        <v>45</v>
      </c>
      <c r="G21">
        <v>6600</v>
      </c>
      <c r="H21">
        <v>6400</v>
      </c>
      <c r="I21">
        <v>28000</v>
      </c>
      <c r="J21">
        <v>37000</v>
      </c>
      <c r="K21">
        <v>163000</v>
      </c>
      <c r="L21">
        <v>305000</v>
      </c>
      <c r="M21">
        <v>20</v>
      </c>
      <c r="N21" s="3">
        <v>8.1</v>
      </c>
      <c r="O21" s="3">
        <v>10</v>
      </c>
      <c r="P21" s="3">
        <v>64.099999999999994</v>
      </c>
    </row>
    <row r="22" spans="1:16" x14ac:dyDescent="0.25">
      <c r="A22" t="s">
        <v>58</v>
      </c>
      <c r="B22" t="s">
        <v>96</v>
      </c>
      <c r="C22">
        <v>2023</v>
      </c>
      <c r="D22">
        <v>10600</v>
      </c>
      <c r="E22">
        <v>138</v>
      </c>
      <c r="F22">
        <v>42</v>
      </c>
      <c r="G22">
        <v>7100</v>
      </c>
      <c r="H22">
        <v>6600</v>
      </c>
      <c r="I22">
        <v>31000</v>
      </c>
      <c r="J22">
        <v>41000</v>
      </c>
      <c r="K22">
        <v>167000</v>
      </c>
      <c r="L22">
        <v>323000</v>
      </c>
      <c r="M22">
        <v>21</v>
      </c>
      <c r="N22" s="3">
        <v>8</v>
      </c>
      <c r="O22" s="3">
        <v>10.3</v>
      </c>
      <c r="P22" s="3">
        <v>67</v>
      </c>
    </row>
    <row r="23" spans="1:16" x14ac:dyDescent="0.25">
      <c r="A23" t="s">
        <v>58</v>
      </c>
      <c r="B23" t="s">
        <v>97</v>
      </c>
      <c r="C23">
        <v>2023</v>
      </c>
      <c r="D23">
        <v>10900</v>
      </c>
      <c r="E23">
        <v>149</v>
      </c>
      <c r="F23">
        <v>53</v>
      </c>
      <c r="G23">
        <v>7600</v>
      </c>
      <c r="H23">
        <v>6900</v>
      </c>
      <c r="I23">
        <v>35000</v>
      </c>
      <c r="J23">
        <v>45000</v>
      </c>
      <c r="K23">
        <v>172000</v>
      </c>
      <c r="L23">
        <v>338000</v>
      </c>
      <c r="M23">
        <v>22</v>
      </c>
      <c r="N23" s="3">
        <v>8.1999999999999993</v>
      </c>
      <c r="O23" s="3">
        <v>10.1</v>
      </c>
      <c r="P23" s="3">
        <v>69.7</v>
      </c>
    </row>
    <row r="24" spans="1:16" x14ac:dyDescent="0.25">
      <c r="A24" t="s">
        <v>58</v>
      </c>
      <c r="B24" t="s">
        <v>94</v>
      </c>
      <c r="C24">
        <v>2024</v>
      </c>
      <c r="D24">
        <v>11200</v>
      </c>
      <c r="E24">
        <v>154</v>
      </c>
      <c r="F24">
        <v>58</v>
      </c>
      <c r="G24">
        <v>8100</v>
      </c>
      <c r="H24">
        <v>6700</v>
      </c>
      <c r="I24">
        <v>38000</v>
      </c>
      <c r="J24">
        <v>49000</v>
      </c>
      <c r="K24">
        <v>175000</v>
      </c>
      <c r="L24">
        <v>354000</v>
      </c>
      <c r="M24">
        <v>22</v>
      </c>
      <c r="N24" s="3">
        <v>8.3000000000000007</v>
      </c>
      <c r="O24" s="3">
        <v>9.9</v>
      </c>
      <c r="P24" s="3">
        <v>72.3</v>
      </c>
    </row>
    <row r="25" spans="1:16" x14ac:dyDescent="0.25">
      <c r="A25" t="s">
        <v>58</v>
      </c>
      <c r="B25" t="s">
        <v>95</v>
      </c>
      <c r="C25">
        <v>2024</v>
      </c>
      <c r="D25">
        <v>11400</v>
      </c>
      <c r="E25">
        <v>147</v>
      </c>
      <c r="F25">
        <v>65</v>
      </c>
      <c r="G25">
        <v>8600</v>
      </c>
      <c r="H25">
        <v>6800</v>
      </c>
      <c r="I25">
        <v>41000</v>
      </c>
      <c r="J25">
        <v>52000</v>
      </c>
      <c r="K25">
        <v>178000</v>
      </c>
      <c r="L25">
        <v>371000</v>
      </c>
      <c r="M25">
        <v>23</v>
      </c>
      <c r="N25" s="3">
        <v>8.4</v>
      </c>
      <c r="O25" s="3">
        <v>9.6999999999999993</v>
      </c>
      <c r="P25" s="3">
        <v>75.400000000000006</v>
      </c>
    </row>
    <row r="26" spans="1:16" x14ac:dyDescent="0.25">
      <c r="A26" t="s">
        <v>69</v>
      </c>
      <c r="B26" t="s">
        <v>94</v>
      </c>
      <c r="C26">
        <v>2023</v>
      </c>
      <c r="D26">
        <v>8800</v>
      </c>
      <c r="E26">
        <v>118</v>
      </c>
      <c r="F26">
        <v>32</v>
      </c>
      <c r="G26">
        <v>5100</v>
      </c>
      <c r="H26">
        <v>5400</v>
      </c>
      <c r="I26">
        <v>22000</v>
      </c>
      <c r="J26">
        <v>30000</v>
      </c>
      <c r="K26">
        <v>143000</v>
      </c>
      <c r="L26">
        <v>253000</v>
      </c>
      <c r="M26">
        <v>17</v>
      </c>
      <c r="N26" s="3">
        <v>8.1999999999999993</v>
      </c>
      <c r="O26" s="3">
        <v>11.2</v>
      </c>
      <c r="P26" s="3">
        <v>58</v>
      </c>
    </row>
    <row r="27" spans="1:16" x14ac:dyDescent="0.25">
      <c r="A27" t="s">
        <v>69</v>
      </c>
      <c r="B27" t="s">
        <v>95</v>
      </c>
      <c r="C27">
        <v>2023</v>
      </c>
      <c r="D27">
        <v>9100</v>
      </c>
      <c r="E27">
        <v>141</v>
      </c>
      <c r="F27">
        <v>46</v>
      </c>
      <c r="G27">
        <v>5500</v>
      </c>
      <c r="H27">
        <v>5600</v>
      </c>
      <c r="I27">
        <v>25000</v>
      </c>
      <c r="J27">
        <v>33000</v>
      </c>
      <c r="K27">
        <v>147000</v>
      </c>
      <c r="L27">
        <v>270000</v>
      </c>
      <c r="M27">
        <v>18</v>
      </c>
      <c r="N27" s="3">
        <v>8.1999999999999993</v>
      </c>
      <c r="O27" s="3">
        <v>11</v>
      </c>
      <c r="P27" s="3">
        <v>60.4</v>
      </c>
    </row>
    <row r="28" spans="1:16" x14ac:dyDescent="0.25">
      <c r="A28" t="s">
        <v>69</v>
      </c>
      <c r="B28" t="s">
        <v>96</v>
      </c>
      <c r="C28">
        <v>2023</v>
      </c>
      <c r="D28">
        <v>9400</v>
      </c>
      <c r="E28">
        <v>129</v>
      </c>
      <c r="F28">
        <v>37</v>
      </c>
      <c r="G28">
        <v>5900</v>
      </c>
      <c r="H28">
        <v>5700</v>
      </c>
      <c r="I28">
        <v>27000</v>
      </c>
      <c r="J28">
        <v>36000</v>
      </c>
      <c r="K28">
        <v>151000</v>
      </c>
      <c r="L28">
        <v>286000</v>
      </c>
      <c r="M28">
        <v>19</v>
      </c>
      <c r="N28" s="3">
        <v>8.1999999999999993</v>
      </c>
      <c r="O28" s="3">
        <v>11.3</v>
      </c>
      <c r="P28" s="3">
        <v>62.8</v>
      </c>
    </row>
    <row r="29" spans="1:16" x14ac:dyDescent="0.25">
      <c r="A29" t="s">
        <v>69</v>
      </c>
      <c r="B29" t="s">
        <v>97</v>
      </c>
      <c r="C29">
        <v>2023</v>
      </c>
      <c r="D29">
        <v>9700</v>
      </c>
      <c r="E29">
        <v>142</v>
      </c>
      <c r="F29">
        <v>52</v>
      </c>
      <c r="G29">
        <v>6400</v>
      </c>
      <c r="H29">
        <v>6000</v>
      </c>
      <c r="I29">
        <v>30000</v>
      </c>
      <c r="J29">
        <v>40000</v>
      </c>
      <c r="K29">
        <v>157000</v>
      </c>
      <c r="L29">
        <v>304000</v>
      </c>
      <c r="M29">
        <v>20</v>
      </c>
      <c r="N29" s="3">
        <v>8.3000000000000007</v>
      </c>
      <c r="O29" s="3">
        <v>11</v>
      </c>
      <c r="P29" s="3">
        <v>66</v>
      </c>
    </row>
    <row r="30" spans="1:16" x14ac:dyDescent="0.25">
      <c r="A30" t="s">
        <v>69</v>
      </c>
      <c r="B30" t="s">
        <v>94</v>
      </c>
      <c r="C30">
        <v>2024</v>
      </c>
      <c r="D30">
        <v>9900</v>
      </c>
      <c r="E30">
        <v>145</v>
      </c>
      <c r="F30">
        <v>57</v>
      </c>
      <c r="G30">
        <v>6900</v>
      </c>
      <c r="H30">
        <v>5900</v>
      </c>
      <c r="I30">
        <v>33000</v>
      </c>
      <c r="J30">
        <v>43000</v>
      </c>
      <c r="K30">
        <v>160000</v>
      </c>
      <c r="L30">
        <v>321000</v>
      </c>
      <c r="M30">
        <v>20</v>
      </c>
      <c r="N30" s="3">
        <v>8.4</v>
      </c>
      <c r="O30" s="3">
        <v>10.8</v>
      </c>
      <c r="P30" s="3">
        <v>69.7</v>
      </c>
    </row>
    <row r="31" spans="1:16" x14ac:dyDescent="0.25">
      <c r="A31" t="s">
        <v>69</v>
      </c>
      <c r="B31" t="s">
        <v>95</v>
      </c>
      <c r="C31">
        <v>2024</v>
      </c>
      <c r="D31">
        <v>10100</v>
      </c>
      <c r="E31">
        <v>139</v>
      </c>
      <c r="F31">
        <v>63</v>
      </c>
      <c r="G31">
        <v>7400</v>
      </c>
      <c r="H31">
        <v>6000</v>
      </c>
      <c r="I31">
        <v>35000</v>
      </c>
      <c r="J31">
        <v>46000</v>
      </c>
      <c r="K31">
        <v>163000</v>
      </c>
      <c r="L31">
        <v>338000</v>
      </c>
      <c r="M31">
        <v>21</v>
      </c>
      <c r="N31" s="3">
        <v>8.5</v>
      </c>
      <c r="O31" s="3">
        <v>10.6</v>
      </c>
      <c r="P31" s="3">
        <v>73.3</v>
      </c>
    </row>
    <row r="42" spans="9:9" x14ac:dyDescent="0.25">
      <c r="I42">
        <f>IFERROR(
    SUMIFS(L:L, A:A, "Toronto-King Street", B:B, "Q4", C:C, 2024) /
    SUMIFS(D:D, A:A, "Toronto-King Street", B:B, "Q4", C:C, 2024),
    0
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7E54-A575-4173-B702-8B3CCE5E91E5}">
  <dimension ref="A1:G31"/>
  <sheetViews>
    <sheetView workbookViewId="0">
      <selection activeCell="K40" sqref="K40"/>
    </sheetView>
  </sheetViews>
  <sheetFormatPr defaultRowHeight="15" x14ac:dyDescent="0.25"/>
  <cols>
    <col min="2" max="2" width="19.85546875" customWidth="1"/>
    <col min="3" max="3" width="13.42578125" customWidth="1"/>
    <col min="4" max="4" width="18.42578125" customWidth="1"/>
    <col min="5" max="5" width="20.28515625" customWidth="1"/>
    <col min="6" max="6" width="18.140625" customWidth="1"/>
    <col min="7" max="7" width="23" customWidth="1"/>
  </cols>
  <sheetData>
    <row r="1" spans="1:7" x14ac:dyDescent="0.25">
      <c r="A1" s="1" t="s">
        <v>1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11</v>
      </c>
      <c r="G1" s="1" t="s">
        <v>102</v>
      </c>
    </row>
    <row r="2" spans="1:7" x14ac:dyDescent="0.25">
      <c r="A2" t="s">
        <v>14</v>
      </c>
      <c r="B2" t="s">
        <v>103</v>
      </c>
      <c r="C2">
        <v>12450</v>
      </c>
      <c r="D2">
        <v>267000</v>
      </c>
      <c r="E2">
        <v>72</v>
      </c>
      <c r="F2">
        <v>8.1</v>
      </c>
      <c r="G2">
        <v>2.1</v>
      </c>
    </row>
    <row r="3" spans="1:7" x14ac:dyDescent="0.25">
      <c r="A3" t="s">
        <v>14</v>
      </c>
      <c r="B3" t="s">
        <v>104</v>
      </c>
      <c r="C3">
        <v>11230</v>
      </c>
      <c r="D3">
        <v>135000</v>
      </c>
      <c r="E3">
        <v>68</v>
      </c>
      <c r="F3">
        <v>7.9</v>
      </c>
      <c r="G3">
        <v>1.8</v>
      </c>
    </row>
    <row r="4" spans="1:7" x14ac:dyDescent="0.25">
      <c r="A4" t="s">
        <v>14</v>
      </c>
      <c r="B4" t="s">
        <v>105</v>
      </c>
      <c r="C4">
        <v>8930</v>
      </c>
      <c r="D4">
        <v>534000</v>
      </c>
      <c r="E4">
        <v>79</v>
      </c>
      <c r="F4">
        <v>7.6</v>
      </c>
      <c r="G4">
        <v>3.2</v>
      </c>
    </row>
    <row r="5" spans="1:7" x14ac:dyDescent="0.25">
      <c r="A5" t="s">
        <v>14</v>
      </c>
      <c r="B5" t="s">
        <v>106</v>
      </c>
      <c r="C5">
        <v>3240</v>
      </c>
      <c r="D5">
        <v>702000</v>
      </c>
      <c r="E5">
        <v>45</v>
      </c>
      <c r="F5">
        <v>8.4</v>
      </c>
      <c r="G5">
        <v>0.8</v>
      </c>
    </row>
    <row r="6" spans="1:7" x14ac:dyDescent="0.25">
      <c r="A6" t="s">
        <v>14</v>
      </c>
      <c r="B6" t="s">
        <v>107</v>
      </c>
      <c r="C6">
        <v>2140</v>
      </c>
      <c r="D6">
        <v>468000</v>
      </c>
      <c r="E6">
        <v>83</v>
      </c>
      <c r="F6">
        <v>8.6999999999999993</v>
      </c>
      <c r="G6">
        <v>2.5</v>
      </c>
    </row>
    <row r="7" spans="1:7" x14ac:dyDescent="0.25">
      <c r="A7" t="s">
        <v>14</v>
      </c>
      <c r="B7" t="s">
        <v>108</v>
      </c>
      <c r="C7">
        <v>1890</v>
      </c>
      <c r="D7">
        <v>294000</v>
      </c>
      <c r="E7">
        <v>67</v>
      </c>
      <c r="F7">
        <v>8.1999999999999993</v>
      </c>
      <c r="G7">
        <v>2.9</v>
      </c>
    </row>
    <row r="8" spans="1:7" x14ac:dyDescent="0.25">
      <c r="A8" t="s">
        <v>36</v>
      </c>
      <c r="B8" t="s">
        <v>103</v>
      </c>
      <c r="C8">
        <v>9840</v>
      </c>
      <c r="D8">
        <v>201000</v>
      </c>
      <c r="E8">
        <v>65</v>
      </c>
      <c r="F8">
        <v>8.1999999999999993</v>
      </c>
      <c r="G8">
        <v>2.2999999999999998</v>
      </c>
    </row>
    <row r="9" spans="1:7" x14ac:dyDescent="0.25">
      <c r="A9" t="s">
        <v>36</v>
      </c>
      <c r="B9" t="s">
        <v>104</v>
      </c>
      <c r="C9">
        <v>8930</v>
      </c>
      <c r="D9">
        <v>102000</v>
      </c>
      <c r="E9">
        <v>61</v>
      </c>
      <c r="F9">
        <v>8</v>
      </c>
      <c r="G9">
        <v>2</v>
      </c>
    </row>
    <row r="10" spans="1:7" x14ac:dyDescent="0.25">
      <c r="A10" t="s">
        <v>36</v>
      </c>
      <c r="B10" t="s">
        <v>105</v>
      </c>
      <c r="C10">
        <v>6780</v>
      </c>
      <c r="D10">
        <v>402000</v>
      </c>
      <c r="E10">
        <v>71</v>
      </c>
      <c r="F10">
        <v>7.7</v>
      </c>
      <c r="G10">
        <v>3.5</v>
      </c>
    </row>
    <row r="11" spans="1:7" x14ac:dyDescent="0.25">
      <c r="A11" t="s">
        <v>36</v>
      </c>
      <c r="B11" t="s">
        <v>106</v>
      </c>
      <c r="C11">
        <v>2560</v>
      </c>
      <c r="D11">
        <v>561000</v>
      </c>
      <c r="E11">
        <v>42</v>
      </c>
      <c r="F11">
        <v>8.3000000000000007</v>
      </c>
      <c r="G11">
        <v>1.1000000000000001</v>
      </c>
    </row>
    <row r="12" spans="1:7" x14ac:dyDescent="0.25">
      <c r="A12" t="s">
        <v>36</v>
      </c>
      <c r="B12" t="s">
        <v>107</v>
      </c>
      <c r="C12">
        <v>1670</v>
      </c>
      <c r="D12">
        <v>369000</v>
      </c>
      <c r="E12">
        <v>78</v>
      </c>
      <c r="F12">
        <v>8.6</v>
      </c>
      <c r="G12">
        <v>2.8</v>
      </c>
    </row>
    <row r="13" spans="1:7" x14ac:dyDescent="0.25">
      <c r="A13" t="s">
        <v>36</v>
      </c>
      <c r="B13" t="s">
        <v>108</v>
      </c>
      <c r="C13">
        <v>1450</v>
      </c>
      <c r="D13">
        <v>228000</v>
      </c>
      <c r="E13">
        <v>59</v>
      </c>
      <c r="F13">
        <v>8.1</v>
      </c>
      <c r="G13">
        <v>3.2</v>
      </c>
    </row>
    <row r="14" spans="1:7" x14ac:dyDescent="0.25">
      <c r="A14" t="s">
        <v>47</v>
      </c>
      <c r="B14" t="s">
        <v>103</v>
      </c>
      <c r="C14">
        <v>8950</v>
      </c>
      <c r="D14">
        <v>192000</v>
      </c>
      <c r="E14">
        <v>69</v>
      </c>
      <c r="F14">
        <v>8</v>
      </c>
      <c r="G14">
        <v>2.2000000000000002</v>
      </c>
    </row>
    <row r="15" spans="1:7" x14ac:dyDescent="0.25">
      <c r="A15" t="s">
        <v>47</v>
      </c>
      <c r="B15" t="s">
        <v>104</v>
      </c>
      <c r="C15">
        <v>8123</v>
      </c>
      <c r="D15">
        <v>96000</v>
      </c>
      <c r="E15">
        <v>65</v>
      </c>
      <c r="F15">
        <v>7.8</v>
      </c>
      <c r="G15">
        <v>1.9</v>
      </c>
    </row>
    <row r="16" spans="1:7" x14ac:dyDescent="0.25">
      <c r="A16" t="s">
        <v>47</v>
      </c>
      <c r="B16" t="s">
        <v>105</v>
      </c>
      <c r="C16">
        <v>6234</v>
      </c>
      <c r="D16">
        <v>369000</v>
      </c>
      <c r="E16">
        <v>76</v>
      </c>
      <c r="F16">
        <v>7.5</v>
      </c>
      <c r="G16">
        <v>3.4</v>
      </c>
    </row>
    <row r="17" spans="1:7" x14ac:dyDescent="0.25">
      <c r="A17" t="s">
        <v>47</v>
      </c>
      <c r="B17" t="s">
        <v>106</v>
      </c>
      <c r="C17">
        <v>2340</v>
      </c>
      <c r="D17">
        <v>501000</v>
      </c>
      <c r="E17">
        <v>41</v>
      </c>
      <c r="F17">
        <v>8.3000000000000007</v>
      </c>
      <c r="G17">
        <v>0.9</v>
      </c>
    </row>
    <row r="18" spans="1:7" x14ac:dyDescent="0.25">
      <c r="A18" t="s">
        <v>47</v>
      </c>
      <c r="B18" t="s">
        <v>107</v>
      </c>
      <c r="C18">
        <v>1456</v>
      </c>
      <c r="D18">
        <v>336000</v>
      </c>
      <c r="E18">
        <v>81</v>
      </c>
      <c r="F18">
        <v>8.5</v>
      </c>
      <c r="G18">
        <v>2.6</v>
      </c>
    </row>
    <row r="19" spans="1:7" x14ac:dyDescent="0.25">
      <c r="A19" t="s">
        <v>47</v>
      </c>
      <c r="B19" t="s">
        <v>108</v>
      </c>
      <c r="C19">
        <v>1234</v>
      </c>
      <c r="D19">
        <v>201000</v>
      </c>
      <c r="E19">
        <v>62</v>
      </c>
      <c r="F19">
        <v>8.1</v>
      </c>
      <c r="G19">
        <v>3</v>
      </c>
    </row>
    <row r="20" spans="1:7" x14ac:dyDescent="0.25">
      <c r="A20" t="s">
        <v>58</v>
      </c>
      <c r="B20" t="s">
        <v>103</v>
      </c>
      <c r="C20">
        <v>7856</v>
      </c>
      <c r="D20">
        <v>168000</v>
      </c>
      <c r="E20">
        <v>67</v>
      </c>
      <c r="F20">
        <v>8.1</v>
      </c>
      <c r="G20">
        <v>2.4</v>
      </c>
    </row>
    <row r="21" spans="1:7" x14ac:dyDescent="0.25">
      <c r="A21" t="s">
        <v>58</v>
      </c>
      <c r="B21" t="s">
        <v>104</v>
      </c>
      <c r="C21">
        <v>7123</v>
      </c>
      <c r="D21">
        <v>84000</v>
      </c>
      <c r="E21">
        <v>63</v>
      </c>
      <c r="F21">
        <v>7.9</v>
      </c>
      <c r="G21">
        <v>2.1</v>
      </c>
    </row>
    <row r="22" spans="1:7" x14ac:dyDescent="0.25">
      <c r="A22" t="s">
        <v>58</v>
      </c>
      <c r="B22" t="s">
        <v>105</v>
      </c>
      <c r="C22">
        <v>5456</v>
      </c>
      <c r="D22">
        <v>327000</v>
      </c>
      <c r="E22">
        <v>73</v>
      </c>
      <c r="F22">
        <v>7.6</v>
      </c>
      <c r="G22">
        <v>3.6</v>
      </c>
    </row>
    <row r="23" spans="1:7" x14ac:dyDescent="0.25">
      <c r="A23" t="s">
        <v>58</v>
      </c>
      <c r="B23" t="s">
        <v>106</v>
      </c>
      <c r="C23">
        <v>1998</v>
      </c>
      <c r="D23">
        <v>429000</v>
      </c>
      <c r="E23">
        <v>39</v>
      </c>
      <c r="F23">
        <v>8.1999999999999993</v>
      </c>
      <c r="G23">
        <v>1</v>
      </c>
    </row>
    <row r="24" spans="1:7" x14ac:dyDescent="0.25">
      <c r="A24" t="s">
        <v>58</v>
      </c>
      <c r="B24" t="s">
        <v>107</v>
      </c>
      <c r="C24">
        <v>1234</v>
      </c>
      <c r="D24">
        <v>285000</v>
      </c>
      <c r="E24">
        <v>79</v>
      </c>
      <c r="F24">
        <v>8.4</v>
      </c>
      <c r="G24">
        <v>2.7</v>
      </c>
    </row>
    <row r="25" spans="1:7" x14ac:dyDescent="0.25">
      <c r="A25" t="s">
        <v>58</v>
      </c>
      <c r="B25" t="s">
        <v>108</v>
      </c>
      <c r="C25">
        <v>1067</v>
      </c>
      <c r="D25">
        <v>174000</v>
      </c>
      <c r="E25">
        <v>58</v>
      </c>
      <c r="F25">
        <v>8</v>
      </c>
      <c r="G25">
        <v>3.1</v>
      </c>
    </row>
    <row r="26" spans="1:7" x14ac:dyDescent="0.25">
      <c r="A26" t="s">
        <v>69</v>
      </c>
      <c r="B26" t="s">
        <v>103</v>
      </c>
      <c r="C26">
        <v>6923</v>
      </c>
      <c r="D26">
        <v>147000</v>
      </c>
      <c r="E26">
        <v>64</v>
      </c>
      <c r="F26">
        <v>8.1999999999999993</v>
      </c>
      <c r="G26">
        <v>2.5</v>
      </c>
    </row>
    <row r="27" spans="1:7" x14ac:dyDescent="0.25">
      <c r="A27" t="s">
        <v>69</v>
      </c>
      <c r="B27" t="s">
        <v>104</v>
      </c>
      <c r="C27">
        <v>6234</v>
      </c>
      <c r="D27">
        <v>75000</v>
      </c>
      <c r="E27">
        <v>60</v>
      </c>
      <c r="F27">
        <v>8</v>
      </c>
      <c r="G27">
        <v>2.2000000000000002</v>
      </c>
    </row>
    <row r="28" spans="1:7" x14ac:dyDescent="0.25">
      <c r="A28" t="s">
        <v>69</v>
      </c>
      <c r="B28" t="s">
        <v>105</v>
      </c>
      <c r="C28">
        <v>4789</v>
      </c>
      <c r="D28">
        <v>285000</v>
      </c>
      <c r="E28">
        <v>70</v>
      </c>
      <c r="F28">
        <v>7.7</v>
      </c>
      <c r="G28">
        <v>3.7</v>
      </c>
    </row>
    <row r="29" spans="1:7" x14ac:dyDescent="0.25">
      <c r="A29" t="s">
        <v>69</v>
      </c>
      <c r="B29" t="s">
        <v>106</v>
      </c>
      <c r="C29">
        <v>1723</v>
      </c>
      <c r="D29">
        <v>372000</v>
      </c>
      <c r="E29">
        <v>37</v>
      </c>
      <c r="F29">
        <v>8.1</v>
      </c>
      <c r="G29">
        <v>1.1000000000000001</v>
      </c>
    </row>
    <row r="30" spans="1:7" x14ac:dyDescent="0.25">
      <c r="A30" t="s">
        <v>69</v>
      </c>
      <c r="B30" t="s">
        <v>107</v>
      </c>
      <c r="C30">
        <v>1089</v>
      </c>
      <c r="D30">
        <v>246000</v>
      </c>
      <c r="E30">
        <v>76</v>
      </c>
      <c r="F30">
        <v>8.3000000000000007</v>
      </c>
      <c r="G30">
        <v>2.8</v>
      </c>
    </row>
    <row r="31" spans="1:7" x14ac:dyDescent="0.25">
      <c r="A31" t="s">
        <v>69</v>
      </c>
      <c r="B31" t="s">
        <v>108</v>
      </c>
      <c r="C31">
        <v>923</v>
      </c>
      <c r="D31">
        <v>147000</v>
      </c>
      <c r="E31">
        <v>55</v>
      </c>
      <c r="F31">
        <v>7.9</v>
      </c>
      <c r="G31">
        <v>3.3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020B-9AE3-479C-A02A-03FB79C09BE9}">
  <dimension ref="A1:F8"/>
  <sheetViews>
    <sheetView workbookViewId="0">
      <selection activeCell="A10" sqref="A10"/>
    </sheetView>
  </sheetViews>
  <sheetFormatPr defaultRowHeight="15" x14ac:dyDescent="0.25"/>
  <cols>
    <col min="1" max="1" width="23.85546875" customWidth="1"/>
    <col min="2" max="2" width="23.140625" customWidth="1"/>
    <col min="3" max="3" width="14.7109375" customWidth="1"/>
    <col min="4" max="4" width="22.7109375" customWidth="1"/>
    <col min="5" max="5" width="35" customWidth="1"/>
    <col min="6" max="6" width="26.85546875" customWidth="1"/>
  </cols>
  <sheetData>
    <row r="1" spans="1:6" x14ac:dyDescent="0.25">
      <c r="A1" s="1" t="s">
        <v>109</v>
      </c>
      <c r="B1" s="1" t="s">
        <v>110</v>
      </c>
      <c r="C1" s="1" t="s">
        <v>111</v>
      </c>
      <c r="D1" s="1" t="s">
        <v>91</v>
      </c>
      <c r="E1" s="1" t="s">
        <v>112</v>
      </c>
      <c r="F1" s="1" t="s">
        <v>113</v>
      </c>
    </row>
    <row r="2" spans="1:6" x14ac:dyDescent="0.25">
      <c r="A2" t="s">
        <v>114</v>
      </c>
      <c r="B2">
        <v>23.4</v>
      </c>
      <c r="C2">
        <v>8.9</v>
      </c>
      <c r="D2">
        <v>8.1999999999999993</v>
      </c>
      <c r="E2">
        <v>9.1</v>
      </c>
      <c r="F2" t="s">
        <v>115</v>
      </c>
    </row>
    <row r="3" spans="1:6" x14ac:dyDescent="0.25">
      <c r="A3" t="s">
        <v>116</v>
      </c>
      <c r="B3">
        <v>21.7</v>
      </c>
      <c r="C3">
        <v>8.6999999999999993</v>
      </c>
      <c r="D3">
        <v>8</v>
      </c>
      <c r="E3">
        <v>8.9</v>
      </c>
      <c r="F3" t="s">
        <v>115</v>
      </c>
    </row>
    <row r="4" spans="1:6" x14ac:dyDescent="0.25">
      <c r="A4" t="s">
        <v>117</v>
      </c>
      <c r="B4">
        <v>18.899999999999999</v>
      </c>
      <c r="C4">
        <v>8.4</v>
      </c>
      <c r="D4">
        <v>7.9</v>
      </c>
      <c r="E4">
        <v>8.6</v>
      </c>
      <c r="F4" t="s">
        <v>115</v>
      </c>
    </row>
    <row r="5" spans="1:6" x14ac:dyDescent="0.25">
      <c r="A5" t="s">
        <v>118</v>
      </c>
      <c r="B5">
        <v>4.8</v>
      </c>
      <c r="C5">
        <v>6.2</v>
      </c>
      <c r="D5">
        <v>8.1</v>
      </c>
      <c r="E5">
        <v>6.8</v>
      </c>
      <c r="F5" t="s">
        <v>119</v>
      </c>
    </row>
    <row r="6" spans="1:6" x14ac:dyDescent="0.25">
      <c r="A6" t="s">
        <v>120</v>
      </c>
      <c r="B6">
        <v>3.9</v>
      </c>
      <c r="C6">
        <v>9.3000000000000007</v>
      </c>
      <c r="D6">
        <v>7.6</v>
      </c>
      <c r="E6">
        <v>9.4</v>
      </c>
      <c r="F6" t="s">
        <v>121</v>
      </c>
    </row>
    <row r="7" spans="1:6" x14ac:dyDescent="0.25">
      <c r="A7" t="s">
        <v>122</v>
      </c>
      <c r="B7">
        <v>2.1</v>
      </c>
      <c r="C7">
        <v>9.8000000000000007</v>
      </c>
      <c r="D7">
        <v>8.4</v>
      </c>
      <c r="E7">
        <v>9.6999999999999993</v>
      </c>
      <c r="F7" t="s">
        <v>123</v>
      </c>
    </row>
    <row r="8" spans="1:6" x14ac:dyDescent="0.25">
      <c r="A8" t="s">
        <v>124</v>
      </c>
      <c r="B8">
        <v>6.2</v>
      </c>
      <c r="C8">
        <v>5.4</v>
      </c>
      <c r="D8">
        <v>8.6999999999999993</v>
      </c>
      <c r="E8">
        <v>5.9</v>
      </c>
      <c r="F8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Pivot_Tables</vt:lpstr>
      <vt:lpstr>Branch Summary</vt:lpstr>
      <vt:lpstr>Product Analysis</vt:lpstr>
      <vt:lpstr>Competitive Analysis</vt:lpstr>
      <vt:lpstr>50 Customer Records</vt:lpstr>
      <vt:lpstr>Quarterly data</vt:lpstr>
      <vt:lpstr>Core product performance</vt:lpstr>
      <vt:lpstr>Essential competitive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Professor</cp:lastModifiedBy>
  <dcterms:created xsi:type="dcterms:W3CDTF">2025-07-16T17:49:59Z</dcterms:created>
  <dcterms:modified xsi:type="dcterms:W3CDTF">2025-07-28T03:58:05Z</dcterms:modified>
</cp:coreProperties>
</file>