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enovo-PC\Desktop\артем\2\ModelProject v1.0.17\UnitTestCalculation\"/>
    </mc:Choice>
  </mc:AlternateContent>
  <xr:revisionPtr revIDLastSave="0" documentId="13_ncr:1_{5F41282D-05EA-49D5-93AE-76785DF6B679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33" i="1" l="1"/>
  <c r="C23" i="1"/>
  <c r="C22" i="1"/>
  <c r="C20" i="1"/>
  <c r="C15" i="1"/>
  <c r="C16" i="1" s="1"/>
  <c r="C30" i="1"/>
  <c r="C29" i="1"/>
  <c r="C28" i="1"/>
  <c r="C27" i="1"/>
  <c r="C17" i="1" l="1"/>
  <c r="C18" i="1" s="1"/>
  <c r="C19" i="1" l="1"/>
  <c r="C24" i="1" s="1"/>
  <c r="C25" i="1" s="1"/>
  <c r="C21" i="1" l="1"/>
  <c r="C26" i="1"/>
  <c r="C31" i="1"/>
  <c r="C11" i="1"/>
  <c r="C32" i="1" l="1"/>
</calcChain>
</file>

<file path=xl/sharedStrings.xml><?xml version="1.0" encoding="utf-8"?>
<sst xmlns="http://schemas.openxmlformats.org/spreadsheetml/2006/main" count="123" uniqueCount="99">
  <si>
    <t>Исходные данные</t>
  </si>
  <si>
    <t>Обозначение</t>
  </si>
  <si>
    <t>Обозначение в библиотеке</t>
  </si>
  <si>
    <t>Значение</t>
  </si>
  <si>
    <t>Размерность</t>
  </si>
  <si>
    <t>Комментарий</t>
  </si>
  <si>
    <t>Q</t>
  </si>
  <si>
    <t>т</t>
  </si>
  <si>
    <t>номинальная емкость конвертера</t>
  </si>
  <si>
    <t>q</t>
  </si>
  <si>
    <t>м3/(т*мин)</t>
  </si>
  <si>
    <t>удельная интенсивность продувки</t>
  </si>
  <si>
    <t xml:space="preserve">Т </t>
  </si>
  <si>
    <t>T</t>
  </si>
  <si>
    <t>К</t>
  </si>
  <si>
    <t>температура кислорода перед соплами кислородной фурмы</t>
  </si>
  <si>
    <t>Р</t>
  </si>
  <si>
    <t>P</t>
  </si>
  <si>
    <t>Н/м</t>
  </si>
  <si>
    <t>давление кислорода на срезе сопел кислородной фурмы</t>
  </si>
  <si>
    <t>Константы</t>
  </si>
  <si>
    <t>K</t>
  </si>
  <si>
    <t>-</t>
  </si>
  <si>
    <t>показатель адиабаты, равный для двухатомных газов 1.4</t>
  </si>
  <si>
    <t>R</t>
  </si>
  <si>
    <t>универсальная газовая постоянная, для удельной - делить на молярную массу</t>
  </si>
  <si>
    <t>Рассчитываемые данные</t>
  </si>
  <si>
    <r>
      <t>V</t>
    </r>
    <r>
      <rPr>
        <vertAlign val="subscript"/>
        <sz val="14"/>
        <color theme="1"/>
        <rFont val="Times New Roman"/>
        <family val="1"/>
        <charset val="204"/>
      </rPr>
      <t>уд</t>
    </r>
  </si>
  <si>
    <t>Vud</t>
  </si>
  <si>
    <t>м3/т</t>
  </si>
  <si>
    <t>Удельный объем кислородного конвертера</t>
  </si>
  <si>
    <t>ωуд</t>
  </si>
  <si>
    <t>Wud</t>
  </si>
  <si>
    <t>м/с</t>
  </si>
  <si>
    <t>критическая скорость истечения кислорода</t>
  </si>
  <si>
    <r>
      <t>Р</t>
    </r>
    <r>
      <rPr>
        <vertAlign val="subscript"/>
        <sz val="14"/>
        <color theme="1"/>
        <rFont val="Times New Roman"/>
        <family val="1"/>
        <charset val="204"/>
      </rPr>
      <t>н</t>
    </r>
  </si>
  <si>
    <t>Ph</t>
  </si>
  <si>
    <t>Н/м2</t>
  </si>
  <si>
    <t>давление кислорода перед соплами кислородной фурмы</t>
  </si>
  <si>
    <r>
      <t>ρ</t>
    </r>
    <r>
      <rPr>
        <vertAlign val="subscript"/>
        <sz val="14"/>
        <color theme="1"/>
        <rFont val="Times New Roman"/>
        <family val="1"/>
        <charset val="204"/>
      </rPr>
      <t>н</t>
    </r>
  </si>
  <si>
    <t>Ro_h</t>
  </si>
  <si>
    <t>кг/м2</t>
  </si>
  <si>
    <t>начальная плотность кислорода</t>
  </si>
  <si>
    <t>λ</t>
  </si>
  <si>
    <t>lambda</t>
  </si>
  <si>
    <t>критерий скорости истечения кислорода</t>
  </si>
  <si>
    <r>
      <t>W</t>
    </r>
    <r>
      <rPr>
        <vertAlign val="subscript"/>
        <sz val="14"/>
        <color theme="1"/>
        <rFont val="Times New Roman"/>
        <family val="1"/>
        <charset val="204"/>
      </rPr>
      <t>г</t>
    </r>
  </si>
  <si>
    <t>W_g</t>
  </si>
  <si>
    <t>скорость истечения  кислорода на срезе сопла кислородной фурмы</t>
  </si>
  <si>
    <t>ρг</t>
  </si>
  <si>
    <t>Ro_g</t>
  </si>
  <si>
    <t>кг/м3</t>
  </si>
  <si>
    <t>плотность кислорода на срезе сопла кислородной фурмы</t>
  </si>
  <si>
    <t>H0</t>
  </si>
  <si>
    <t>м</t>
  </si>
  <si>
    <t>Глубина спокойной ванны</t>
  </si>
  <si>
    <t>D</t>
  </si>
  <si>
    <t>Внутренний диаметр конвертора</t>
  </si>
  <si>
    <r>
      <t>V</t>
    </r>
    <r>
      <rPr>
        <vertAlign val="subscript"/>
        <sz val="14"/>
        <color theme="1"/>
        <rFont val="Times New Roman"/>
        <family val="1"/>
        <charset val="204"/>
      </rPr>
      <t>м</t>
    </r>
  </si>
  <si>
    <t>Vm</t>
  </si>
  <si>
    <t>м3</t>
  </si>
  <si>
    <t>Объём металлической ванны</t>
  </si>
  <si>
    <t>dдн</t>
  </si>
  <si>
    <t>d_dn</t>
  </si>
  <si>
    <t>Внутренний диаметр днища</t>
  </si>
  <si>
    <t>dг</t>
  </si>
  <si>
    <t>d_g</t>
  </si>
  <si>
    <t>Диаметр горловины конвертора</t>
  </si>
  <si>
    <t>V</t>
  </si>
  <si>
    <t>Рабочий объём конвертора</t>
  </si>
  <si>
    <t>Hк</t>
  </si>
  <si>
    <t>H_k</t>
  </si>
  <si>
    <t>Высота конической части конвертера</t>
  </si>
  <si>
    <t>Hц</t>
  </si>
  <si>
    <t>H_c</t>
  </si>
  <si>
    <t>Высота цилидрической части конвертера</t>
  </si>
  <si>
    <t>H в</t>
  </si>
  <si>
    <t>H_v</t>
  </si>
  <si>
    <t>Внутренняя высота конвертера</t>
  </si>
  <si>
    <t>tц</t>
  </si>
  <si>
    <t>t_c</t>
  </si>
  <si>
    <t>Толщина футеровки конвертера в цилиндрической части</t>
  </si>
  <si>
    <t>tдн</t>
  </si>
  <si>
    <t>t_dn</t>
  </si>
  <si>
    <t>Толщина днища конвертера</t>
  </si>
  <si>
    <t>tк</t>
  </si>
  <si>
    <t>t_k</t>
  </si>
  <si>
    <t>Толщина футеровки конвертера в конической части</t>
  </si>
  <si>
    <t>δ</t>
  </si>
  <si>
    <t>delta</t>
  </si>
  <si>
    <t>Толщина металлического кожуха конвертера</t>
  </si>
  <si>
    <t>Dн</t>
  </si>
  <si>
    <t>D_n</t>
  </si>
  <si>
    <t>Наружный диаметр конвертера</t>
  </si>
  <si>
    <t>H</t>
  </si>
  <si>
    <t>Полная высота конвертера</t>
  </si>
  <si>
    <t>dотв</t>
  </si>
  <si>
    <t>d_otv</t>
  </si>
  <si>
    <t>Диаметр сталевыпускного отверстия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</si>
</sst>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1.55"/>
      <color theme="1"/>
      <name val="Palatino Linotyp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/>
    <xf numFmtId="0" fontId="0" fillId="3" borderId="1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13" workbookViewId="0">
      <selection activeCell="C14" sqref="C14"/>
    </sheetView>
  </sheetViews>
  <sheetFormatPr defaultColWidth="9.140625" defaultRowHeight="15" x14ac:dyDescent="0.25"/>
  <cols>
    <col min="1" max="1" width="13.5703125" style="1" customWidth="1"/>
    <col min="2" max="2" width="30.5703125" style="1" customWidth="1"/>
    <col min="3" max="3" width="20.140625" style="1" customWidth="1"/>
    <col min="4" max="4" width="14.140625" style="1" customWidth="1"/>
    <col min="5" max="5" width="35.7109375" style="1" customWidth="1"/>
    <col min="6" max="16384" width="9.140625" style="1"/>
  </cols>
  <sheetData>
    <row r="1" spans="1:5" x14ac:dyDescent="0.25">
      <c r="A1" s="9" t="s">
        <v>0</v>
      </c>
      <c r="B1" s="9"/>
      <c r="C1" s="9"/>
      <c r="D1" s="9"/>
      <c r="E1" s="9"/>
    </row>
    <row r="2" spans="1:5" ht="15" customHeight="1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</row>
    <row r="3" spans="1:5" ht="18.75" x14ac:dyDescent="0.3">
      <c r="A3" s="4" t="s">
        <v>6</v>
      </c>
      <c r="B3" s="5" t="s">
        <v>6</v>
      </c>
      <c r="C3" s="5">
        <v>80</v>
      </c>
      <c r="D3" s="5" t="s">
        <v>7</v>
      </c>
      <c r="E3" s="5" t="s">
        <v>8</v>
      </c>
    </row>
    <row r="4" spans="1:5" ht="18.75" x14ac:dyDescent="0.3">
      <c r="A4" s="3" t="s">
        <v>9</v>
      </c>
      <c r="B4" s="2" t="s">
        <v>9</v>
      </c>
      <c r="C4" s="2">
        <v>3</v>
      </c>
      <c r="D4" s="2" t="s">
        <v>10</v>
      </c>
      <c r="E4" s="2" t="s">
        <v>11</v>
      </c>
    </row>
    <row r="5" spans="1:5" ht="30" x14ac:dyDescent="0.3">
      <c r="A5" s="3" t="s">
        <v>12</v>
      </c>
      <c r="B5" s="2" t="s">
        <v>13</v>
      </c>
      <c r="C5" s="2">
        <v>298</v>
      </c>
      <c r="D5" s="2" t="s">
        <v>14</v>
      </c>
      <c r="E5" s="2" t="s">
        <v>15</v>
      </c>
    </row>
    <row r="6" spans="1:5" ht="30" x14ac:dyDescent="0.3">
      <c r="A6" s="3" t="s">
        <v>16</v>
      </c>
      <c r="B6" s="2" t="s">
        <v>17</v>
      </c>
      <c r="C6" s="2">
        <v>140000</v>
      </c>
      <c r="D6" s="2" t="s">
        <v>18</v>
      </c>
      <c r="E6" s="2" t="s">
        <v>19</v>
      </c>
    </row>
    <row r="7" spans="1:5" x14ac:dyDescent="0.25">
      <c r="A7" s="9" t="s">
        <v>20</v>
      </c>
      <c r="B7" s="9"/>
      <c r="C7" s="9"/>
      <c r="D7" s="9"/>
      <c r="E7" s="9"/>
    </row>
    <row r="8" spans="1:5" ht="30" x14ac:dyDescent="0.25">
      <c r="A8" s="2" t="s">
        <v>21</v>
      </c>
      <c r="B8" s="2" t="s">
        <v>21</v>
      </c>
      <c r="C8" s="2">
        <v>1.4</v>
      </c>
      <c r="D8" s="2" t="s">
        <v>22</v>
      </c>
      <c r="E8" s="2" t="s">
        <v>23</v>
      </c>
    </row>
    <row r="9" spans="1:5" ht="45" x14ac:dyDescent="0.25">
      <c r="A9" s="2" t="s">
        <v>24</v>
      </c>
      <c r="B9" s="2" t="s">
        <v>24</v>
      </c>
      <c r="C9" s="2">
        <v>8314</v>
      </c>
      <c r="D9" s="2"/>
      <c r="E9" s="2" t="s">
        <v>25</v>
      </c>
    </row>
    <row r="10" spans="1:5" x14ac:dyDescent="0.25">
      <c r="A10" s="9" t="s">
        <v>26</v>
      </c>
      <c r="B10" s="9"/>
      <c r="C10" s="9"/>
      <c r="D10" s="9"/>
      <c r="E10" s="9"/>
    </row>
    <row r="11" spans="1:5" ht="30" x14ac:dyDescent="0.35">
      <c r="A11" s="4" t="s">
        <v>27</v>
      </c>
      <c r="B11" s="5" t="s">
        <v>28</v>
      </c>
      <c r="C11" s="10">
        <f>(1/(1+C3*10^-3))</f>
        <v>0.92592592592592582</v>
      </c>
      <c r="D11" s="5" t="s">
        <v>29</v>
      </c>
      <c r="E11" s="5" t="s">
        <v>30</v>
      </c>
    </row>
    <row r="12" spans="1:5" ht="30" x14ac:dyDescent="0.25">
      <c r="A12" s="5" t="s">
        <v>31</v>
      </c>
      <c r="B12" s="5" t="s">
        <v>32</v>
      </c>
      <c r="C12" s="8">
        <f>SQRT(2*C8/(C8+1)*((C9/32)*$C$5))</f>
        <v>300.54641211189551</v>
      </c>
      <c r="D12" s="5" t="s">
        <v>33</v>
      </c>
      <c r="E12" s="5" t="s">
        <v>34</v>
      </c>
    </row>
    <row r="13" spans="1:5" ht="30" x14ac:dyDescent="0.35">
      <c r="A13" s="4" t="s">
        <v>35</v>
      </c>
      <c r="B13" s="5" t="s">
        <v>36</v>
      </c>
      <c r="C13" s="10">
        <f>(0.588+(0.00392*$C$3))*10^6</f>
        <v>901600</v>
      </c>
      <c r="D13" s="5" t="s">
        <v>37</v>
      </c>
      <c r="E13" s="5" t="s">
        <v>38</v>
      </c>
    </row>
    <row r="14" spans="1:5" ht="20.25" x14ac:dyDescent="0.35">
      <c r="A14" s="4" t="s">
        <v>39</v>
      </c>
      <c r="B14" s="5" t="s">
        <v>40</v>
      </c>
      <c r="C14" s="8">
        <f>C13/((C9/32)*$C$5)</f>
        <v>11.644949167975744</v>
      </c>
      <c r="D14" s="5" t="s">
        <v>41</v>
      </c>
      <c r="E14" s="5" t="s">
        <v>42</v>
      </c>
    </row>
    <row r="15" spans="1:5" ht="30" x14ac:dyDescent="0.3">
      <c r="A15" s="4" t="s">
        <v>43</v>
      </c>
      <c r="B15" s="5" t="s">
        <v>44</v>
      </c>
      <c r="C15" s="8">
        <f>SQRT((($C$8+1)/($C$8-1))*POWER(1-($C$6/$C$13),(($C$8-1)/$C$8)))</f>
        <v>2.391145802063301</v>
      </c>
      <c r="D15" s="5" t="s">
        <v>22</v>
      </c>
      <c r="E15" s="5" t="s">
        <v>45</v>
      </c>
    </row>
    <row r="16" spans="1:5" ht="30" x14ac:dyDescent="0.35">
      <c r="A16" s="4" t="s">
        <v>46</v>
      </c>
      <c r="B16" s="5" t="s">
        <v>47</v>
      </c>
      <c r="C16" s="8">
        <f>C12*C15</f>
        <v>718.65029164654572</v>
      </c>
      <c r="D16" s="5" t="s">
        <v>33</v>
      </c>
      <c r="E16" s="5" t="s">
        <v>48</v>
      </c>
    </row>
    <row r="17" spans="1:5" ht="30" x14ac:dyDescent="0.25">
      <c r="A17" s="5" t="s">
        <v>49</v>
      </c>
      <c r="B17" s="5" t="s">
        <v>50</v>
      </c>
      <c r="C17" s="8">
        <f>$C$14*POWER((1-(($C$8-1)/($C$8+1)*POWER($C$15,2))),(1/($C$8-1)))</f>
        <v>5.5976383092919465E-3</v>
      </c>
      <c r="D17" s="5" t="s">
        <v>51</v>
      </c>
      <c r="E17" s="5" t="s">
        <v>52</v>
      </c>
    </row>
    <row r="18" spans="1:5" x14ac:dyDescent="0.25">
      <c r="A18" s="5" t="s">
        <v>53</v>
      </c>
      <c r="B18" s="5" t="s">
        <v>53</v>
      </c>
      <c r="C18" s="8">
        <f>POWER(0.016*SQRT($C$16)*POWER($C$17,0.1)*(POWER($C$11,0.5)/POWER(3.1,0.05))*POWER($C$3/0.23,0.3),0.57)</f>
        <v>1.1834108114086619</v>
      </c>
      <c r="D18" s="5" t="s">
        <v>54</v>
      </c>
      <c r="E18" s="5" t="s">
        <v>55</v>
      </c>
    </row>
    <row r="19" spans="1:5" x14ac:dyDescent="0.25">
      <c r="A19" s="5" t="s">
        <v>56</v>
      </c>
      <c r="B19" s="5" t="s">
        <v>56</v>
      </c>
      <c r="C19" s="8">
        <f>(0.599-0.00032*$C$3)*SQRT($C$3/$C$18)</f>
        <v>4.714492137765129</v>
      </c>
      <c r="D19" s="5" t="s">
        <v>54</v>
      </c>
      <c r="E19" s="5" t="s">
        <v>57</v>
      </c>
    </row>
    <row r="20" spans="1:5" ht="20.25" x14ac:dyDescent="0.35">
      <c r="A20" s="4" t="s">
        <v>58</v>
      </c>
      <c r="B20" s="5" t="s">
        <v>59</v>
      </c>
      <c r="C20" s="8">
        <f>$C$3/7</f>
        <v>11.428571428571429</v>
      </c>
      <c r="D20" s="5" t="s">
        <v>60</v>
      </c>
      <c r="E20" s="5" t="s">
        <v>61</v>
      </c>
    </row>
    <row r="21" spans="1:5" ht="18.75" x14ac:dyDescent="0.3">
      <c r="A21" s="4" t="s">
        <v>62</v>
      </c>
      <c r="B21" s="5" t="s">
        <v>63</v>
      </c>
      <c r="C21" s="8">
        <f>(-$C$19+SQRT(POWER($C$19,2)-4*(POWER($C$19,2)-(12*$C$20/PI()/$C$18))))/2</f>
        <v>2.1392414960274397</v>
      </c>
      <c r="D21" s="5" t="s">
        <v>54</v>
      </c>
      <c r="E21" s="5" t="s">
        <v>64</v>
      </c>
    </row>
    <row r="22" spans="1:5" ht="18.75" x14ac:dyDescent="0.3">
      <c r="A22" s="4" t="s">
        <v>65</v>
      </c>
      <c r="B22" s="5" t="s">
        <v>66</v>
      </c>
      <c r="C22" s="8">
        <f>0.33*POWER($C$3,0.4)</f>
        <v>1.9043638757975219</v>
      </c>
      <c r="D22" s="5" t="s">
        <v>54</v>
      </c>
      <c r="E22" s="5" t="s">
        <v>67</v>
      </c>
    </row>
    <row r="23" spans="1:5" x14ac:dyDescent="0.25">
      <c r="A23" s="5" t="s">
        <v>68</v>
      </c>
      <c r="B23" s="5" t="s">
        <v>68</v>
      </c>
      <c r="C23" s="8">
        <f>$C$11*$C$3</f>
        <v>74.074074074074062</v>
      </c>
      <c r="D23" s="5" t="s">
        <v>60</v>
      </c>
      <c r="E23" s="5" t="s">
        <v>69</v>
      </c>
    </row>
    <row r="24" spans="1:5" ht="30" x14ac:dyDescent="0.25">
      <c r="A24" s="5" t="s">
        <v>70</v>
      </c>
      <c r="B24" s="5" t="s">
        <v>71</v>
      </c>
      <c r="C24" s="8">
        <f>($C$23-$C$20)/(PI()*((POWER($C$19,2) + POWER($C$22,2) + $C$19*$C$22)/12) + POWER($C$19,2)/(4*(0.45+0.01*$C$3)))</f>
        <v>4.6184919935040929</v>
      </c>
      <c r="D24" s="5" t="s">
        <v>54</v>
      </c>
      <c r="E24" s="5" t="s">
        <v>72</v>
      </c>
    </row>
    <row r="25" spans="1:5" ht="30" x14ac:dyDescent="0.25">
      <c r="A25" s="5" t="s">
        <v>73</v>
      </c>
      <c r="B25" s="5" t="s">
        <v>74</v>
      </c>
      <c r="C25" s="8">
        <f>$C$24/(0.45+0.001*$C$3)</f>
        <v>8.7141358368001747</v>
      </c>
      <c r="D25" s="5" t="s">
        <v>54</v>
      </c>
      <c r="E25" s="5" t="s">
        <v>75</v>
      </c>
    </row>
    <row r="26" spans="1:5" x14ac:dyDescent="0.25">
      <c r="A26" s="5" t="s">
        <v>76</v>
      </c>
      <c r="B26" s="5" t="s">
        <v>77</v>
      </c>
      <c r="C26" s="8">
        <f>SUM(C18,C24:C25)</f>
        <v>14.51603864171293</v>
      </c>
      <c r="D26" s="5" t="s">
        <v>54</v>
      </c>
      <c r="E26" s="5" t="s">
        <v>78</v>
      </c>
    </row>
    <row r="27" spans="1:5" ht="30" x14ac:dyDescent="0.25">
      <c r="A27" s="5" t="s">
        <v>79</v>
      </c>
      <c r="B27" s="5" t="s">
        <v>80</v>
      </c>
      <c r="C27" s="8">
        <f>0.142*POWER($C$3,1/3)</f>
        <v>0.61185945196905467</v>
      </c>
      <c r="D27" s="5" t="s">
        <v>54</v>
      </c>
      <c r="E27" s="5" t="s">
        <v>81</v>
      </c>
    </row>
    <row r="28" spans="1:5" x14ac:dyDescent="0.25">
      <c r="A28" s="5" t="s">
        <v>82</v>
      </c>
      <c r="B28" s="5" t="s">
        <v>83</v>
      </c>
      <c r="C28" s="8">
        <f>C27+0.125</f>
        <v>0.73685945196905467</v>
      </c>
      <c r="D28" s="5" t="s">
        <v>54</v>
      </c>
      <c r="E28" s="5" t="s">
        <v>84</v>
      </c>
    </row>
    <row r="29" spans="1:5" ht="30" x14ac:dyDescent="0.25">
      <c r="A29" s="5" t="s">
        <v>85</v>
      </c>
      <c r="B29" s="5" t="s">
        <v>86</v>
      </c>
      <c r="C29" s="8">
        <f>$C27-0.15</f>
        <v>0.46185945196905465</v>
      </c>
      <c r="D29" s="5" t="s">
        <v>54</v>
      </c>
      <c r="E29" s="5" t="s">
        <v>87</v>
      </c>
    </row>
    <row r="30" spans="1:5" ht="30" x14ac:dyDescent="0.35">
      <c r="A30" s="6" t="s">
        <v>88</v>
      </c>
      <c r="B30" s="5" t="s">
        <v>89</v>
      </c>
      <c r="C30" s="8">
        <f>0.015*POWER(C3,1/3)</f>
        <v>6.463304070095649E-2</v>
      </c>
      <c r="D30" s="5" t="s">
        <v>54</v>
      </c>
      <c r="E30" s="5" t="s">
        <v>90</v>
      </c>
    </row>
    <row r="31" spans="1:5" x14ac:dyDescent="0.25">
      <c r="A31" s="5" t="s">
        <v>91</v>
      </c>
      <c r="B31" s="5" t="s">
        <v>92</v>
      </c>
      <c r="C31" s="8">
        <f>$C$19+2*$C$27+2*$C$30</f>
        <v>6.0674771231051512</v>
      </c>
      <c r="D31" s="5" t="s">
        <v>54</v>
      </c>
      <c r="E31" s="5" t="s">
        <v>93</v>
      </c>
    </row>
    <row r="32" spans="1:5" x14ac:dyDescent="0.25">
      <c r="A32" s="5" t="s">
        <v>94</v>
      </c>
      <c r="B32" s="5" t="s">
        <v>94</v>
      </c>
      <c r="C32" s="8">
        <f>$C$26+$C$28+$C$30</f>
        <v>15.317531134382941</v>
      </c>
      <c r="D32" s="5" t="s">
        <v>54</v>
      </c>
      <c r="E32" s="5" t="s">
        <v>95</v>
      </c>
    </row>
    <row r="33" spans="1:5" x14ac:dyDescent="0.25">
      <c r="A33" s="5" t="s">
        <v>96</v>
      </c>
      <c r="B33" s="5" t="s">
        <v>97</v>
      </c>
      <c r="C33" s="8">
        <f>0.1+0.00033*$C$3</f>
        <v>0.12640000000000001</v>
      </c>
      <c r="D33" s="5" t="s">
        <v>54</v>
      </c>
      <c r="E33" s="5" t="s">
        <v>98</v>
      </c>
    </row>
  </sheetData>
  <mergeCells count="3">
    <mergeCell ref="A1:E1"/>
    <mergeCell ref="A10:E10"/>
    <mergeCell ref="A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Григорий Федотов</dc:creator>
  <cp:keywords/>
  <dc:description/>
  <cp:lastModifiedBy>Яковлева Анастасия</cp:lastModifiedBy>
  <cp:revision/>
  <dcterms:created xsi:type="dcterms:W3CDTF">2018-11-05T12:33:05Z</dcterms:created>
  <dcterms:modified xsi:type="dcterms:W3CDTF">2019-01-20T20:17:38Z</dcterms:modified>
  <cp:category/>
  <cp:contentStatus/>
</cp:coreProperties>
</file>