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<sst xmlns="http://schemas.openxmlformats.org/spreadsheetml/2006/main" count="83" uniqueCount="51">
  <si>
    <t>Timeline</t>
  </si>
  <si>
    <t>Units</t>
  </si>
  <si>
    <t>TV</t>
  </si>
  <si>
    <t>Valuation date</t>
  </si>
  <si>
    <t>Start of the period</t>
  </si>
  <si>
    <t>End of the period</t>
  </si>
  <si>
    <t>Financial statement forecast</t>
  </si>
  <si>
    <t>P&amp;L items</t>
  </si>
  <si>
    <t>Sales</t>
  </si>
  <si>
    <t>млрд ₽ mln</t>
  </si>
  <si>
    <t>EBITDA</t>
  </si>
  <si>
    <t>EBITDA margin</t>
  </si>
  <si>
    <t>%</t>
  </si>
  <si>
    <t>Depreciation</t>
  </si>
  <si>
    <t>Depreciation as % of Sales</t>
  </si>
  <si>
    <t>EBIT</t>
  </si>
  <si>
    <t>Interest</t>
  </si>
  <si>
    <t>PBT</t>
  </si>
  <si>
    <t>Tax</t>
  </si>
  <si>
    <t>Net income</t>
  </si>
  <si>
    <t>BS and CFS items</t>
  </si>
  <si>
    <t>Capex</t>
  </si>
  <si>
    <t>₽ bn</t>
  </si>
  <si>
    <t>Capex as % of Sales</t>
  </si>
  <si>
    <t>OWC</t>
  </si>
  <si>
    <t>OWC as % of Sales</t>
  </si>
  <si>
    <t>Marginal Tax rate</t>
  </si>
  <si>
    <t>Discounted Cash Flow valuation</t>
  </si>
  <si>
    <t>Free cash flow calculation</t>
  </si>
  <si>
    <t>NOPAT</t>
  </si>
  <si>
    <t>+ Depreciation</t>
  </si>
  <si>
    <t>(Inc) dec in OWC</t>
  </si>
  <si>
    <t xml:space="preserve"> - Capital expenditure</t>
  </si>
  <si>
    <t>Free cash flows</t>
  </si>
  <si>
    <t>WACC calculation</t>
  </si>
  <si>
    <t>min</t>
  </si>
  <si>
    <t>max</t>
  </si>
  <si>
    <t>WACC</t>
  </si>
  <si>
    <t>Terminal value calculation</t>
  </si>
  <si>
    <t>Terminal value</t>
  </si>
  <si>
    <t>growth rate</t>
  </si>
  <si>
    <t>Discounting model</t>
  </si>
  <si>
    <t>Year count</t>
  </si>
  <si>
    <t>Discount factor</t>
  </si>
  <si>
    <t>Share of cash flow</t>
  </si>
  <si>
    <t>Present value of free cash flows</t>
  </si>
  <si>
    <t>Sum of present value of free cash flows</t>
  </si>
  <si>
    <t>Present value of terminal value</t>
  </si>
  <si>
    <t>Enterprise value</t>
  </si>
  <si>
    <t>Implied EV/EBITDA multiple '23</t>
  </si>
  <si>
    <t>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</si>
</sst>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0\A"/>
    <numFmt numFmtId="165" formatCode="0\F"/>
    <numFmt numFmtId="166" formatCode="yyyy\F"/>
    <numFmt numFmtId="167" formatCode="#,##0.0;\(#,##0.0\);\-"/>
    <numFmt numFmtId="168" formatCode="#,##0;\(#,##0\);&quot;-&quot;"/>
    <numFmt numFmtId="169" formatCode="[$-409]d\-mmm\-yy"/>
    <numFmt numFmtId="170" formatCode="#,##0.0_);\(#,##0.0\);\-\-_);@_)"/>
    <numFmt numFmtId="171" formatCode="#,##0.0;\(#,##0.0\);0.0"/>
    <numFmt numFmtId="172" formatCode="#,##0;\(#,##0\);\-"/>
    <numFmt numFmtId="173" formatCode="0.0%"/>
    <numFmt numFmtId="174" formatCode="#,##0.0;[Red]\(#,##0.0\)"/>
    <numFmt numFmtId="175" formatCode="#,##0.0"/>
    <numFmt numFmtId="176" formatCode="#,##0;[Red]\(#,##0\)"/>
    <numFmt numFmtId="177" formatCode="#,##0.0\ \x_);\(#,##0.0\ \x\)"/>
    <numFmt numFmtId="178" formatCode="0.0\x"/>
  </numFmts>
  <fonts count="8">
    <font>
      <sz val="12.0"/>
      <color theme="1"/>
      <name val="Calibri"/>
      <scheme val="minor"/>
    </font>
    <font>
      <b/>
      <sz val="10.0"/>
      <color theme="0"/>
      <name val="Arial"/>
    </font>
    <font>
      <sz val="10.0"/>
      <color theme="1"/>
      <name val="Arial"/>
    </font>
    <font>
      <b/>
      <i/>
      <sz val="10.0"/>
      <color rgb="FF003366"/>
      <name val="Arial"/>
    </font>
    <font>
      <b/>
      <sz val="10.0"/>
      <color theme="1"/>
      <name val="Arial"/>
    </font>
    <font>
      <color theme="1"/>
      <name val="Calibri"/>
      <scheme val="minor"/>
    </font>
    <font>
      <sz val="12.0"/>
      <color theme="1"/>
      <name val="Calibri"/>
    </font>
    <font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F228D"/>
        <bgColor rgb="FF1F228D"/>
      </patternFill>
    </fill>
    <fill>
      <patternFill patternType="solid">
        <fgColor rgb="FFFFFF99"/>
        <bgColor rgb="FFFFFF99"/>
      </patternFill>
    </fill>
  </fills>
  <borders count="6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Border="1" applyFont="1"/>
    <xf borderId="1" fillId="2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right" vertical="center"/>
    </xf>
    <xf borderId="1" fillId="2" fontId="1" numFmtId="165" xfId="0" applyAlignment="1" applyBorder="1" applyFont="1" applyNumberFormat="1">
      <alignment horizontal="right" vertical="center"/>
    </xf>
    <xf borderId="1" fillId="2" fontId="1" numFmtId="166" xfId="0" applyAlignment="1" applyBorder="1" applyFont="1" applyNumberFormat="1">
      <alignment horizontal="right" vertical="center"/>
    </xf>
    <xf borderId="0" fillId="0" fontId="3" numFmtId="0" xfId="0" applyFont="1"/>
    <xf borderId="0" fillId="0" fontId="2" numFmtId="167" xfId="0" applyAlignment="1" applyFont="1" applyNumberFormat="1">
      <alignment horizontal="right"/>
    </xf>
    <xf borderId="0" fillId="0" fontId="2" numFmtId="0" xfId="0" applyFont="1"/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center" vertical="center"/>
    </xf>
    <xf borderId="2" fillId="0" fontId="2" numFmtId="168" xfId="0" applyAlignment="1" applyBorder="1" applyFont="1" applyNumberFormat="1">
      <alignment horizontal="center" vertical="center"/>
    </xf>
    <xf borderId="2" fillId="0" fontId="2" numFmtId="167" xfId="0" applyAlignment="1" applyBorder="1" applyFont="1" applyNumberFormat="1">
      <alignment horizontal="right" vertical="center"/>
    </xf>
    <xf borderId="0" fillId="0" fontId="5" numFmtId="0" xfId="0" applyFont="1"/>
    <xf borderId="3" fillId="0" fontId="6" numFmtId="169" xfId="0" applyBorder="1" applyFont="1" applyNumberFormat="1"/>
    <xf borderId="0" fillId="0" fontId="7" numFmtId="167" xfId="0" applyAlignment="1" applyFont="1" applyNumberFormat="1">
      <alignment horizontal="right"/>
    </xf>
    <xf borderId="3" fillId="0" fontId="7" numFmtId="169" xfId="0" applyBorder="1" applyFont="1" applyNumberFormat="1"/>
    <xf borderId="0" fillId="0" fontId="7" numFmtId="14" xfId="0" applyAlignment="1" applyFont="1" applyNumberFormat="1">
      <alignment horizontal="right" vertical="center"/>
    </xf>
    <xf borderId="0" fillId="0" fontId="6" numFmtId="0" xfId="0" applyAlignment="1" applyFont="1">
      <alignment horizontal="right"/>
    </xf>
    <xf borderId="0" fillId="0" fontId="2" numFmtId="0" xfId="0" applyAlignment="1" applyFont="1">
      <alignment horizontal="right"/>
    </xf>
    <xf borderId="2" fillId="0" fontId="2" numFmtId="168" xfId="0" applyAlignment="1" applyBorder="1" applyFont="1" applyNumberFormat="1">
      <alignment horizontal="right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2" numFmtId="168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3" fillId="0" fontId="7" numFmtId="170" xfId="0" applyAlignment="1" applyBorder="1" applyFont="1" applyNumberFormat="1">
      <alignment horizontal="right"/>
    </xf>
    <xf borderId="3" fillId="3" fontId="7" numFmtId="171" xfId="0" applyAlignment="1" applyBorder="1" applyFill="1" applyFont="1" applyNumberFormat="1">
      <alignment horizontal="right"/>
    </xf>
    <xf borderId="3" fillId="0" fontId="6" numFmtId="167" xfId="0" applyAlignment="1" applyBorder="1" applyFont="1" applyNumberFormat="1">
      <alignment horizontal="right" vertical="center"/>
    </xf>
    <xf borderId="3" fillId="0" fontId="6" numFmtId="172" xfId="0" applyAlignment="1" applyBorder="1" applyFont="1" applyNumberFormat="1">
      <alignment horizontal="right" vertical="center"/>
    </xf>
    <xf borderId="0" fillId="0" fontId="6" numFmtId="0" xfId="0" applyAlignment="1" applyFont="1">
      <alignment horizontal="center"/>
    </xf>
    <xf borderId="3" fillId="0" fontId="7" numFmtId="173" xfId="0" applyAlignment="1" applyBorder="1" applyFont="1" applyNumberFormat="1">
      <alignment horizontal="right"/>
    </xf>
    <xf borderId="4" fillId="3" fontId="7" numFmtId="173" xfId="0" applyAlignment="1" applyBorder="1" applyFont="1" applyNumberFormat="1">
      <alignment horizontal="right"/>
    </xf>
    <xf borderId="5" fillId="0" fontId="6" numFmtId="173" xfId="0" applyAlignment="1" applyBorder="1" applyFont="1" applyNumberFormat="1">
      <alignment horizontal="right"/>
    </xf>
    <xf borderId="3" fillId="0" fontId="6" numFmtId="170" xfId="0" applyAlignment="1" applyBorder="1" applyFont="1" applyNumberFormat="1">
      <alignment horizontal="right"/>
    </xf>
    <xf borderId="3" fillId="3" fontId="7" numFmtId="173" xfId="0" applyAlignment="1" applyBorder="1" applyFont="1" applyNumberFormat="1">
      <alignment horizontal="right"/>
    </xf>
    <xf borderId="3" fillId="0" fontId="6" numFmtId="173" xfId="0" applyAlignment="1" applyBorder="1" applyFont="1" applyNumberFormat="1">
      <alignment horizontal="right" vertical="center"/>
    </xf>
    <xf borderId="0" fillId="0" fontId="6" numFmtId="173" xfId="0" applyAlignment="1" applyFont="1" applyNumberFormat="1">
      <alignment horizontal="right"/>
    </xf>
    <xf borderId="3" fillId="0" fontId="6" numFmtId="174" xfId="0" applyAlignment="1" applyBorder="1" applyFont="1" applyNumberFormat="1">
      <alignment horizontal="right" vertical="center"/>
    </xf>
    <xf borderId="0" fillId="0" fontId="4" numFmtId="0" xfId="0" applyFont="1"/>
    <xf quotePrefix="1" borderId="0" fillId="0" fontId="6" numFmtId="0" xfId="0" applyFont="1"/>
    <xf borderId="0" fillId="0" fontId="4" numFmtId="0" xfId="0" applyAlignment="1" applyFont="1">
      <alignment horizontal="right"/>
    </xf>
    <xf borderId="3" fillId="0" fontId="4" numFmtId="167" xfId="0" applyAlignment="1" applyBorder="1" applyFont="1" applyNumberFormat="1">
      <alignment horizontal="right" vertical="center"/>
    </xf>
    <xf borderId="3" fillId="0" fontId="6" numFmtId="9" xfId="0" applyAlignment="1" applyBorder="1" applyFont="1" applyNumberForma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3" fillId="0" fontId="2" numFmtId="167" xfId="0" applyAlignment="1" applyBorder="1" applyFont="1" applyNumberFormat="1">
      <alignment horizontal="right" vertical="center"/>
    </xf>
    <xf borderId="3" fillId="0" fontId="6" numFmtId="9" xfId="0" applyBorder="1" applyFont="1" applyNumberFormat="1"/>
    <xf borderId="3" fillId="0" fontId="6" numFmtId="175" xfId="0" applyAlignment="1" applyBorder="1" applyFont="1" applyNumberFormat="1">
      <alignment horizontal="right" vertical="center"/>
    </xf>
    <xf borderId="3" fillId="3" fontId="7" numFmtId="9" xfId="0" applyAlignment="1" applyBorder="1" applyFont="1" applyNumberFormat="1">
      <alignment horizontal="right"/>
    </xf>
    <xf borderId="3" fillId="0" fontId="6" numFmtId="176" xfId="0" applyAlignment="1" applyBorder="1" applyFont="1" applyNumberFormat="1">
      <alignment horizontal="right" vertical="center"/>
    </xf>
    <xf borderId="0" fillId="0" fontId="6" numFmtId="176" xfId="0" applyAlignment="1" applyFont="1" applyNumberFormat="1">
      <alignment horizontal="right"/>
    </xf>
    <xf borderId="0" fillId="0" fontId="6" numFmtId="177" xfId="0" applyAlignment="1" applyFont="1" applyNumberFormat="1">
      <alignment horizontal="right"/>
    </xf>
    <xf borderId="3" fillId="0" fontId="6" numFmtId="178" xfId="0" applyAlignment="1" applyBorder="1" applyFont="1" applyNumberFormat="1">
      <alignment horizontal="right" vertical="center"/>
    </xf>
    <xf borderId="2" fillId="0" fontId="6" numFmtId="0" xfId="0" applyBorder="1" applyFont="1"/>
    <xf borderId="2" fillId="0" fontId="6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8.33"/>
  </cols>
  <sheetData>
    <row r="1" ht="15.75" customHeight="1">
      <c r="A1" s="1" t="s">
        <v>0</v>
      </c>
      <c r="B1" s="2"/>
      <c r="C1" s="3" t="s">
        <v>1</v>
      </c>
      <c r="D1" s="3"/>
      <c r="E1" s="4">
        <v>2021.0</v>
      </c>
      <c r="F1" s="4">
        <v>2022.0</v>
      </c>
      <c r="G1" s="5">
        <v>2023.0</v>
      </c>
      <c r="H1" s="5">
        <v>2024.0</v>
      </c>
      <c r="I1" s="5">
        <v>2025.0</v>
      </c>
      <c r="J1" s="5">
        <v>2026.0</v>
      </c>
      <c r="K1" s="5">
        <v>2027.0</v>
      </c>
      <c r="L1" s="5">
        <v>2028.0</v>
      </c>
      <c r="M1" s="5">
        <v>2029.0</v>
      </c>
      <c r="N1" s="5">
        <v>2030.0</v>
      </c>
      <c r="O1" s="5">
        <v>2031.0</v>
      </c>
      <c r="P1" s="5">
        <v>2032.0</v>
      </c>
      <c r="Q1" s="5">
        <v>2033.0</v>
      </c>
      <c r="R1" s="5">
        <v>2034.0</v>
      </c>
      <c r="S1" s="5">
        <v>2035.0</v>
      </c>
      <c r="T1" s="6" t="s">
        <v>2</v>
      </c>
    </row>
    <row r="2" ht="15.75" customHeight="1">
      <c r="A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5.75" customHeight="1">
      <c r="A3" s="9"/>
      <c r="B3" s="10" t="s">
        <v>0</v>
      </c>
      <c r="C3" s="11"/>
      <c r="D3" s="11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ht="15.75" customHeight="1">
      <c r="A4" s="9"/>
      <c r="B4" s="9"/>
      <c r="C4" s="9"/>
      <c r="D4" s="9"/>
      <c r="E4" s="9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15.75" customHeight="1">
      <c r="A5" s="7"/>
      <c r="B5" s="14" t="s">
        <v>3</v>
      </c>
      <c r="F5" s="15">
        <f>G7</f>
        <v>44927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5.75" customHeight="1">
      <c r="A6" s="9"/>
      <c r="B6" s="9"/>
      <c r="C6" s="9"/>
      <c r="D6" s="9"/>
      <c r="E6" s="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75" customHeight="1">
      <c r="A7" s="9"/>
      <c r="B7" s="9" t="s">
        <v>4</v>
      </c>
      <c r="C7" s="9"/>
      <c r="D7" s="9"/>
      <c r="E7" s="17">
        <v>44197.0</v>
      </c>
      <c r="F7" s="17">
        <f t="shared" ref="F7:S7" si="1">E8+1</f>
        <v>44562</v>
      </c>
      <c r="G7" s="17">
        <f t="shared" si="1"/>
        <v>44927</v>
      </c>
      <c r="H7" s="17">
        <f t="shared" si="1"/>
        <v>45292</v>
      </c>
      <c r="I7" s="17">
        <f t="shared" si="1"/>
        <v>45658</v>
      </c>
      <c r="J7" s="17">
        <f t="shared" si="1"/>
        <v>46023</v>
      </c>
      <c r="K7" s="17">
        <f t="shared" si="1"/>
        <v>46388</v>
      </c>
      <c r="L7" s="17">
        <f t="shared" si="1"/>
        <v>46753</v>
      </c>
      <c r="M7" s="17">
        <f t="shared" si="1"/>
        <v>47119</v>
      </c>
      <c r="N7" s="17">
        <f t="shared" si="1"/>
        <v>47484</v>
      </c>
      <c r="O7" s="17">
        <f t="shared" si="1"/>
        <v>47849</v>
      </c>
      <c r="P7" s="17">
        <f t="shared" si="1"/>
        <v>48214</v>
      </c>
      <c r="Q7" s="17">
        <f t="shared" si="1"/>
        <v>48580</v>
      </c>
      <c r="R7" s="17">
        <f t="shared" si="1"/>
        <v>48945</v>
      </c>
      <c r="S7" s="17">
        <f t="shared" si="1"/>
        <v>49310</v>
      </c>
      <c r="T7" s="17"/>
    </row>
    <row r="8" ht="15.75" customHeight="1">
      <c r="A8" s="9"/>
      <c r="B8" s="9" t="s">
        <v>5</v>
      </c>
      <c r="C8" s="9"/>
      <c r="D8" s="9"/>
      <c r="E8" s="15">
        <v>44561.0</v>
      </c>
      <c r="F8" s="15">
        <f t="shared" ref="F8:S8" si="2">EDATE(F7, 12)-1</f>
        <v>44926</v>
      </c>
      <c r="G8" s="15">
        <f t="shared" si="2"/>
        <v>45291</v>
      </c>
      <c r="H8" s="15">
        <f t="shared" si="2"/>
        <v>45657</v>
      </c>
      <c r="I8" s="15">
        <f t="shared" si="2"/>
        <v>46022</v>
      </c>
      <c r="J8" s="15">
        <f t="shared" si="2"/>
        <v>46387</v>
      </c>
      <c r="K8" s="15">
        <f t="shared" si="2"/>
        <v>46752</v>
      </c>
      <c r="L8" s="15">
        <f t="shared" si="2"/>
        <v>47118</v>
      </c>
      <c r="M8" s="15">
        <f t="shared" si="2"/>
        <v>47483</v>
      </c>
      <c r="N8" s="15">
        <f t="shared" si="2"/>
        <v>47848</v>
      </c>
      <c r="O8" s="15">
        <f t="shared" si="2"/>
        <v>48213</v>
      </c>
      <c r="P8" s="15">
        <f t="shared" si="2"/>
        <v>48579</v>
      </c>
      <c r="Q8" s="15">
        <f t="shared" si="2"/>
        <v>48944</v>
      </c>
      <c r="R8" s="15">
        <f t="shared" si="2"/>
        <v>49309</v>
      </c>
      <c r="S8" s="15">
        <f t="shared" si="2"/>
        <v>49674</v>
      </c>
      <c r="T8" s="15"/>
    </row>
    <row r="9" ht="15.75" customHeight="1">
      <c r="A9" s="7"/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ht="15.75" customHeight="1">
      <c r="A10" s="1" t="s">
        <v>6</v>
      </c>
      <c r="B10" s="2"/>
      <c r="C10" s="3" t="s">
        <v>1</v>
      </c>
      <c r="D10" s="3"/>
      <c r="E10" s="4">
        <v>2021.0</v>
      </c>
      <c r="F10" s="4">
        <v>2022.0</v>
      </c>
      <c r="G10" s="5">
        <v>2023.0</v>
      </c>
      <c r="H10" s="5">
        <v>2024.0</v>
      </c>
      <c r="I10" s="5">
        <v>2025.0</v>
      </c>
      <c r="J10" s="5">
        <v>2026.0</v>
      </c>
      <c r="K10" s="5">
        <v>2027.0</v>
      </c>
      <c r="L10" s="5">
        <v>2028.0</v>
      </c>
      <c r="M10" s="5">
        <v>2029.0</v>
      </c>
      <c r="N10" s="5">
        <v>2030.0</v>
      </c>
      <c r="O10" s="5">
        <v>2031.0</v>
      </c>
      <c r="P10" s="5">
        <v>2032.0</v>
      </c>
      <c r="Q10" s="5">
        <v>2033.0</v>
      </c>
      <c r="R10" s="5">
        <v>2034.0</v>
      </c>
      <c r="S10" s="5">
        <v>2035.0</v>
      </c>
      <c r="T10" s="6" t="s">
        <v>2</v>
      </c>
    </row>
    <row r="11" ht="15.75" customHeight="1">
      <c r="A11" s="9"/>
      <c r="B11" s="9"/>
      <c r="C11" s="9"/>
      <c r="D11" s="9"/>
      <c r="E11" s="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15.75" customHeight="1">
      <c r="A12" s="9"/>
      <c r="B12" s="10" t="s">
        <v>7</v>
      </c>
      <c r="C12" s="11"/>
      <c r="D12" s="11"/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ht="15.75" customHeight="1">
      <c r="A13" s="9"/>
      <c r="B13" s="22"/>
      <c r="C13" s="23"/>
      <c r="D13" s="23"/>
      <c r="E13" s="24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ht="15.75" customHeight="1">
      <c r="B14" s="14" t="s">
        <v>8</v>
      </c>
      <c r="C14" s="25" t="s">
        <v>9</v>
      </c>
      <c r="D14" s="25"/>
      <c r="E14" s="26">
        <v>42.7</v>
      </c>
      <c r="F14" s="26">
        <v>64.4</v>
      </c>
      <c r="G14" s="27">
        <f>F14*(1+40%)</f>
        <v>90.16</v>
      </c>
      <c r="H14" s="27">
        <f>G14*(1+35%)</f>
        <v>121.716</v>
      </c>
      <c r="I14" s="27">
        <f>H14*(1+30%)</f>
        <v>158.2308</v>
      </c>
      <c r="J14" s="27">
        <f>I14*(1+25%)</f>
        <v>197.7885</v>
      </c>
      <c r="K14" s="27">
        <f>J14*(1+20%)</f>
        <v>237.3462</v>
      </c>
      <c r="L14" s="27">
        <f>K14*(1+15%)</f>
        <v>272.94813</v>
      </c>
      <c r="M14" s="27">
        <f>L14*(1+10%)</f>
        <v>300.242943</v>
      </c>
      <c r="N14" s="27">
        <f>M14*(1+8.75%)</f>
        <v>326.5142005</v>
      </c>
      <c r="O14" s="27">
        <f>N14*(1+7.5%)</f>
        <v>351.0027656</v>
      </c>
      <c r="P14" s="27">
        <f>O14*(1+6.25%)</f>
        <v>372.9404384</v>
      </c>
      <c r="Q14" s="27">
        <f>P14*(1+6%)</f>
        <v>395.3168647</v>
      </c>
      <c r="R14" s="27">
        <f t="shared" ref="R14:S14" si="3">Q14*(1+4%)</f>
        <v>411.1295393</v>
      </c>
      <c r="S14" s="27">
        <f t="shared" si="3"/>
        <v>427.5747209</v>
      </c>
      <c r="T14" s="28">
        <f>S14*(1+F51)</f>
        <v>444.6777097</v>
      </c>
    </row>
    <row r="15" ht="15.75" customHeight="1">
      <c r="B15" s="14" t="s">
        <v>10</v>
      </c>
      <c r="C15" s="25" t="s">
        <v>9</v>
      </c>
      <c r="D15" s="25"/>
      <c r="E15" s="26">
        <v>19.2</v>
      </c>
      <c r="F15" s="26">
        <v>19.3</v>
      </c>
      <c r="G15" s="29">
        <f t="shared" ref="G15:T15" si="4">G14 * G16</f>
        <v>40.572</v>
      </c>
      <c r="H15" s="29">
        <f t="shared" si="4"/>
        <v>55.98936</v>
      </c>
      <c r="I15" s="29">
        <f t="shared" si="4"/>
        <v>74.368476</v>
      </c>
      <c r="J15" s="29">
        <f t="shared" si="4"/>
        <v>94.93848</v>
      </c>
      <c r="K15" s="29">
        <f t="shared" si="4"/>
        <v>116.299638</v>
      </c>
      <c r="L15" s="29">
        <f t="shared" si="4"/>
        <v>136.474065</v>
      </c>
      <c r="M15" s="29">
        <f t="shared" si="4"/>
        <v>150.1214715</v>
      </c>
      <c r="N15" s="29">
        <f t="shared" si="4"/>
        <v>163.2571003</v>
      </c>
      <c r="O15" s="29">
        <f t="shared" si="4"/>
        <v>175.5013828</v>
      </c>
      <c r="P15" s="29">
        <f t="shared" si="4"/>
        <v>186.4702192</v>
      </c>
      <c r="Q15" s="29">
        <f t="shared" si="4"/>
        <v>197.6584324</v>
      </c>
      <c r="R15" s="29">
        <f t="shared" si="4"/>
        <v>205.5647696</v>
      </c>
      <c r="S15" s="29">
        <f t="shared" si="4"/>
        <v>213.7873604</v>
      </c>
      <c r="T15" s="29">
        <f t="shared" si="4"/>
        <v>222.3388548</v>
      </c>
    </row>
    <row r="16" ht="15.75" customHeight="1">
      <c r="B16" s="14" t="s">
        <v>11</v>
      </c>
      <c r="C16" s="30" t="s">
        <v>12</v>
      </c>
      <c r="D16" s="30"/>
      <c r="E16" s="31">
        <v>0.45</v>
      </c>
      <c r="F16" s="31">
        <v>0.3</v>
      </c>
      <c r="G16" s="32">
        <v>0.45</v>
      </c>
      <c r="H16" s="32">
        <v>0.46</v>
      </c>
      <c r="I16" s="32">
        <v>0.47</v>
      </c>
      <c r="J16" s="32">
        <v>0.48</v>
      </c>
      <c r="K16" s="32">
        <v>0.49</v>
      </c>
      <c r="L16" s="32">
        <v>0.5</v>
      </c>
      <c r="M16" s="32">
        <v>0.5</v>
      </c>
      <c r="N16" s="32">
        <v>0.5</v>
      </c>
      <c r="O16" s="32">
        <v>0.5</v>
      </c>
      <c r="P16" s="32">
        <v>0.5</v>
      </c>
      <c r="Q16" s="32">
        <v>0.5</v>
      </c>
      <c r="R16" s="32">
        <v>0.5</v>
      </c>
      <c r="S16" s="32">
        <v>0.5</v>
      </c>
      <c r="T16" s="33">
        <v>0.5</v>
      </c>
    </row>
    <row r="17" ht="15.75" customHeight="1">
      <c r="B17" s="14" t="s">
        <v>13</v>
      </c>
      <c r="C17" s="25" t="s">
        <v>9</v>
      </c>
      <c r="D17" s="30"/>
      <c r="E17" s="31"/>
      <c r="F17" s="31"/>
      <c r="G17" s="34">
        <f t="shared" ref="G17:T17" si="5">-G14*G18</f>
        <v>-3.6064</v>
      </c>
      <c r="H17" s="34">
        <f t="shared" si="5"/>
        <v>-4.86864</v>
      </c>
      <c r="I17" s="34">
        <f t="shared" si="5"/>
        <v>-6.329232</v>
      </c>
      <c r="J17" s="34">
        <f t="shared" si="5"/>
        <v>-7.91154</v>
      </c>
      <c r="K17" s="34">
        <f t="shared" si="5"/>
        <v>-9.493848</v>
      </c>
      <c r="L17" s="34">
        <f t="shared" si="5"/>
        <v>-10.9179252</v>
      </c>
      <c r="M17" s="34">
        <f t="shared" si="5"/>
        <v>-12.00971772</v>
      </c>
      <c r="N17" s="34">
        <f t="shared" si="5"/>
        <v>-13.06056802</v>
      </c>
      <c r="O17" s="34">
        <f t="shared" si="5"/>
        <v>-14.04011062</v>
      </c>
      <c r="P17" s="34">
        <f t="shared" si="5"/>
        <v>-14.91761754</v>
      </c>
      <c r="Q17" s="34">
        <f t="shared" si="5"/>
        <v>-15.81267459</v>
      </c>
      <c r="R17" s="34">
        <f t="shared" si="5"/>
        <v>-16.44518157</v>
      </c>
      <c r="S17" s="34">
        <f t="shared" si="5"/>
        <v>-17.10298883</v>
      </c>
      <c r="T17" s="34">
        <f t="shared" si="5"/>
        <v>-17.78710839</v>
      </c>
    </row>
    <row r="18" ht="15.75" customHeight="1">
      <c r="B18" s="14" t="s">
        <v>14</v>
      </c>
      <c r="C18" s="30" t="s">
        <v>12</v>
      </c>
      <c r="D18" s="25"/>
      <c r="E18" s="26"/>
      <c r="F18" s="26"/>
      <c r="G18" s="35">
        <v>0.04</v>
      </c>
      <c r="H18" s="35">
        <v>0.04</v>
      </c>
      <c r="I18" s="35">
        <v>0.04</v>
      </c>
      <c r="J18" s="35">
        <v>0.04</v>
      </c>
      <c r="K18" s="35">
        <v>0.04</v>
      </c>
      <c r="L18" s="35">
        <v>0.04</v>
      </c>
      <c r="M18" s="35">
        <v>0.04</v>
      </c>
      <c r="N18" s="35">
        <v>0.04</v>
      </c>
      <c r="O18" s="35">
        <v>0.04</v>
      </c>
      <c r="P18" s="35">
        <v>0.04</v>
      </c>
      <c r="Q18" s="35">
        <v>0.04</v>
      </c>
      <c r="R18" s="35">
        <v>0.04</v>
      </c>
      <c r="S18" s="35">
        <v>0.04</v>
      </c>
      <c r="T18" s="36">
        <f>I18</f>
        <v>0.04</v>
      </c>
    </row>
    <row r="19" ht="15.75" customHeight="1">
      <c r="B19" s="14" t="s">
        <v>15</v>
      </c>
      <c r="C19" s="25" t="s">
        <v>9</v>
      </c>
      <c r="D19" s="25"/>
      <c r="E19" s="26"/>
      <c r="F19" s="26"/>
      <c r="G19" s="28">
        <f t="shared" ref="G19:T19" si="6">G17 + G15</f>
        <v>36.9656</v>
      </c>
      <c r="H19" s="28">
        <f t="shared" si="6"/>
        <v>51.12072</v>
      </c>
      <c r="I19" s="28">
        <f t="shared" si="6"/>
        <v>68.039244</v>
      </c>
      <c r="J19" s="28">
        <f t="shared" si="6"/>
        <v>87.02694</v>
      </c>
      <c r="K19" s="28">
        <f t="shared" si="6"/>
        <v>106.80579</v>
      </c>
      <c r="L19" s="28">
        <f t="shared" si="6"/>
        <v>125.5561398</v>
      </c>
      <c r="M19" s="28">
        <f t="shared" si="6"/>
        <v>138.1117538</v>
      </c>
      <c r="N19" s="28">
        <f t="shared" si="6"/>
        <v>150.1965322</v>
      </c>
      <c r="O19" s="28">
        <f t="shared" si="6"/>
        <v>161.4612722</v>
      </c>
      <c r="P19" s="28">
        <f t="shared" si="6"/>
        <v>171.5526017</v>
      </c>
      <c r="Q19" s="28">
        <f t="shared" si="6"/>
        <v>181.8457578</v>
      </c>
      <c r="R19" s="28">
        <f t="shared" si="6"/>
        <v>189.1195881</v>
      </c>
      <c r="S19" s="28">
        <f t="shared" si="6"/>
        <v>196.6843716</v>
      </c>
      <c r="T19" s="28">
        <f t="shared" si="6"/>
        <v>204.5517465</v>
      </c>
    </row>
    <row r="20" ht="15.75" customHeight="1">
      <c r="B20" s="14" t="s">
        <v>16</v>
      </c>
      <c r="C20" s="25" t="s">
        <v>9</v>
      </c>
      <c r="D20" s="25"/>
      <c r="E20" s="26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8" t="str">
        <f>I20</f>
        <v/>
      </c>
    </row>
    <row r="21" ht="15.75" customHeight="1">
      <c r="B21" s="14" t="s">
        <v>17</v>
      </c>
      <c r="C21" s="25" t="s">
        <v>9</v>
      </c>
      <c r="D21" s="25"/>
      <c r="E21" s="26"/>
      <c r="F21" s="26"/>
      <c r="G21" s="34">
        <f t="shared" ref="G21:I21" si="7">G19+G20</f>
        <v>36.9656</v>
      </c>
      <c r="H21" s="34">
        <f t="shared" si="7"/>
        <v>51.12072</v>
      </c>
      <c r="I21" s="34">
        <f t="shared" si="7"/>
        <v>68.039244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28">
        <f>T19+T20</f>
        <v>204.5517465</v>
      </c>
    </row>
    <row r="22" ht="15.75" customHeight="1">
      <c r="B22" s="14" t="s">
        <v>18</v>
      </c>
      <c r="C22" s="25" t="s">
        <v>9</v>
      </c>
      <c r="D22" s="25"/>
      <c r="E22" s="26"/>
      <c r="F22" s="26"/>
      <c r="G22" s="34">
        <f t="shared" ref="G22:I22" si="8">G21 * G31 * -1</f>
        <v>-7.39312</v>
      </c>
      <c r="H22" s="34">
        <f t="shared" si="8"/>
        <v>-10.224144</v>
      </c>
      <c r="I22" s="34">
        <f t="shared" si="8"/>
        <v>-13.6078488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f>T21 * T31 * -1</f>
        <v>-40.91034929</v>
      </c>
    </row>
    <row r="23" ht="15.75" customHeight="1">
      <c r="B23" s="14" t="s">
        <v>19</v>
      </c>
      <c r="C23" s="25" t="s">
        <v>9</v>
      </c>
      <c r="D23" s="25"/>
      <c r="E23" s="26"/>
      <c r="F23" s="26">
        <v>11.9</v>
      </c>
      <c r="G23" s="34">
        <f t="shared" ref="G23:I23" si="9">G21 + G22</f>
        <v>29.57248</v>
      </c>
      <c r="H23" s="34">
        <f t="shared" si="9"/>
        <v>40.896576</v>
      </c>
      <c r="I23" s="34">
        <f t="shared" si="9"/>
        <v>54.4313952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28">
        <f>T21 + T22</f>
        <v>163.6413972</v>
      </c>
    </row>
    <row r="24" ht="15.75" customHeight="1"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ht="15.75" customHeight="1">
      <c r="A25" s="9"/>
      <c r="B25" s="10" t="s">
        <v>20</v>
      </c>
      <c r="C25" s="11"/>
      <c r="D25" s="11"/>
      <c r="E25" s="1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ht="15.75" customHeight="1"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ht="15.75" customHeight="1">
      <c r="B27" s="14" t="s">
        <v>21</v>
      </c>
      <c r="C27" s="25" t="s">
        <v>22</v>
      </c>
      <c r="D27" s="25"/>
      <c r="F27" s="26">
        <v>3.1</v>
      </c>
      <c r="G27" s="27">
        <f t="shared" ref="G27:T27" si="10">G14*G28</f>
        <v>4.0572</v>
      </c>
      <c r="H27" s="27">
        <f t="shared" si="10"/>
        <v>5.47722</v>
      </c>
      <c r="I27" s="27">
        <f t="shared" si="10"/>
        <v>7.120386</v>
      </c>
      <c r="J27" s="27">
        <f t="shared" si="10"/>
        <v>8.9004825</v>
      </c>
      <c r="K27" s="27">
        <f t="shared" si="10"/>
        <v>10.680579</v>
      </c>
      <c r="L27" s="27">
        <f t="shared" si="10"/>
        <v>12.28266585</v>
      </c>
      <c r="M27" s="27">
        <f t="shared" si="10"/>
        <v>13.21068949</v>
      </c>
      <c r="N27" s="27">
        <f t="shared" si="10"/>
        <v>14.04011062</v>
      </c>
      <c r="O27" s="27">
        <f t="shared" si="10"/>
        <v>14.74211615</v>
      </c>
      <c r="P27" s="27">
        <f t="shared" si="10"/>
        <v>15.29055797</v>
      </c>
      <c r="Q27" s="27">
        <f t="shared" si="10"/>
        <v>15.81267459</v>
      </c>
      <c r="R27" s="27">
        <f t="shared" si="10"/>
        <v>16.44518157</v>
      </c>
      <c r="S27" s="27">
        <f t="shared" si="10"/>
        <v>17.10298883</v>
      </c>
      <c r="T27" s="27">
        <f t="shared" si="10"/>
        <v>20.01049694</v>
      </c>
    </row>
    <row r="28" ht="15.75" customHeight="1">
      <c r="B28" s="14" t="s">
        <v>23</v>
      </c>
      <c r="C28" s="30" t="s">
        <v>12</v>
      </c>
      <c r="D28" s="25"/>
      <c r="F28" s="26"/>
      <c r="G28" s="35">
        <v>0.045</v>
      </c>
      <c r="H28" s="35">
        <v>0.045</v>
      </c>
      <c r="I28" s="35">
        <v>0.045</v>
      </c>
      <c r="J28" s="35">
        <v>0.045</v>
      </c>
      <c r="K28" s="35">
        <v>0.045</v>
      </c>
      <c r="L28" s="35">
        <v>0.045</v>
      </c>
      <c r="M28" s="35">
        <v>0.044</v>
      </c>
      <c r="N28" s="35">
        <v>0.043</v>
      </c>
      <c r="O28" s="35">
        <v>0.042</v>
      </c>
      <c r="P28" s="35">
        <v>0.041</v>
      </c>
      <c r="Q28" s="35">
        <v>0.04</v>
      </c>
      <c r="R28" s="35">
        <v>0.04</v>
      </c>
      <c r="S28" s="35">
        <v>0.04</v>
      </c>
      <c r="T28" s="36">
        <f>I28</f>
        <v>0.045</v>
      </c>
    </row>
    <row r="29" ht="15.75" customHeight="1">
      <c r="B29" s="14" t="s">
        <v>24</v>
      </c>
      <c r="C29" s="25" t="s">
        <v>22</v>
      </c>
      <c r="D29" s="25"/>
      <c r="F29" s="38">
        <f t="shared" ref="F29:S29" si="11">-F30*F14</f>
        <v>-1.932</v>
      </c>
      <c r="G29" s="38">
        <f t="shared" si="11"/>
        <v>-2.7048</v>
      </c>
      <c r="H29" s="38">
        <f t="shared" si="11"/>
        <v>-3.65148</v>
      </c>
      <c r="I29" s="38">
        <f t="shared" si="11"/>
        <v>-4.746924</v>
      </c>
      <c r="J29" s="38">
        <f t="shared" si="11"/>
        <v>-5.933655</v>
      </c>
      <c r="K29" s="38">
        <f t="shared" si="11"/>
        <v>-7.120386</v>
      </c>
      <c r="L29" s="38">
        <f t="shared" si="11"/>
        <v>-8.1884439</v>
      </c>
      <c r="M29" s="38">
        <f t="shared" si="11"/>
        <v>-9.00728829</v>
      </c>
      <c r="N29" s="38">
        <f t="shared" si="11"/>
        <v>-9.795426015</v>
      </c>
      <c r="O29" s="38">
        <f t="shared" si="11"/>
        <v>-10.53008297</v>
      </c>
      <c r="P29" s="38">
        <f t="shared" si="11"/>
        <v>-11.18821315</v>
      </c>
      <c r="Q29" s="38">
        <f t="shared" si="11"/>
        <v>-11.85950594</v>
      </c>
      <c r="R29" s="38">
        <f t="shared" si="11"/>
        <v>-12.33388618</v>
      </c>
      <c r="S29" s="38">
        <f t="shared" si="11"/>
        <v>-12.82724163</v>
      </c>
      <c r="T29" s="38">
        <f>T30*T14</f>
        <v>210.7410065</v>
      </c>
    </row>
    <row r="30" ht="15.75" customHeight="1">
      <c r="B30" s="14" t="s">
        <v>25</v>
      </c>
      <c r="C30" s="30" t="s">
        <v>12</v>
      </c>
      <c r="D30" s="30"/>
      <c r="F30" s="35">
        <v>0.03</v>
      </c>
      <c r="G30" s="35">
        <v>0.03</v>
      </c>
      <c r="H30" s="35">
        <v>0.03</v>
      </c>
      <c r="I30" s="35">
        <v>0.03</v>
      </c>
      <c r="J30" s="35">
        <v>0.03</v>
      </c>
      <c r="K30" s="35">
        <v>0.03</v>
      </c>
      <c r="L30" s="35">
        <v>0.03</v>
      </c>
      <c r="M30" s="35">
        <v>0.03</v>
      </c>
      <c r="N30" s="35">
        <v>0.03</v>
      </c>
      <c r="O30" s="35">
        <v>0.03</v>
      </c>
      <c r="P30" s="35">
        <v>0.03</v>
      </c>
      <c r="Q30" s="35">
        <v>0.03</v>
      </c>
      <c r="R30" s="35">
        <v>0.03</v>
      </c>
      <c r="S30" s="35">
        <v>0.03</v>
      </c>
      <c r="T30" s="35">
        <v>0.473918529997786</v>
      </c>
    </row>
    <row r="31" ht="15.75" customHeight="1">
      <c r="B31" s="14" t="s">
        <v>26</v>
      </c>
      <c r="C31" s="30" t="s">
        <v>12</v>
      </c>
      <c r="D31" s="30"/>
      <c r="F31" s="31">
        <v>0.2</v>
      </c>
      <c r="G31" s="35">
        <v>0.2</v>
      </c>
      <c r="H31" s="35">
        <v>0.2</v>
      </c>
      <c r="I31" s="35">
        <v>0.2</v>
      </c>
      <c r="J31" s="35">
        <v>0.2</v>
      </c>
      <c r="K31" s="35">
        <v>0.2</v>
      </c>
      <c r="L31" s="35">
        <v>0.2</v>
      </c>
      <c r="M31" s="35">
        <v>0.2</v>
      </c>
      <c r="N31" s="35">
        <v>0.2</v>
      </c>
      <c r="O31" s="35">
        <v>0.2</v>
      </c>
      <c r="P31" s="35">
        <v>0.2</v>
      </c>
      <c r="Q31" s="35">
        <v>0.2</v>
      </c>
      <c r="R31" s="35">
        <v>0.2</v>
      </c>
      <c r="S31" s="35">
        <v>0.2</v>
      </c>
      <c r="T31" s="35">
        <v>0.2</v>
      </c>
    </row>
    <row r="32" ht="15.75" customHeight="1"/>
    <row r="33" ht="15.75" customHeight="1">
      <c r="A33" s="1" t="s">
        <v>27</v>
      </c>
      <c r="B33" s="2"/>
      <c r="C33" s="3" t="s">
        <v>1</v>
      </c>
      <c r="D33" s="3"/>
      <c r="E33" s="4">
        <v>2021.0</v>
      </c>
      <c r="F33" s="4">
        <v>2022.0</v>
      </c>
      <c r="G33" s="5">
        <v>2023.0</v>
      </c>
      <c r="H33" s="5">
        <v>2024.0</v>
      </c>
      <c r="I33" s="5">
        <v>2025.0</v>
      </c>
      <c r="J33" s="5">
        <v>2026.0</v>
      </c>
      <c r="K33" s="5">
        <v>2027.0</v>
      </c>
      <c r="L33" s="5">
        <v>2028.0</v>
      </c>
      <c r="M33" s="5">
        <v>2029.0</v>
      </c>
      <c r="N33" s="5">
        <v>2030.0</v>
      </c>
      <c r="O33" s="5">
        <v>2031.0</v>
      </c>
      <c r="P33" s="5">
        <v>2032.0</v>
      </c>
      <c r="Q33" s="5">
        <v>2033.0</v>
      </c>
      <c r="R33" s="5">
        <v>2034.0</v>
      </c>
      <c r="S33" s="5">
        <v>2035.0</v>
      </c>
      <c r="T33" s="6" t="s">
        <v>2</v>
      </c>
    </row>
    <row r="34" ht="15.75" customHeight="1"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ht="15.75" customHeight="1">
      <c r="A35" s="9"/>
      <c r="B35" s="10" t="s">
        <v>28</v>
      </c>
      <c r="C35" s="11"/>
      <c r="D35" s="11"/>
      <c r="E35" s="12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ht="15.75" customHeight="1">
      <c r="B36" s="3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ht="15.75" customHeight="1">
      <c r="B37" s="14" t="s">
        <v>15</v>
      </c>
      <c r="C37" s="25" t="s">
        <v>22</v>
      </c>
      <c r="D37" s="25"/>
      <c r="F37" s="19"/>
      <c r="G37" s="28">
        <f t="shared" ref="G37:T37" si="12">G19</f>
        <v>36.9656</v>
      </c>
      <c r="H37" s="28">
        <f t="shared" si="12"/>
        <v>51.12072</v>
      </c>
      <c r="I37" s="28">
        <f t="shared" si="12"/>
        <v>68.039244</v>
      </c>
      <c r="J37" s="28">
        <f t="shared" si="12"/>
        <v>87.02694</v>
      </c>
      <c r="K37" s="28">
        <f t="shared" si="12"/>
        <v>106.80579</v>
      </c>
      <c r="L37" s="28">
        <f t="shared" si="12"/>
        <v>125.5561398</v>
      </c>
      <c r="M37" s="28">
        <f t="shared" si="12"/>
        <v>138.1117538</v>
      </c>
      <c r="N37" s="28">
        <f t="shared" si="12"/>
        <v>150.1965322</v>
      </c>
      <c r="O37" s="28">
        <f t="shared" si="12"/>
        <v>161.4612722</v>
      </c>
      <c r="P37" s="28">
        <f t="shared" si="12"/>
        <v>171.5526017</v>
      </c>
      <c r="Q37" s="28">
        <f t="shared" si="12"/>
        <v>181.8457578</v>
      </c>
      <c r="R37" s="28">
        <f t="shared" si="12"/>
        <v>189.1195881</v>
      </c>
      <c r="S37" s="28">
        <f t="shared" si="12"/>
        <v>196.6843716</v>
      </c>
      <c r="T37" s="28">
        <f t="shared" si="12"/>
        <v>204.5517465</v>
      </c>
    </row>
    <row r="38" ht="15.75" customHeight="1">
      <c r="B38" s="14" t="s">
        <v>29</v>
      </c>
      <c r="C38" s="25" t="s">
        <v>22</v>
      </c>
      <c r="D38" s="25"/>
      <c r="F38" s="19"/>
      <c r="G38" s="28">
        <f t="shared" ref="G38:T38" si="13">G37*(1-G31)</f>
        <v>29.57248</v>
      </c>
      <c r="H38" s="28">
        <f t="shared" si="13"/>
        <v>40.896576</v>
      </c>
      <c r="I38" s="28">
        <f t="shared" si="13"/>
        <v>54.4313952</v>
      </c>
      <c r="J38" s="28">
        <f t="shared" si="13"/>
        <v>69.621552</v>
      </c>
      <c r="K38" s="28">
        <f t="shared" si="13"/>
        <v>85.444632</v>
      </c>
      <c r="L38" s="28">
        <f t="shared" si="13"/>
        <v>100.4449118</v>
      </c>
      <c r="M38" s="28">
        <f t="shared" si="13"/>
        <v>110.489403</v>
      </c>
      <c r="N38" s="28">
        <f t="shared" si="13"/>
        <v>120.1572258</v>
      </c>
      <c r="O38" s="28">
        <f t="shared" si="13"/>
        <v>129.1690177</v>
      </c>
      <c r="P38" s="28">
        <f t="shared" si="13"/>
        <v>137.2420813</v>
      </c>
      <c r="Q38" s="28">
        <f t="shared" si="13"/>
        <v>145.4766062</v>
      </c>
      <c r="R38" s="28">
        <f t="shared" si="13"/>
        <v>151.2956705</v>
      </c>
      <c r="S38" s="28">
        <f t="shared" si="13"/>
        <v>157.3474973</v>
      </c>
      <c r="T38" s="28">
        <f t="shared" si="13"/>
        <v>163.6413972</v>
      </c>
    </row>
    <row r="39" ht="15.75" customHeight="1">
      <c r="B39" s="40" t="s">
        <v>30</v>
      </c>
      <c r="C39" s="25" t="s">
        <v>22</v>
      </c>
      <c r="D39" s="25"/>
      <c r="F39" s="19"/>
      <c r="G39" s="28">
        <f t="shared" ref="G39:S39" si="14">-G17</f>
        <v>3.6064</v>
      </c>
      <c r="H39" s="28">
        <f t="shared" si="14"/>
        <v>4.86864</v>
      </c>
      <c r="I39" s="28">
        <f t="shared" si="14"/>
        <v>6.329232</v>
      </c>
      <c r="J39" s="28">
        <f t="shared" si="14"/>
        <v>7.91154</v>
      </c>
      <c r="K39" s="28">
        <f t="shared" si="14"/>
        <v>9.493848</v>
      </c>
      <c r="L39" s="28">
        <f t="shared" si="14"/>
        <v>10.9179252</v>
      </c>
      <c r="M39" s="28">
        <f t="shared" si="14"/>
        <v>12.00971772</v>
      </c>
      <c r="N39" s="28">
        <f t="shared" si="14"/>
        <v>13.06056802</v>
      </c>
      <c r="O39" s="28">
        <f t="shared" si="14"/>
        <v>14.04011062</v>
      </c>
      <c r="P39" s="28">
        <f t="shared" si="14"/>
        <v>14.91761754</v>
      </c>
      <c r="Q39" s="28">
        <f t="shared" si="14"/>
        <v>15.81267459</v>
      </c>
      <c r="R39" s="28">
        <f t="shared" si="14"/>
        <v>16.44518157</v>
      </c>
      <c r="S39" s="28">
        <f t="shared" si="14"/>
        <v>17.10298883</v>
      </c>
      <c r="T39" s="28">
        <f>-T18</f>
        <v>-0.04</v>
      </c>
    </row>
    <row r="40" ht="15.75" customHeight="1">
      <c r="B40" s="14" t="s">
        <v>31</v>
      </c>
      <c r="C40" s="25" t="s">
        <v>22</v>
      </c>
      <c r="D40" s="25"/>
      <c r="F40" s="19"/>
      <c r="G40" s="38">
        <f t="shared" ref="G40:S40" si="15">-(F29-G29)</f>
        <v>-0.7728</v>
      </c>
      <c r="H40" s="38">
        <f t="shared" si="15"/>
        <v>-0.94668</v>
      </c>
      <c r="I40" s="38">
        <f t="shared" si="15"/>
        <v>-1.095444</v>
      </c>
      <c r="J40" s="38">
        <f t="shared" si="15"/>
        <v>-1.186731</v>
      </c>
      <c r="K40" s="38">
        <f t="shared" si="15"/>
        <v>-1.186731</v>
      </c>
      <c r="L40" s="38">
        <f t="shared" si="15"/>
        <v>-1.0680579</v>
      </c>
      <c r="M40" s="38">
        <f t="shared" si="15"/>
        <v>-0.81884439</v>
      </c>
      <c r="N40" s="38">
        <f t="shared" si="15"/>
        <v>-0.7881377254</v>
      </c>
      <c r="O40" s="38">
        <f t="shared" si="15"/>
        <v>-0.7346569512</v>
      </c>
      <c r="P40" s="38">
        <f t="shared" si="15"/>
        <v>-0.6581301854</v>
      </c>
      <c r="Q40" s="38">
        <f t="shared" si="15"/>
        <v>-0.6712927891</v>
      </c>
      <c r="R40" s="38">
        <f t="shared" si="15"/>
        <v>-0.4743802376</v>
      </c>
      <c r="S40" s="38">
        <f t="shared" si="15"/>
        <v>-0.4933554471</v>
      </c>
      <c r="T40" s="28"/>
    </row>
    <row r="41" ht="15.75" customHeight="1">
      <c r="B41" s="14" t="s">
        <v>32</v>
      </c>
      <c r="C41" s="25" t="s">
        <v>22</v>
      </c>
      <c r="D41" s="25"/>
      <c r="F41" s="19"/>
      <c r="G41" s="28">
        <f t="shared" ref="G41:T41" si="16">-G27</f>
        <v>-4.0572</v>
      </c>
      <c r="H41" s="28">
        <f t="shared" si="16"/>
        <v>-5.47722</v>
      </c>
      <c r="I41" s="28">
        <f t="shared" si="16"/>
        <v>-7.120386</v>
      </c>
      <c r="J41" s="28">
        <f t="shared" si="16"/>
        <v>-8.9004825</v>
      </c>
      <c r="K41" s="28">
        <f t="shared" si="16"/>
        <v>-10.680579</v>
      </c>
      <c r="L41" s="28">
        <f t="shared" si="16"/>
        <v>-12.28266585</v>
      </c>
      <c r="M41" s="28">
        <f t="shared" si="16"/>
        <v>-13.21068949</v>
      </c>
      <c r="N41" s="28">
        <f t="shared" si="16"/>
        <v>-14.04011062</v>
      </c>
      <c r="O41" s="28">
        <f t="shared" si="16"/>
        <v>-14.74211615</v>
      </c>
      <c r="P41" s="28">
        <f t="shared" si="16"/>
        <v>-15.29055797</v>
      </c>
      <c r="Q41" s="28">
        <f t="shared" si="16"/>
        <v>-15.81267459</v>
      </c>
      <c r="R41" s="28">
        <f t="shared" si="16"/>
        <v>-16.44518157</v>
      </c>
      <c r="S41" s="28">
        <f t="shared" si="16"/>
        <v>-17.10298883</v>
      </c>
      <c r="T41" s="28">
        <f t="shared" si="16"/>
        <v>-20.01049694</v>
      </c>
    </row>
    <row r="42" ht="15.75" customHeight="1">
      <c r="A42" s="39"/>
      <c r="B42" s="39" t="s">
        <v>33</v>
      </c>
      <c r="C42" s="25" t="s">
        <v>22</v>
      </c>
      <c r="D42" s="25"/>
      <c r="E42" s="39"/>
      <c r="F42" s="41"/>
      <c r="G42" s="42">
        <f t="shared" ref="G42:T42" si="17">SUM(G38:G41)</f>
        <v>28.34888</v>
      </c>
      <c r="H42" s="42">
        <f t="shared" si="17"/>
        <v>39.341316</v>
      </c>
      <c r="I42" s="42">
        <f t="shared" si="17"/>
        <v>52.5447972</v>
      </c>
      <c r="J42" s="42">
        <f t="shared" si="17"/>
        <v>67.4458785</v>
      </c>
      <c r="K42" s="42">
        <f t="shared" si="17"/>
        <v>83.07117</v>
      </c>
      <c r="L42" s="42">
        <f t="shared" si="17"/>
        <v>98.01211329</v>
      </c>
      <c r="M42" s="42">
        <f t="shared" si="17"/>
        <v>108.4695869</v>
      </c>
      <c r="N42" s="42">
        <f t="shared" si="17"/>
        <v>118.3895455</v>
      </c>
      <c r="O42" s="42">
        <f t="shared" si="17"/>
        <v>127.7323552</v>
      </c>
      <c r="P42" s="42">
        <f t="shared" si="17"/>
        <v>136.2110107</v>
      </c>
      <c r="Q42" s="42">
        <f t="shared" si="17"/>
        <v>144.8053134</v>
      </c>
      <c r="R42" s="42">
        <f t="shared" si="17"/>
        <v>150.8212902</v>
      </c>
      <c r="S42" s="42">
        <f t="shared" si="17"/>
        <v>156.8541418</v>
      </c>
      <c r="T42" s="42">
        <f t="shared" si="17"/>
        <v>143.5909002</v>
      </c>
    </row>
    <row r="43" ht="15.75" customHeight="1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ht="15.75" customHeight="1">
      <c r="B44" s="10" t="s">
        <v>34</v>
      </c>
      <c r="C44" s="11"/>
      <c r="D44" s="11"/>
      <c r="E44" s="1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ht="15.75" customHeight="1">
      <c r="B45" s="39"/>
      <c r="F45" s="19" t="s">
        <v>35</v>
      </c>
      <c r="G45" s="19"/>
      <c r="H45" s="19" t="s">
        <v>36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ht="15.75" customHeight="1">
      <c r="B46" s="14" t="s">
        <v>37</v>
      </c>
      <c r="C46" s="30" t="s">
        <v>12</v>
      </c>
      <c r="D46" s="30"/>
      <c r="F46" s="36">
        <v>0.13</v>
      </c>
      <c r="G46" s="43">
        <v>0.14</v>
      </c>
      <c r="H46" s="36">
        <v>0.15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ht="15.75" customHeight="1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ht="15.75" customHeight="1">
      <c r="B48" s="10" t="s">
        <v>38</v>
      </c>
      <c r="C48" s="11"/>
      <c r="D48" s="11"/>
      <c r="E48" s="12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ht="15.75" customHeight="1">
      <c r="B49" s="3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ht="15.75" customHeight="1">
      <c r="B50" s="44" t="s">
        <v>39</v>
      </c>
      <c r="C50" s="25" t="s">
        <v>22</v>
      </c>
      <c r="D50" s="45"/>
      <c r="F50" s="46">
        <f>T42/(G46-F51)</f>
        <v>1435.909002</v>
      </c>
    </row>
    <row r="51" ht="15.75" customHeight="1">
      <c r="B51" s="44" t="s">
        <v>40</v>
      </c>
      <c r="F51" s="47">
        <v>0.04</v>
      </c>
    </row>
    <row r="52" ht="15.75" customHeight="1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ht="15.75" customHeight="1">
      <c r="B53" s="10" t="s">
        <v>41</v>
      </c>
      <c r="C53" s="11"/>
      <c r="D53" s="11"/>
      <c r="E53" s="12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ht="15.75" customHeight="1">
      <c r="B54" s="3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ht="15.75" customHeight="1">
      <c r="B55" s="14" t="s">
        <v>42</v>
      </c>
      <c r="F55" s="19"/>
      <c r="G55" s="48">
        <f>(F8 - F5) / 365</f>
        <v>-0.002739726027</v>
      </c>
      <c r="H55" s="48">
        <f t="shared" ref="H55:S55" si="18">G55+1</f>
        <v>0.997260274</v>
      </c>
      <c r="I55" s="48">
        <f t="shared" si="18"/>
        <v>1.997260274</v>
      </c>
      <c r="J55" s="48">
        <f t="shared" si="18"/>
        <v>2.997260274</v>
      </c>
      <c r="K55" s="48">
        <f t="shared" si="18"/>
        <v>3.997260274</v>
      </c>
      <c r="L55" s="48">
        <f t="shared" si="18"/>
        <v>4.997260274</v>
      </c>
      <c r="M55" s="48">
        <f t="shared" si="18"/>
        <v>5.997260274</v>
      </c>
      <c r="N55" s="48">
        <f t="shared" si="18"/>
        <v>6.997260274</v>
      </c>
      <c r="O55" s="48">
        <f t="shared" si="18"/>
        <v>7.997260274</v>
      </c>
      <c r="P55" s="48">
        <f t="shared" si="18"/>
        <v>8.997260274</v>
      </c>
      <c r="Q55" s="48">
        <f t="shared" si="18"/>
        <v>9.997260274</v>
      </c>
      <c r="R55" s="48">
        <f t="shared" si="18"/>
        <v>10.99726027</v>
      </c>
      <c r="S55" s="48">
        <f t="shared" si="18"/>
        <v>11.99726027</v>
      </c>
      <c r="T55" s="48">
        <f>S55</f>
        <v>11.99726027</v>
      </c>
    </row>
    <row r="56" ht="15.75" customHeight="1">
      <c r="B56" s="14" t="s">
        <v>43</v>
      </c>
      <c r="F56" s="19"/>
      <c r="G56" s="48">
        <f t="shared" ref="G56:T56" si="19">1/((1+$G$46)^G55)</f>
        <v>1.000359046</v>
      </c>
      <c r="H56" s="48">
        <f t="shared" si="19"/>
        <v>0.8775079351</v>
      </c>
      <c r="I56" s="48">
        <f t="shared" si="19"/>
        <v>0.7697438027</v>
      </c>
      <c r="J56" s="48">
        <f t="shared" si="19"/>
        <v>0.675213862</v>
      </c>
      <c r="K56" s="48">
        <f t="shared" si="19"/>
        <v>0.5922928614</v>
      </c>
      <c r="L56" s="48">
        <f t="shared" si="19"/>
        <v>0.5195551416</v>
      </c>
      <c r="M56" s="48">
        <f t="shared" si="19"/>
        <v>0.4557501242</v>
      </c>
      <c r="N56" s="48">
        <f t="shared" si="19"/>
        <v>0.3997808107</v>
      </c>
      <c r="O56" s="48">
        <f t="shared" si="19"/>
        <v>0.3506849217</v>
      </c>
      <c r="P56" s="48">
        <f t="shared" si="19"/>
        <v>0.3076183523</v>
      </c>
      <c r="Q56" s="48">
        <f t="shared" si="19"/>
        <v>0.2698406599</v>
      </c>
      <c r="R56" s="48">
        <f t="shared" si="19"/>
        <v>0.2367023333</v>
      </c>
      <c r="S56" s="48">
        <f t="shared" si="19"/>
        <v>0.2076336257</v>
      </c>
      <c r="T56" s="48">
        <f t="shared" si="19"/>
        <v>0.2076336257</v>
      </c>
    </row>
    <row r="57" ht="15.75" customHeight="1">
      <c r="B57" s="14" t="s">
        <v>44</v>
      </c>
      <c r="F57" s="19"/>
      <c r="G57" s="48">
        <f>(F8 - F5) / 365</f>
        <v>-0.002739726027</v>
      </c>
      <c r="H57" s="49">
        <v>1.0</v>
      </c>
      <c r="I57" s="49">
        <v>1.0</v>
      </c>
      <c r="J57" s="49">
        <v>1.0</v>
      </c>
      <c r="K57" s="49">
        <v>1.0</v>
      </c>
      <c r="L57" s="49">
        <v>1.0</v>
      </c>
      <c r="M57" s="49">
        <v>1.0</v>
      </c>
      <c r="N57" s="49">
        <v>1.0</v>
      </c>
      <c r="O57" s="49">
        <v>1.0</v>
      </c>
      <c r="P57" s="49">
        <v>1.0</v>
      </c>
      <c r="Q57" s="49">
        <v>1.0</v>
      </c>
      <c r="R57" s="49">
        <v>1.0</v>
      </c>
      <c r="S57" s="49">
        <v>1.0</v>
      </c>
      <c r="T57" s="49">
        <v>1.0</v>
      </c>
    </row>
    <row r="58" ht="15.75" customHeight="1">
      <c r="B58" s="14" t="s">
        <v>45</v>
      </c>
      <c r="C58" s="25" t="s">
        <v>22</v>
      </c>
      <c r="D58" s="25"/>
      <c r="F58" s="19"/>
      <c r="G58" s="46">
        <f t="shared" ref="G58:S58" si="20">G42*G56 * G57</f>
        <v>-0.07769605083</v>
      </c>
      <c r="H58" s="50">
        <f t="shared" si="20"/>
        <v>34.52231697</v>
      </c>
      <c r="I58" s="50">
        <f t="shared" si="20"/>
        <v>40.44603201</v>
      </c>
      <c r="J58" s="50">
        <f t="shared" si="20"/>
        <v>45.5403921</v>
      </c>
      <c r="K58" s="50">
        <f t="shared" si="20"/>
        <v>49.20246098</v>
      </c>
      <c r="L58" s="50">
        <f t="shared" si="20"/>
        <v>50.9226974</v>
      </c>
      <c r="M58" s="50">
        <f t="shared" si="20"/>
        <v>49.43502768</v>
      </c>
      <c r="N58" s="50">
        <f t="shared" si="20"/>
        <v>47.32986846</v>
      </c>
      <c r="O58" s="50">
        <f t="shared" si="20"/>
        <v>44.79381099</v>
      </c>
      <c r="P58" s="50">
        <f t="shared" si="20"/>
        <v>41.90100668</v>
      </c>
      <c r="Q58" s="50">
        <f t="shared" si="20"/>
        <v>39.07436134</v>
      </c>
      <c r="R58" s="50">
        <f t="shared" si="20"/>
        <v>35.69975131</v>
      </c>
      <c r="S58" s="50">
        <f t="shared" si="20"/>
        <v>32.56819417</v>
      </c>
      <c r="T58" s="50"/>
    </row>
    <row r="59" ht="15.75" customHeight="1">
      <c r="F59" s="1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19"/>
    </row>
    <row r="60" ht="15.75" customHeight="1">
      <c r="B60" s="14" t="s">
        <v>46</v>
      </c>
      <c r="C60" s="25" t="s">
        <v>22</v>
      </c>
      <c r="D60" s="25"/>
      <c r="F60" s="19"/>
      <c r="G60" s="50">
        <f>SUM(G58:S58)</f>
        <v>511.358224</v>
      </c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19"/>
    </row>
    <row r="61" ht="15.75" customHeight="1">
      <c r="B61" s="14" t="s">
        <v>47</v>
      </c>
      <c r="C61" s="25" t="s">
        <v>22</v>
      </c>
      <c r="D61" s="25"/>
      <c r="F61" s="19"/>
      <c r="G61" s="50">
        <f>T56*F50</f>
        <v>298.1429923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19"/>
    </row>
    <row r="62" ht="15.75" customHeight="1">
      <c r="B62" s="14" t="s">
        <v>48</v>
      </c>
      <c r="C62" s="25" t="s">
        <v>22</v>
      </c>
      <c r="D62" s="25"/>
      <c r="F62" s="19"/>
      <c r="G62" s="50">
        <f>SUM(G60:G61)</f>
        <v>809.5012164</v>
      </c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19"/>
    </row>
    <row r="63" ht="15.75" customHeight="1">
      <c r="F63" s="19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19"/>
    </row>
    <row r="64" ht="15.75" customHeight="1">
      <c r="B64" s="14" t="s">
        <v>48</v>
      </c>
      <c r="C64" s="25" t="s">
        <v>22</v>
      </c>
      <c r="D64" s="25"/>
      <c r="F64" s="19"/>
      <c r="G64" s="50">
        <f>G62</f>
        <v>809.5012164</v>
      </c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19"/>
    </row>
    <row r="65" ht="15.75" customHeight="1">
      <c r="B65" s="14" t="s">
        <v>49</v>
      </c>
      <c r="C65" s="25" t="s">
        <v>50</v>
      </c>
      <c r="D65" s="25"/>
      <c r="F65" s="52"/>
      <c r="G65" s="53">
        <f>G64/G15</f>
        <v>19.95221375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ht="15.75" customHeight="1">
      <c r="A66" s="54"/>
      <c r="B66" s="54"/>
      <c r="C66" s="54"/>
      <c r="D66" s="54"/>
      <c r="E66" s="54"/>
      <c r="F66" s="55"/>
      <c r="G66" s="55"/>
      <c r="H66" s="55"/>
      <c r="I66" s="5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ht="15.75" customHeight="1">
      <c r="A67" s="7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