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ЭтаКнига" defaultThemeVersion="124226"/>
  <xr:revisionPtr revIDLastSave="0" documentId="13_ncr:1_{CE08886D-A582-4B13-AB7B-BD68D78F7D4E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Фланец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AD8" i="4" l="1"/>
  <c r="AD7" i="4"/>
  <c r="AC8" i="4"/>
  <c r="AJ17" i="4" l="1"/>
  <c r="AC7" i="4" l="1"/>
  <c r="AI23" i="4" l="1"/>
  <c r="AH16" i="4"/>
  <c r="AH17" i="4" s="1"/>
  <c r="T19" i="4"/>
  <c r="T20" i="4"/>
  <c r="T21" i="4"/>
  <c r="T22" i="4"/>
  <c r="T23" i="4"/>
  <c r="T24" i="4"/>
  <c r="T25" i="4"/>
  <c r="T18" i="4"/>
  <c r="W3" i="4"/>
  <c r="E44" i="4" s="1"/>
  <c r="AH3" i="4"/>
  <c r="AH4" i="4" s="1"/>
  <c r="C57" i="4" s="1"/>
  <c r="U4" i="4"/>
  <c r="AH19" i="4" l="1"/>
  <c r="AH25" i="4" s="1"/>
  <c r="AH18" i="4"/>
  <c r="E43" i="4"/>
  <c r="E46" i="4"/>
  <c r="E47" i="4"/>
  <c r="E48" i="4"/>
  <c r="E49" i="4"/>
  <c r="E45" i="4"/>
  <c r="F17" i="4"/>
  <c r="U41" i="4" s="1"/>
  <c r="N55" i="4"/>
  <c r="M55" i="4"/>
  <c r="C49" i="4"/>
  <c r="C48" i="4"/>
  <c r="C47" i="4"/>
  <c r="C43" i="4"/>
  <c r="E20" i="4"/>
  <c r="H4" i="4"/>
  <c r="J3" i="4" s="1"/>
  <c r="A6" i="4"/>
  <c r="A8" i="4" s="1"/>
  <c r="AA18" i="4" l="1"/>
  <c r="I3" i="4"/>
  <c r="AH24" i="4" l="1"/>
  <c r="AH26" i="4" s="1"/>
  <c r="A11" i="4" s="1"/>
  <c r="A14" i="4" s="1"/>
  <c r="E21" i="4" l="1"/>
  <c r="E22" i="4" s="1"/>
  <c r="I33" i="4" s="1"/>
  <c r="C55" i="4"/>
  <c r="I31" i="4" l="1"/>
  <c r="I32" i="4"/>
  <c r="I34" i="4"/>
  <c r="J34" i="4" s="1"/>
  <c r="I29" i="4"/>
  <c r="J29" i="4" s="1"/>
  <c r="I30" i="4"/>
  <c r="J30" i="4" s="1"/>
  <c r="I27" i="4"/>
  <c r="J27" i="4" s="1"/>
  <c r="I28" i="4"/>
  <c r="J28" i="4" s="1"/>
  <c r="I25" i="4"/>
  <c r="J25" i="4" s="1"/>
  <c r="I26" i="4"/>
  <c r="J26" i="4" s="1"/>
  <c r="I23" i="4"/>
  <c r="J23" i="4" s="1"/>
  <c r="I24" i="4"/>
  <c r="J24" i="4" s="1"/>
  <c r="I21" i="4"/>
  <c r="J21" i="4" s="1"/>
  <c r="I22" i="4"/>
  <c r="J22" i="4" s="1"/>
  <c r="I19" i="4"/>
  <c r="J19" i="4" s="1"/>
  <c r="I20" i="4"/>
  <c r="J20" i="4" s="1"/>
  <c r="J32" i="4"/>
  <c r="J31" i="4"/>
  <c r="J33" i="4"/>
  <c r="I35" i="4" l="1"/>
  <c r="J35" i="4" s="1"/>
  <c r="I36" i="4" l="1"/>
  <c r="J36" i="4" s="1"/>
  <c r="I37" i="4" l="1"/>
  <c r="J37" i="4" s="1"/>
  <c r="I38" i="4" l="1"/>
  <c r="J38" i="4" l="1"/>
  <c r="I39" i="4"/>
  <c r="J39" i="4" l="1"/>
  <c r="I40" i="4"/>
  <c r="I41" i="4" l="1"/>
  <c r="J40" i="4"/>
  <c r="J41" i="4" l="1"/>
  <c r="I42" i="4"/>
  <c r="I43" i="4" l="1"/>
  <c r="J42" i="4"/>
  <c r="J43" i="4" l="1"/>
  <c r="I44" i="4"/>
  <c r="I45" i="4" l="1"/>
  <c r="J44" i="4"/>
  <c r="J45" i="4" l="1"/>
  <c r="I46" i="4"/>
  <c r="J46" i="4" s="1"/>
  <c r="I47" i="4" l="1"/>
  <c r="J47" i="4" l="1"/>
  <c r="I48" i="4"/>
  <c r="I49" i="4" l="1"/>
  <c r="J48" i="4"/>
  <c r="J49" i="4" l="1"/>
  <c r="I50" i="4"/>
  <c r="J50" i="4" l="1"/>
  <c r="I51" i="4"/>
  <c r="J51" i="4" l="1"/>
  <c r="I52" i="4"/>
  <c r="J52" i="4" l="1"/>
  <c r="I53" i="4"/>
  <c r="J53" i="4" l="1"/>
  <c r="I54" i="4"/>
  <c r="H55" i="4"/>
  <c r="J54" i="4" l="1"/>
  <c r="J55" i="4" s="1"/>
  <c r="L54" i="4" s="1"/>
  <c r="L46" i="4" l="1"/>
  <c r="L23" i="4"/>
  <c r="L19" i="4"/>
  <c r="L21" i="4"/>
  <c r="L33" i="4"/>
  <c r="L34" i="4"/>
  <c r="L24" i="4"/>
  <c r="L26" i="4"/>
  <c r="L28" i="4"/>
  <c r="L35" i="4"/>
  <c r="L25" i="4"/>
  <c r="L29" i="4"/>
  <c r="L37" i="4"/>
  <c r="L36" i="4"/>
  <c r="L32" i="4"/>
  <c r="L27" i="4"/>
  <c r="L31" i="4"/>
  <c r="L20" i="4"/>
  <c r="L30" i="4"/>
  <c r="L22" i="4"/>
  <c r="L38" i="4"/>
  <c r="L39" i="4"/>
  <c r="L40" i="4"/>
  <c r="L41" i="4"/>
  <c r="L42" i="4"/>
  <c r="L43" i="4"/>
  <c r="L44" i="4"/>
  <c r="L45" i="4"/>
  <c r="L47" i="4"/>
  <c r="L48" i="4"/>
  <c r="L49" i="4"/>
  <c r="L50" i="4"/>
  <c r="L51" i="4"/>
  <c r="L52" i="4"/>
  <c r="L53" i="4"/>
  <c r="L55" i="4" l="1"/>
  <c r="E38" i="4" l="1"/>
  <c r="E39" i="4"/>
  <c r="F48" i="4" l="1"/>
  <c r="F46" i="4"/>
  <c r="F49" i="4"/>
  <c r="F45" i="4"/>
  <c r="F44" i="4"/>
  <c r="F43" i="4"/>
  <c r="F47" i="4"/>
  <c r="T41" i="4"/>
  <c r="D45" i="4"/>
  <c r="D48" i="4"/>
  <c r="D44" i="4"/>
  <c r="D46" i="4"/>
  <c r="D43" i="4"/>
  <c r="D47" i="4"/>
  <c r="D49" i="4"/>
</calcChain>
</file>

<file path=xl/sharedStrings.xml><?xml version="1.0" encoding="utf-8"?>
<sst xmlns="http://schemas.openxmlformats.org/spreadsheetml/2006/main" count="144" uniqueCount="101">
  <si>
    <t>N</t>
  </si>
  <si>
    <t>кН</t>
  </si>
  <si>
    <t>кНм</t>
  </si>
  <si>
    <t>м</t>
  </si>
  <si>
    <t>М36</t>
  </si>
  <si>
    <t>М42</t>
  </si>
  <si>
    <t>М30</t>
  </si>
  <si>
    <t>d</t>
  </si>
  <si>
    <t>М24</t>
  </si>
  <si>
    <t>М48</t>
  </si>
  <si>
    <t>М52</t>
  </si>
  <si>
    <t>М56</t>
  </si>
  <si>
    <t>Болт</t>
  </si>
  <si>
    <t>Размер под ключ, мм
(ГОСТ 24671-84)</t>
  </si>
  <si>
    <t>Расстояние до стенки М, мм (ГОСТ 13682-80)</t>
  </si>
  <si>
    <t>Диаметр отверстия, мм (ГОСТ 11284-75)</t>
  </si>
  <si>
    <t>Диаметр вписанной в 12-гранник окружности ("под ключ"), мм</t>
  </si>
  <si>
    <t>М20</t>
  </si>
  <si>
    <t>Сторона 12-гранника, мм</t>
  </si>
  <si>
    <t>Диаметр описанной вокруг 12-гранника окружности, мм</t>
  </si>
  <si>
    <t>Диаметр окружности болтов, мм (от "угла" опоры принимается расстояние для ключа М)</t>
  </si>
  <si>
    <t>Диаметр фланца ("под ключ"), мм</t>
  </si>
  <si>
    <t>Болт,М</t>
  </si>
  <si>
    <t>Момент</t>
  </si>
  <si>
    <t>М</t>
  </si>
  <si>
    <t>Bar #</t>
  </si>
  <si>
    <t>Ybolt</t>
  </si>
  <si>
    <t>Ybolt^2</t>
  </si>
  <si>
    <t>nAbolt</t>
  </si>
  <si>
    <t>Вертикальная сила</t>
  </si>
  <si>
    <t>Эксцентриситет</t>
  </si>
  <si>
    <t>е</t>
  </si>
  <si>
    <t>Диаметр установки болтов</t>
  </si>
  <si>
    <t>Радиус установки болтов</t>
  </si>
  <si>
    <t>r</t>
  </si>
  <si>
    <t>Кол-во болтов</t>
  </si>
  <si>
    <t>Усилие в болте (сжатие)</t>
  </si>
  <si>
    <t>Усилие в болте (отрыв)</t>
  </si>
  <si>
    <t>Диаметр</t>
  </si>
  <si>
    <t>P max</t>
  </si>
  <si>
    <t>Коэф. исп.</t>
  </si>
  <si>
    <t>Класс 8.8</t>
  </si>
  <si>
    <t>Диаметр "под ключ"</t>
  </si>
  <si>
    <t>Класс прочности болтов</t>
  </si>
  <si>
    <t>10.9</t>
  </si>
  <si>
    <t>5.6</t>
  </si>
  <si>
    <t>8.8</t>
  </si>
  <si>
    <t>Год СП 16.13330</t>
  </si>
  <si>
    <t>Расчетное значение сопротивления</t>
  </si>
  <si>
    <t>Площадь сечения болта Ab, см2
(табл. Г.9)</t>
  </si>
  <si>
    <t>было</t>
  </si>
  <si>
    <t>стало</t>
  </si>
  <si>
    <t>(пока просто для информации)</t>
  </si>
  <si>
    <t>Rba
СП 16.13330.2017 (и 2011)
таблица Г.7
для 09Г2С</t>
  </si>
  <si>
    <t>Rbh
СП 16.13330.2011 (в 2017 нет)
таблица Г.7
для 40Х</t>
  </si>
  <si>
    <t>Величина</t>
  </si>
  <si>
    <t>Значение</t>
  </si>
  <si>
    <t>Комментарий</t>
  </si>
  <si>
    <t>Наименование</t>
  </si>
  <si>
    <t>H</t>
  </si>
  <si>
    <t>m1</t>
  </si>
  <si>
    <t>m2</t>
  </si>
  <si>
    <t>Диаметр болта</t>
  </si>
  <si>
    <t>диаметр выбранного болта</t>
  </si>
  <si>
    <t>Минимальная глубина заделки болтов в бетон</t>
  </si>
  <si>
    <t>для бетона класса В 12,5 (СП 43.13330.2012)
Принимаем 30d</t>
  </si>
  <si>
    <t>Коэффициент</t>
  </si>
  <si>
    <t>"отношение расчетного сопротивления растяжению металла болтов
принятой марки стали к расчетному сопротивлению стали марки ВСт3кп2"
Принимаем равным 1,0.</t>
  </si>
  <si>
    <t>"отношение расчетного сопротивления растяжению бетона класса
В12,5 к расчетному сопротивлению бетона принятого класса."
Принимаем равным 1,0.</t>
  </si>
  <si>
    <t>Минимальная глубина заделки болтов, мм</t>
  </si>
  <si>
    <t>Диаметр окружности болтов, мм</t>
  </si>
  <si>
    <t>Необходимая площадь сечения болта, см2</t>
  </si>
  <si>
    <t>Диаметр отверстия</t>
  </si>
  <si>
    <t>Для чертежа закладных:</t>
  </si>
  <si>
    <t>Размер Х в сборке (анкерная плита)</t>
  </si>
  <si>
    <t>Размер У в сборке (кондуктор)</t>
  </si>
  <si>
    <t>БЫЛО:</t>
  </si>
  <si>
    <t>изм.27.05.2022</t>
  </si>
  <si>
    <t>12.08.2022:</t>
  </si>
  <si>
    <t>Принимаемая толщина анкерной плиты, мм</t>
  </si>
  <si>
    <t>Дополнения от 09.09.2022:</t>
  </si>
  <si>
    <t>Принимаемая конструкция болта</t>
  </si>
  <si>
    <t>Пункт Г.20. Расстояния между болтами, а также от оси болтов до грани фундамента допускается уменьшать на 2d при соответствующем увеличении глубины заделки болта на 5d</t>
  </si>
  <si>
    <t>Наименьшее расстояние между болтами, d</t>
  </si>
  <si>
    <t>Наименьшее расстояние между болтами с учетом увеличения глубины заделки болта, d</t>
  </si>
  <si>
    <t>Тогда минимальная глубина заделки болтов в бетон будет:</t>
  </si>
  <si>
    <t>Минимальный диаметр окружности расположения болтов во фланце для анкерных деталей (с учетом min расстояния между болтами по СП 43), мм</t>
  </si>
  <si>
    <t>уменьшаем на 2d, увеличивая глубину заделки на 5d</t>
  </si>
  <si>
    <t>формула скопирована из ячейки А11</t>
  </si>
  <si>
    <t>значение скопировано из ячейки AH19</t>
  </si>
  <si>
    <t>Принятый в расчет диаметр окружности болтов, в зависимости от типа фундамента, мм</t>
  </si>
  <si>
    <t>В ЯЧЕЙКУ А11 ЗАНЕСТИ ЭТО ЗНАЧЕНИЕ</t>
  </si>
  <si>
    <t>Тип анкерной закладной детали</t>
  </si>
  <si>
    <t>Диаметр окружности болтов ("компактная" закладная =" свая")</t>
  </si>
  <si>
    <t>Диаметр окружности болтов (закладные по СП 43)</t>
  </si>
  <si>
    <t>Принятая толщина анкерной плиты</t>
  </si>
  <si>
    <t>p max</t>
  </si>
  <si>
    <t>с отгибом (Г-образные)</t>
  </si>
  <si>
    <t>с анкерной плитой (глухой)</t>
  </si>
  <si>
    <t>Свая-оболочка/Компактная закладная</t>
  </si>
  <si>
    <t>Анкерная закладная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</si>
</sst>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2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165" fontId="1" fillId="5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1" fillId="5" borderId="17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2" xfId="0" applyFill="1" applyBorder="1"/>
    <xf numFmtId="0" fontId="0" fillId="4" borderId="15" xfId="0" applyFill="1" applyBorder="1"/>
    <xf numFmtId="2" fontId="0" fillId="0" borderId="16" xfId="0" applyNumberFormat="1" applyBorder="1"/>
    <xf numFmtId="165" fontId="0" fillId="5" borderId="16" xfId="0" applyNumberFormat="1" applyFill="1" applyBorder="1"/>
    <xf numFmtId="1" fontId="0" fillId="5" borderId="16" xfId="0" applyNumberFormat="1" applyFill="1" applyBorder="1"/>
    <xf numFmtId="0" fontId="0" fillId="0" borderId="18" xfId="0" applyBorder="1" applyAlignment="1">
      <alignment horizontal="center" vertical="center"/>
    </xf>
    <xf numFmtId="165" fontId="0" fillId="0" borderId="0" xfId="0" applyNumberFormat="1"/>
    <xf numFmtId="0" fontId="2" fillId="0" borderId="0" xfId="0" applyFont="1"/>
    <xf numFmtId="0" fontId="0" fillId="2" borderId="7" xfId="0" applyFill="1" applyBorder="1" applyAlignment="1" applyProtection="1">
      <alignment horizontal="center" vertical="center"/>
      <protection locked="0"/>
    </xf>
    <xf numFmtId="0" fontId="3" fillId="2" borderId="0" xfId="0" applyFont="1" applyFill="1"/>
    <xf numFmtId="0" fontId="3" fillId="2" borderId="11" xfId="0" applyFont="1" applyFill="1" applyBorder="1"/>
    <xf numFmtId="1" fontId="3" fillId="8" borderId="0" xfId="0" applyNumberFormat="1" applyFont="1" applyFill="1"/>
    <xf numFmtId="0" fontId="0" fillId="9" borderId="1" xfId="0" applyFill="1" applyBorder="1"/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8" borderId="19" xfId="0" applyFont="1" applyFill="1" applyBorder="1"/>
    <xf numFmtId="0" fontId="0" fillId="8" borderId="5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9" xfId="0" applyBorder="1"/>
    <xf numFmtId="1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12" borderId="28" xfId="0" applyFill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49" fontId="0" fillId="0" borderId="1" xfId="0" quotePrefix="1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0" borderId="20" xfId="0" applyFill="1" applyBorder="1" applyAlignment="1">
      <alignment horizont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4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517070</xdr:colOff>
      <xdr:row>10</xdr:row>
      <xdr:rowOff>68037</xdr:rowOff>
    </xdr:from>
    <xdr:to>
      <xdr:col>57</xdr:col>
      <xdr:colOff>530582</xdr:colOff>
      <xdr:row>39</xdr:row>
      <xdr:rowOff>553333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486FE7-3D2D-8E00-E417-40E61949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49" y="4435930"/>
          <a:ext cx="11647619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57"/>
  <sheetViews>
    <sheetView tabSelected="1" zoomScale="70" zoomScaleNormal="70" workbookViewId="0">
      <selection activeCell="J9" sqref="J9"/>
    </sheetView>
  </sheetViews>
  <sheetFormatPr defaultRowHeight="14.4" x14ac:dyDescent="0.3"/>
  <cols>
    <col min="1" max="1" width="9.5546875" bestFit="1" customWidth="1"/>
    <col min="2" max="2" width="20.5546875" customWidth="1"/>
    <col min="16" max="16" width="3.33203125" customWidth="1"/>
    <col min="19" max="19" width="12.5546875" bestFit="1" customWidth="1"/>
    <col min="20" max="20" width="16.88671875" bestFit="1" customWidth="1"/>
    <col min="21" max="22" width="17.5546875" bestFit="1" customWidth="1"/>
    <col min="23" max="23" width="14.44140625" customWidth="1"/>
    <col min="25" max="26" width="16.6640625" bestFit="1" customWidth="1"/>
    <col min="27" max="27" width="13.88671875" customWidth="1"/>
    <col min="28" max="28" width="15.44140625" bestFit="1" customWidth="1"/>
    <col min="29" max="30" width="16.6640625" bestFit="1" customWidth="1"/>
    <col min="33" max="33" width="60.44140625" bestFit="1" customWidth="1"/>
    <col min="34" max="34" width="28.44140625" customWidth="1"/>
    <col min="35" max="35" width="67.88671875" bestFit="1" customWidth="1"/>
    <col min="36" max="36" width="26.6640625" bestFit="1" customWidth="1"/>
  </cols>
  <sheetData>
    <row r="1" spans="1:37" x14ac:dyDescent="0.3"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4"/>
      <c r="AF1" s="65"/>
      <c r="AG1" s="65"/>
      <c r="AH1" s="65"/>
      <c r="AI1" s="65"/>
      <c r="AJ1" s="66"/>
    </row>
    <row r="2" spans="1:37" ht="101.4" thickBot="1" x14ac:dyDescent="0.35">
      <c r="H2" s="10" t="s">
        <v>12</v>
      </c>
      <c r="K2" s="5" t="s">
        <v>22</v>
      </c>
      <c r="L2" s="6" t="s">
        <v>13</v>
      </c>
      <c r="M2" s="6" t="s">
        <v>14</v>
      </c>
      <c r="N2" s="6" t="s">
        <v>15</v>
      </c>
      <c r="R2" s="67"/>
      <c r="S2" s="5" t="s">
        <v>22</v>
      </c>
      <c r="T2" s="6" t="s">
        <v>49</v>
      </c>
      <c r="U2" s="57" t="s">
        <v>43</v>
      </c>
      <c r="V2" s="5" t="s">
        <v>47</v>
      </c>
      <c r="W2" s="6" t="s">
        <v>48</v>
      </c>
      <c r="Y2" s="56" t="s">
        <v>53</v>
      </c>
      <c r="Z2" s="56" t="s">
        <v>54</v>
      </c>
      <c r="AB2" s="6"/>
      <c r="AC2" s="6">
        <v>2017</v>
      </c>
      <c r="AD2" s="68">
        <v>2011</v>
      </c>
      <c r="AE2" s="67"/>
      <c r="AF2" s="74" t="s">
        <v>55</v>
      </c>
      <c r="AG2" s="5" t="s">
        <v>58</v>
      </c>
      <c r="AH2" s="74" t="s">
        <v>56</v>
      </c>
      <c r="AI2" s="5" t="s">
        <v>57</v>
      </c>
      <c r="AJ2" s="70"/>
    </row>
    <row r="3" spans="1:37" ht="26.4" thickBot="1" x14ac:dyDescent="0.55000000000000004">
      <c r="A3" t="s">
        <v>16</v>
      </c>
      <c r="H3" s="47" t="s">
        <v>4</v>
      </c>
      <c r="I3" s="11">
        <f ca="1">OFFSET(K2,H4,2)</f>
        <v>52</v>
      </c>
      <c r="J3" s="12">
        <f ca="1">OFFSET(K2,H4,3)</f>
        <v>39</v>
      </c>
      <c r="K3" s="5" t="s">
        <v>17</v>
      </c>
      <c r="L3" s="5">
        <v>30</v>
      </c>
      <c r="M3" s="7">
        <v>30</v>
      </c>
      <c r="N3" s="8">
        <v>22</v>
      </c>
      <c r="P3" s="9"/>
      <c r="R3" s="67"/>
      <c r="S3" s="5" t="s">
        <v>17</v>
      </c>
      <c r="T3" s="5">
        <v>2.4500000000000002</v>
      </c>
      <c r="U3" s="98" t="s">
        <v>46</v>
      </c>
      <c r="V3" s="80">
        <v>2017</v>
      </c>
      <c r="W3" s="55">
        <f>VLOOKUP(U3,AB3:AD5,IF(V3="2017",2,3),FALSE)</f>
        <v>450</v>
      </c>
      <c r="Y3" s="58">
        <v>265</v>
      </c>
      <c r="Z3" s="58">
        <v>755</v>
      </c>
      <c r="AA3">
        <v>2017</v>
      </c>
      <c r="AB3" s="97" t="s">
        <v>45</v>
      </c>
      <c r="AC3" s="5">
        <v>225</v>
      </c>
      <c r="AD3" s="69">
        <v>225</v>
      </c>
      <c r="AE3" s="67"/>
      <c r="AF3" s="6" t="s">
        <v>7</v>
      </c>
      <c r="AG3" s="5" t="s">
        <v>62</v>
      </c>
      <c r="AH3" s="5" t="str">
        <f>RIGHT(H3,2)</f>
        <v>36</v>
      </c>
      <c r="AI3" s="5" t="s">
        <v>63</v>
      </c>
      <c r="AJ3" s="70"/>
    </row>
    <row r="4" spans="1:37" ht="28.8" x14ac:dyDescent="0.5">
      <c r="A4" s="46">
        <v>1000</v>
      </c>
      <c r="H4">
        <f>MATCH(H3,K3:K10,0)</f>
        <v>4</v>
      </c>
      <c r="K4" s="5" t="s">
        <v>8</v>
      </c>
      <c r="L4" s="5">
        <v>36</v>
      </c>
      <c r="M4" s="7">
        <v>36</v>
      </c>
      <c r="N4" s="8">
        <v>26</v>
      </c>
      <c r="P4" s="9"/>
      <c r="R4" s="67"/>
      <c r="S4" s="5" t="s">
        <v>8</v>
      </c>
      <c r="T4" s="5">
        <v>3.53</v>
      </c>
      <c r="U4">
        <f>MATCH(U3,AB3:AB5,0)</f>
        <v>2</v>
      </c>
      <c r="Y4" s="58">
        <v>245</v>
      </c>
      <c r="Z4" s="58">
        <v>755</v>
      </c>
      <c r="AA4">
        <v>2011</v>
      </c>
      <c r="AB4" s="97" t="s">
        <v>46</v>
      </c>
      <c r="AC4" s="5">
        <v>451</v>
      </c>
      <c r="AD4" s="69">
        <v>450</v>
      </c>
      <c r="AE4" s="67"/>
      <c r="AF4" s="5" t="s">
        <v>59</v>
      </c>
      <c r="AG4" s="6" t="s">
        <v>64</v>
      </c>
      <c r="AH4" s="5">
        <f>30*AH3</f>
        <v>1080</v>
      </c>
      <c r="AI4" s="6" t="s">
        <v>65</v>
      </c>
      <c r="AJ4" s="70"/>
    </row>
    <row r="5" spans="1:37" ht="43.2" x14ac:dyDescent="0.3">
      <c r="A5" t="s">
        <v>18</v>
      </c>
      <c r="K5" s="5" t="s">
        <v>6</v>
      </c>
      <c r="L5" s="5">
        <v>46</v>
      </c>
      <c r="M5" s="7">
        <v>45</v>
      </c>
      <c r="N5" s="8">
        <v>33</v>
      </c>
      <c r="P5" s="9"/>
      <c r="R5" s="67"/>
      <c r="S5" s="5" t="s">
        <v>6</v>
      </c>
      <c r="T5" s="5">
        <v>5.61</v>
      </c>
      <c r="Y5" s="58">
        <v>245</v>
      </c>
      <c r="Z5" s="58">
        <v>630</v>
      </c>
      <c r="AB5" s="97" t="s">
        <v>44</v>
      </c>
      <c r="AC5" s="5">
        <v>728</v>
      </c>
      <c r="AD5" s="69">
        <v>560</v>
      </c>
      <c r="AE5" s="67"/>
      <c r="AF5" s="5" t="s">
        <v>60</v>
      </c>
      <c r="AG5" s="5" t="s">
        <v>66</v>
      </c>
      <c r="AH5" s="5">
        <v>1</v>
      </c>
      <c r="AI5" s="6" t="s">
        <v>68</v>
      </c>
      <c r="AJ5" s="70"/>
    </row>
    <row r="6" spans="1:37" ht="43.2" x14ac:dyDescent="0.3">
      <c r="A6" s="43">
        <f>A4*TAN(3.14159/12)</f>
        <v>267.94895542205597</v>
      </c>
      <c r="K6" s="5" t="s">
        <v>4</v>
      </c>
      <c r="L6" s="5">
        <v>55</v>
      </c>
      <c r="M6" s="7">
        <v>52</v>
      </c>
      <c r="N6" s="8">
        <v>39</v>
      </c>
      <c r="P6" s="9"/>
      <c r="R6" s="67"/>
      <c r="S6" s="5" t="s">
        <v>4</v>
      </c>
      <c r="T6" s="5">
        <v>8.16</v>
      </c>
      <c r="Y6" s="58">
        <v>230</v>
      </c>
      <c r="Z6" s="58">
        <v>560</v>
      </c>
      <c r="AD6" s="70"/>
      <c r="AE6" s="67"/>
      <c r="AF6" s="5" t="s">
        <v>61</v>
      </c>
      <c r="AG6" s="5" t="s">
        <v>66</v>
      </c>
      <c r="AH6" s="5">
        <v>1</v>
      </c>
      <c r="AI6" s="6" t="s">
        <v>67</v>
      </c>
      <c r="AJ6" s="70"/>
    </row>
    <row r="7" spans="1:37" x14ac:dyDescent="0.3">
      <c r="A7" t="s">
        <v>19</v>
      </c>
      <c r="K7" s="5" t="s">
        <v>5</v>
      </c>
      <c r="L7" s="5">
        <v>65</v>
      </c>
      <c r="M7" s="7">
        <v>60</v>
      </c>
      <c r="N7" s="8">
        <v>45</v>
      </c>
      <c r="P7" s="9"/>
      <c r="R7" s="67"/>
      <c r="S7" s="5" t="s">
        <v>5</v>
      </c>
      <c r="T7" s="5">
        <v>11.2</v>
      </c>
      <c r="Y7" s="58">
        <v>230</v>
      </c>
      <c r="Z7" s="58">
        <v>455</v>
      </c>
      <c r="AC7" t="str">
        <f>AJ18</f>
        <v>Свая-оболочка/Компактная закладная</v>
      </c>
      <c r="AD7" s="70" t="str">
        <f>AJ15</f>
        <v>с отгибом (Г-образные)</v>
      </c>
      <c r="AE7" s="67"/>
      <c r="AJ7" s="70"/>
    </row>
    <row r="8" spans="1:37" ht="15" thickBot="1" x14ac:dyDescent="0.35">
      <c r="A8" s="43">
        <f>A6/SIN(3.14159/12)</f>
        <v>1035.2761190676479</v>
      </c>
      <c r="K8" s="5" t="s">
        <v>9</v>
      </c>
      <c r="L8" s="5">
        <v>75</v>
      </c>
      <c r="M8" s="7">
        <v>70</v>
      </c>
      <c r="N8" s="8">
        <v>52</v>
      </c>
      <c r="P8" s="9"/>
      <c r="R8" s="67"/>
      <c r="S8" s="5" t="s">
        <v>9</v>
      </c>
      <c r="T8" s="5">
        <v>14.72</v>
      </c>
      <c r="Y8" s="58">
        <v>230</v>
      </c>
      <c r="Z8" s="58">
        <v>420</v>
      </c>
      <c r="AC8" t="str">
        <f>AJ19</f>
        <v>Анкерная закладная</v>
      </c>
      <c r="AD8" s="70" t="str">
        <f>AJ16</f>
        <v>с анкерной плитой (глухой)</v>
      </c>
      <c r="AE8" s="71"/>
      <c r="AF8" s="72"/>
      <c r="AG8" s="72"/>
      <c r="AH8" s="72"/>
      <c r="AI8" s="72"/>
      <c r="AJ8" s="73"/>
    </row>
    <row r="9" spans="1:37" x14ac:dyDescent="0.3">
      <c r="K9" s="5" t="s">
        <v>10</v>
      </c>
      <c r="L9" s="5">
        <v>80</v>
      </c>
      <c r="M9" s="7">
        <v>75</v>
      </c>
      <c r="N9" s="8">
        <v>56</v>
      </c>
      <c r="P9" s="9"/>
      <c r="R9" s="67"/>
      <c r="S9" s="5" t="s">
        <v>10</v>
      </c>
      <c r="T9" s="5">
        <v>17.579999999999998</v>
      </c>
      <c r="Y9" s="58">
        <v>230</v>
      </c>
      <c r="Z9" s="58"/>
      <c r="AD9" s="70"/>
    </row>
    <row r="10" spans="1:37" x14ac:dyDescent="0.3">
      <c r="A10" t="s">
        <v>20</v>
      </c>
      <c r="K10" s="5" t="s">
        <v>11</v>
      </c>
      <c r="L10" s="5">
        <v>85</v>
      </c>
      <c r="M10" s="7">
        <v>82</v>
      </c>
      <c r="N10" s="8">
        <v>62</v>
      </c>
      <c r="P10" s="9"/>
      <c r="R10" s="67"/>
      <c r="S10" s="5" t="s">
        <v>11</v>
      </c>
      <c r="T10" s="5">
        <v>20.3</v>
      </c>
      <c r="Y10" s="58">
        <v>230</v>
      </c>
      <c r="Z10" s="58"/>
      <c r="AD10" s="70"/>
    </row>
    <row r="11" spans="1:37" ht="26.4" thickBot="1" x14ac:dyDescent="0.55000000000000004">
      <c r="A11" s="48">
        <f ca="1">AH26</f>
        <v>1139.2761190676479</v>
      </c>
      <c r="B11" s="44"/>
      <c r="K11" s="9"/>
      <c r="L11" s="9"/>
      <c r="M11" s="9"/>
      <c r="R11" s="67"/>
      <c r="Y11" s="101" t="s">
        <v>52</v>
      </c>
      <c r="Z11" s="101"/>
      <c r="AD11" s="70"/>
    </row>
    <row r="12" spans="1:37" ht="15" thickBot="1" x14ac:dyDescent="0.35">
      <c r="K12" s="9"/>
      <c r="L12" s="9"/>
      <c r="M12" s="9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D12" s="70"/>
      <c r="AF12" s="64"/>
      <c r="AG12" s="65"/>
      <c r="AH12" s="65"/>
      <c r="AI12" s="65"/>
      <c r="AJ12" s="65"/>
      <c r="AK12" s="66"/>
    </row>
    <row r="13" spans="1:37" x14ac:dyDescent="0.3">
      <c r="A13" t="s">
        <v>21</v>
      </c>
      <c r="K13" s="9"/>
      <c r="L13" s="9"/>
      <c r="M13" s="9"/>
      <c r="AF13" s="67"/>
      <c r="AG13" t="s">
        <v>80</v>
      </c>
      <c r="AK13" s="70"/>
    </row>
    <row r="14" spans="1:37" ht="26.4" thickBot="1" x14ac:dyDescent="0.55000000000000004">
      <c r="A14" s="48">
        <f ca="1">A11+1.5*J3*2</f>
        <v>1256.2761190676479</v>
      </c>
      <c r="K14" s="9"/>
      <c r="L14" s="9"/>
      <c r="M14" s="9"/>
      <c r="AF14" s="67"/>
      <c r="AG14" s="5" t="s">
        <v>58</v>
      </c>
      <c r="AH14" s="74" t="s">
        <v>56</v>
      </c>
      <c r="AI14" s="5" t="s">
        <v>57</v>
      </c>
      <c r="AK14" s="70"/>
    </row>
    <row r="15" spans="1:37" ht="15" thickBot="1" x14ac:dyDescent="0.35">
      <c r="K15" s="9"/>
      <c r="L15" s="9"/>
      <c r="M15" s="9"/>
      <c r="R15" s="64"/>
      <c r="S15" s="105" t="s">
        <v>73</v>
      </c>
      <c r="T15" s="105"/>
      <c r="U15" s="105"/>
      <c r="V15" s="105"/>
      <c r="W15" s="66"/>
      <c r="AF15" s="94">
        <v>2</v>
      </c>
      <c r="AG15" s="86" t="s">
        <v>81</v>
      </c>
      <c r="AH15" s="5" t="s">
        <v>97</v>
      </c>
      <c r="AI15" s="86"/>
      <c r="AJ15" s="9" t="s">
        <v>97</v>
      </c>
      <c r="AK15" s="89">
        <v>6</v>
      </c>
    </row>
    <row r="16" spans="1:37" ht="43.8" thickBot="1" x14ac:dyDescent="0.35">
      <c r="F16" s="42" t="s">
        <v>12</v>
      </c>
      <c r="K16" s="9"/>
      <c r="L16" s="9"/>
      <c r="M16" s="9"/>
      <c r="R16" s="67"/>
      <c r="W16" s="70"/>
      <c r="Y16" s="81" t="s">
        <v>76</v>
      </c>
      <c r="AB16" s="84" t="s">
        <v>78</v>
      </c>
      <c r="AF16" s="67"/>
      <c r="AG16" s="86" t="s">
        <v>83</v>
      </c>
      <c r="AH16" s="5">
        <f ca="1">OFFSET(AK14,AJ17,0)</f>
        <v>6</v>
      </c>
      <c r="AI16" s="87" t="s">
        <v>82</v>
      </c>
      <c r="AJ16" s="9" t="s">
        <v>98</v>
      </c>
      <c r="AK16" s="89">
        <v>8</v>
      </c>
    </row>
    <row r="17" spans="2:37" ht="60.6" thickBot="1" x14ac:dyDescent="0.55000000000000004">
      <c r="B17" s="2" t="s">
        <v>42</v>
      </c>
      <c r="C17" s="13" t="s">
        <v>7</v>
      </c>
      <c r="D17" s="13" t="s">
        <v>3</v>
      </c>
      <c r="E17" s="53"/>
      <c r="F17" s="52" t="str">
        <f>H3</f>
        <v>М36</v>
      </c>
      <c r="R17" s="67"/>
      <c r="S17" s="5" t="s">
        <v>22</v>
      </c>
      <c r="T17" s="6" t="s">
        <v>72</v>
      </c>
      <c r="U17" s="6" t="s">
        <v>74</v>
      </c>
      <c r="V17" s="6" t="s">
        <v>75</v>
      </c>
      <c r="W17" s="70"/>
      <c r="Y17" s="6" t="s">
        <v>74</v>
      </c>
      <c r="Z17" s="83"/>
      <c r="AA17" s="95" t="s">
        <v>95</v>
      </c>
      <c r="AB17" s="85" t="s">
        <v>79</v>
      </c>
      <c r="AF17" s="67"/>
      <c r="AG17" s="87" t="s">
        <v>84</v>
      </c>
      <c r="AH17" s="5">
        <f ca="1">AH16-2</f>
        <v>4</v>
      </c>
      <c r="AI17" s="87" t="s">
        <v>87</v>
      </c>
      <c r="AJ17" s="81">
        <f>MATCH(AH15,AJ15:AJ16,0)</f>
        <v>1</v>
      </c>
      <c r="AK17" s="90"/>
    </row>
    <row r="18" spans="2:37" x14ac:dyDescent="0.3">
      <c r="B18" s="3" t="s">
        <v>23</v>
      </c>
      <c r="C18" s="5" t="s">
        <v>24</v>
      </c>
      <c r="D18" s="5" t="s">
        <v>2</v>
      </c>
      <c r="E18" s="45">
        <v>1193.29</v>
      </c>
      <c r="H18" s="1" t="s">
        <v>25</v>
      </c>
      <c r="I18" s="1" t="s">
        <v>26</v>
      </c>
      <c r="J18" s="1" t="s">
        <v>27</v>
      </c>
      <c r="K18" s="1"/>
      <c r="L18" s="1" t="s">
        <v>28</v>
      </c>
      <c r="M18" s="1"/>
      <c r="N18" s="1"/>
      <c r="R18" s="67"/>
      <c r="S18" s="5" t="s">
        <v>17</v>
      </c>
      <c r="T18" s="5">
        <f>N3</f>
        <v>22</v>
      </c>
      <c r="U18" s="55">
        <v>200</v>
      </c>
      <c r="V18" s="5">
        <v>60</v>
      </c>
      <c r="W18" s="70"/>
      <c r="Y18" s="5">
        <v>80</v>
      </c>
      <c r="AA18" s="96">
        <f>INDEX(AB18:AB25,MATCH(F17,S18:S25,0))</f>
        <v>25</v>
      </c>
      <c r="AB18" s="84">
        <v>20</v>
      </c>
      <c r="AF18" s="67"/>
      <c r="AG18" s="87" t="s">
        <v>85</v>
      </c>
      <c r="AH18" s="5">
        <f>AH3*35</f>
        <v>1260</v>
      </c>
      <c r="AI18" s="86"/>
      <c r="AJ18" s="9" t="s">
        <v>99</v>
      </c>
      <c r="AK18" s="70"/>
    </row>
    <row r="19" spans="2:37" ht="43.2" x14ac:dyDescent="0.3">
      <c r="B19" s="3" t="s">
        <v>29</v>
      </c>
      <c r="C19" s="5" t="s">
        <v>0</v>
      </c>
      <c r="D19" s="5" t="s">
        <v>1</v>
      </c>
      <c r="E19" s="45">
        <v>85.4</v>
      </c>
      <c r="H19" s="49">
        <v>1</v>
      </c>
      <c r="I19" s="15">
        <f ca="1">IF(H19=0,0,$E$22*SIN((H19-0.999)*2*PI()/$E$25))</f>
        <v>9.9420596330613016E-5</v>
      </c>
      <c r="J19" s="16">
        <f ca="1">I19*I19</f>
        <v>9.8844549747347017E-9</v>
      </c>
      <c r="K19" s="17"/>
      <c r="L19" s="18">
        <f t="shared" ref="L19:L54" ca="1" si="0">$E$18*I19/$J$55</f>
        <v>2.0311961391360052E-2</v>
      </c>
      <c r="M19" s="17"/>
      <c r="N19" s="17"/>
      <c r="R19" s="67"/>
      <c r="S19" s="5" t="s">
        <v>8</v>
      </c>
      <c r="T19" s="5">
        <f t="shared" ref="T19:T25" si="1">N4</f>
        <v>26</v>
      </c>
      <c r="U19" s="55">
        <v>200</v>
      </c>
      <c r="V19" s="5">
        <v>70</v>
      </c>
      <c r="W19" s="70"/>
      <c r="Y19" s="5">
        <v>90</v>
      </c>
      <c r="AB19" s="84">
        <v>25</v>
      </c>
      <c r="AF19" s="67"/>
      <c r="AG19" s="87" t="s">
        <v>86</v>
      </c>
      <c r="AH19" s="88">
        <f ca="1">INT(AH17*AH3/SIN(360/2/E23*3.14159/180))+1</f>
        <v>1653</v>
      </c>
      <c r="AI19" s="86"/>
      <c r="AJ19" s="9" t="s">
        <v>100</v>
      </c>
      <c r="AK19" s="70"/>
    </row>
    <row r="20" spans="2:37" x14ac:dyDescent="0.3">
      <c r="B20" s="3" t="s">
        <v>30</v>
      </c>
      <c r="C20" s="5" t="s">
        <v>31</v>
      </c>
      <c r="D20" s="5" t="s">
        <v>3</v>
      </c>
      <c r="E20" s="19">
        <f>E18/E19</f>
        <v>13.97295081967213</v>
      </c>
      <c r="H20" s="49">
        <f>IF(H19=$E$25,0,IF(H19=0,0,H19+1))</f>
        <v>2</v>
      </c>
      <c r="I20" s="15">
        <f t="shared" ref="I20:I54" ca="1" si="2">IF(H20=0,0,$E$22*SIN((H20-1)*2*PI()/$E$25))</f>
        <v>9.8916610967774904E-2</v>
      </c>
      <c r="J20" s="16">
        <f t="shared" ref="J20:J54" ca="1" si="3">I20*I20</f>
        <v>9.7844959253501271E-3</v>
      </c>
      <c r="K20" s="17"/>
      <c r="L20" s="18">
        <f t="shared" ca="1" si="0"/>
        <v>20.208995490836418</v>
      </c>
      <c r="M20" s="17"/>
      <c r="N20" s="17"/>
      <c r="R20" s="67"/>
      <c r="S20" s="5" t="s">
        <v>6</v>
      </c>
      <c r="T20" s="5">
        <f t="shared" si="1"/>
        <v>33</v>
      </c>
      <c r="U20" s="55">
        <v>250</v>
      </c>
      <c r="V20" s="5">
        <v>90</v>
      </c>
      <c r="W20" s="70"/>
      <c r="Y20" s="5">
        <v>110</v>
      </c>
      <c r="AB20" s="84">
        <v>25</v>
      </c>
      <c r="AF20" s="67"/>
      <c r="AK20" s="70"/>
    </row>
    <row r="21" spans="2:37" x14ac:dyDescent="0.3">
      <c r="B21" s="3" t="s">
        <v>32</v>
      </c>
      <c r="C21" s="5" t="s">
        <v>7</v>
      </c>
      <c r="D21" s="5" t="s">
        <v>3</v>
      </c>
      <c r="E21" s="14">
        <f ca="1">A11/1000</f>
        <v>1.1392761190676479</v>
      </c>
      <c r="H21" s="49">
        <f t="shared" ref="H21:H54" si="4">IF(H20=$E$25,0,IF(H20=0,0,H20+1))</f>
        <v>3</v>
      </c>
      <c r="I21" s="15">
        <f t="shared" ca="1" si="2"/>
        <v>0.19482769076551429</v>
      </c>
      <c r="J21" s="16">
        <f t="shared" ca="1" si="3"/>
        <v>3.7957829089022864E-2</v>
      </c>
      <c r="K21" s="17"/>
      <c r="L21" s="18">
        <f t="shared" ca="1" si="0"/>
        <v>39.803950879928919</v>
      </c>
      <c r="M21" s="17"/>
      <c r="N21" s="17"/>
      <c r="R21" s="67"/>
      <c r="S21" s="5" t="s">
        <v>4</v>
      </c>
      <c r="T21" s="5">
        <f t="shared" si="1"/>
        <v>39</v>
      </c>
      <c r="U21" s="55">
        <v>250</v>
      </c>
      <c r="V21" s="5">
        <v>100</v>
      </c>
      <c r="W21" s="70"/>
      <c r="Y21" s="5">
        <v>130</v>
      </c>
      <c r="AB21" s="84">
        <v>25</v>
      </c>
      <c r="AF21" s="67"/>
      <c r="AG21" s="93"/>
      <c r="AK21" s="70"/>
    </row>
    <row r="22" spans="2:37" x14ac:dyDescent="0.3">
      <c r="B22" s="3" t="s">
        <v>33</v>
      </c>
      <c r="C22" s="5" t="s">
        <v>34</v>
      </c>
      <c r="D22" s="5"/>
      <c r="E22" s="20">
        <f ca="1">E21/2</f>
        <v>0.56963805953382396</v>
      </c>
      <c r="H22" s="49">
        <f t="shared" si="4"/>
        <v>4</v>
      </c>
      <c r="I22" s="15">
        <f t="shared" ca="1" si="2"/>
        <v>0.28481902976691192</v>
      </c>
      <c r="J22" s="16">
        <f t="shared" ca="1" si="3"/>
        <v>8.1121879717365064E-2</v>
      </c>
      <c r="K22" s="17"/>
      <c r="L22" s="18">
        <f t="shared" ca="1" si="0"/>
        <v>58.189483363305769</v>
      </c>
      <c r="M22" s="17"/>
      <c r="N22" s="17"/>
      <c r="R22" s="67"/>
      <c r="S22" s="5" t="s">
        <v>5</v>
      </c>
      <c r="T22" s="5">
        <f t="shared" si="1"/>
        <v>45</v>
      </c>
      <c r="U22" s="55">
        <v>300</v>
      </c>
      <c r="V22" s="5">
        <v>120</v>
      </c>
      <c r="W22" s="70"/>
      <c r="Y22" s="5">
        <v>150</v>
      </c>
      <c r="AB22" s="84">
        <v>30</v>
      </c>
      <c r="AF22" s="67"/>
      <c r="AK22" s="70"/>
    </row>
    <row r="23" spans="2:37" ht="15" thickBot="1" x14ac:dyDescent="0.35">
      <c r="B23" s="4" t="s">
        <v>35</v>
      </c>
      <c r="C23" s="21"/>
      <c r="D23" s="21"/>
      <c r="E23" s="54">
        <v>36</v>
      </c>
      <c r="H23" s="49">
        <f t="shared" si="4"/>
        <v>5</v>
      </c>
      <c r="I23" s="15">
        <f t="shared" ca="1" si="2"/>
        <v>0.36615628667422523</v>
      </c>
      <c r="J23" s="16">
        <f t="shared" ca="1" si="3"/>
        <v>0.13407042627105742</v>
      </c>
      <c r="K23" s="17"/>
      <c r="L23" s="18">
        <f t="shared" ca="1" si="0"/>
        <v>74.80695783998793</v>
      </c>
      <c r="M23" s="17"/>
      <c r="N23" s="17"/>
      <c r="R23" s="67"/>
      <c r="S23" s="5" t="s">
        <v>9</v>
      </c>
      <c r="T23" s="5">
        <f t="shared" si="1"/>
        <v>52</v>
      </c>
      <c r="U23" s="55">
        <v>300</v>
      </c>
      <c r="V23" s="5">
        <v>130</v>
      </c>
      <c r="W23" s="70"/>
      <c r="Y23" s="5">
        <v>170</v>
      </c>
      <c r="AB23" s="84">
        <v>35</v>
      </c>
      <c r="AF23" s="94">
        <v>1</v>
      </c>
      <c r="AG23" s="86" t="s">
        <v>92</v>
      </c>
      <c r="AH23" s="5" t="s">
        <v>99</v>
      </c>
      <c r="AI23" s="91">
        <f>MATCH(AH23,AJ18:AJ19,0)</f>
        <v>1</v>
      </c>
      <c r="AK23" s="70"/>
    </row>
    <row r="24" spans="2:37" x14ac:dyDescent="0.3">
      <c r="C24" s="9"/>
      <c r="D24" s="9"/>
      <c r="E24" s="50"/>
      <c r="H24" s="49">
        <f t="shared" si="4"/>
        <v>6</v>
      </c>
      <c r="I24" s="15">
        <f t="shared" ca="1" si="2"/>
        <v>0.43636807009496342</v>
      </c>
      <c r="J24" s="16">
        <f t="shared" ca="1" si="3"/>
        <v>0.19041709259840292</v>
      </c>
      <c r="K24" s="17"/>
      <c r="L24" s="18">
        <f t="shared" ca="1" si="0"/>
        <v>89.151460756849218</v>
      </c>
      <c r="M24" s="17"/>
      <c r="N24" s="17"/>
      <c r="R24" s="67"/>
      <c r="S24" s="5" t="s">
        <v>10</v>
      </c>
      <c r="T24" s="5">
        <f t="shared" si="1"/>
        <v>56</v>
      </c>
      <c r="U24" s="55">
        <v>300</v>
      </c>
      <c r="V24" s="5">
        <v>150</v>
      </c>
      <c r="W24" s="70"/>
      <c r="Y24" s="5">
        <v>190</v>
      </c>
      <c r="AB24" s="84">
        <v>35</v>
      </c>
      <c r="AF24" s="67"/>
      <c r="AG24" s="86" t="s">
        <v>93</v>
      </c>
      <c r="AH24" s="88">
        <f ca="1">A8+I3*2</f>
        <v>1139.2761190676479</v>
      </c>
      <c r="AI24" s="86" t="s">
        <v>88</v>
      </c>
      <c r="AK24" s="70"/>
    </row>
    <row r="25" spans="2:37" x14ac:dyDescent="0.3">
      <c r="C25" s="9"/>
      <c r="D25" s="9"/>
      <c r="E25" s="50">
        <f>IF(E23=1,12,E23)</f>
        <v>36</v>
      </c>
      <c r="H25" s="49">
        <f t="shared" si="4"/>
        <v>7</v>
      </c>
      <c r="I25" s="15">
        <f t="shared" ca="1" si="2"/>
        <v>0.49332103051876397</v>
      </c>
      <c r="J25" s="16">
        <f t="shared" ca="1" si="3"/>
        <v>0.24336563915209525</v>
      </c>
      <c r="K25" s="17"/>
      <c r="L25" s="18">
        <f t="shared" ca="1" si="0"/>
        <v>100.78714165142952</v>
      </c>
      <c r="M25" s="17"/>
      <c r="N25" s="17"/>
      <c r="R25" s="67"/>
      <c r="S25" s="5" t="s">
        <v>11</v>
      </c>
      <c r="T25" s="5">
        <f t="shared" si="1"/>
        <v>62</v>
      </c>
      <c r="U25" s="55">
        <v>300</v>
      </c>
      <c r="V25" s="5">
        <v>160</v>
      </c>
      <c r="W25" s="70"/>
      <c r="Y25" s="5">
        <v>210</v>
      </c>
      <c r="AB25" s="84">
        <v>40</v>
      </c>
      <c r="AF25" s="67"/>
      <c r="AG25" s="86" t="s">
        <v>94</v>
      </c>
      <c r="AH25" s="88">
        <f ca="1">AH19</f>
        <v>1653</v>
      </c>
      <c r="AI25" s="86" t="s">
        <v>89</v>
      </c>
      <c r="AK25" s="70"/>
    </row>
    <row r="26" spans="2:37" ht="28.8" x14ac:dyDescent="0.3">
      <c r="C26" s="9"/>
      <c r="D26" s="9"/>
      <c r="E26" s="51"/>
      <c r="H26" s="49">
        <f t="shared" si="4"/>
        <v>8</v>
      </c>
      <c r="I26" s="15">
        <f t="shared" ca="1" si="2"/>
        <v>0.5352846810627383</v>
      </c>
      <c r="J26" s="16">
        <f t="shared" ca="1" si="3"/>
        <v>0.28652968978043747</v>
      </c>
      <c r="K26" s="17"/>
      <c r="L26" s="18">
        <f t="shared" ca="1" si="0"/>
        <v>109.36045624768563</v>
      </c>
      <c r="M26" s="17"/>
      <c r="N26" s="17"/>
      <c r="R26" s="67"/>
      <c r="W26" s="70"/>
      <c r="AF26" s="67"/>
      <c r="AG26" s="87" t="s">
        <v>90</v>
      </c>
      <c r="AH26" s="88">
        <f ca="1">OFFSET(AH23,AI23,0)</f>
        <v>1139.2761190676479</v>
      </c>
      <c r="AI26" s="92" t="s">
        <v>91</v>
      </c>
      <c r="AK26" s="70"/>
    </row>
    <row r="27" spans="2:37" ht="15" thickBot="1" x14ac:dyDescent="0.35">
      <c r="C27" s="9"/>
      <c r="D27" s="9"/>
      <c r="E27" s="50"/>
      <c r="H27" s="49">
        <f t="shared" si="4"/>
        <v>9</v>
      </c>
      <c r="I27" s="15">
        <f t="shared" ca="1" si="2"/>
        <v>0.5609839774397396</v>
      </c>
      <c r="J27" s="16">
        <f t="shared" ca="1" si="3"/>
        <v>0.31470302294411029</v>
      </c>
      <c r="K27" s="17"/>
      <c r="L27" s="18">
        <f t="shared" ca="1" si="0"/>
        <v>114.61090871991686</v>
      </c>
      <c r="M27" s="17"/>
      <c r="N27" s="17"/>
      <c r="R27" s="71"/>
      <c r="S27" s="72"/>
      <c r="T27" s="72"/>
      <c r="U27" s="82" t="s">
        <v>77</v>
      </c>
      <c r="V27" s="72"/>
      <c r="W27" s="73"/>
      <c r="AF27" s="71"/>
      <c r="AG27" s="72"/>
      <c r="AH27" s="72"/>
      <c r="AI27" s="72"/>
      <c r="AJ27" s="72"/>
      <c r="AK27" s="73"/>
    </row>
    <row r="28" spans="2:37" x14ac:dyDescent="0.3">
      <c r="C28" s="9"/>
      <c r="D28" s="9"/>
      <c r="E28" s="50"/>
      <c r="H28" s="49">
        <f t="shared" si="4"/>
        <v>10</v>
      </c>
      <c r="I28" s="15">
        <f t="shared" ca="1" si="2"/>
        <v>0.56963805953382396</v>
      </c>
      <c r="J28" s="16">
        <f t="shared" ca="1" si="3"/>
        <v>0.32448751886946037</v>
      </c>
      <c r="K28" s="17"/>
      <c r="L28" s="18">
        <f t="shared" ca="1" si="0"/>
        <v>116.37896672661155</v>
      </c>
      <c r="M28" s="17"/>
      <c r="N28" s="17"/>
    </row>
    <row r="29" spans="2:37" x14ac:dyDescent="0.3">
      <c r="C29" s="9"/>
      <c r="D29" s="9"/>
      <c r="E29" s="50"/>
      <c r="H29" s="49">
        <f t="shared" si="4"/>
        <v>11</v>
      </c>
      <c r="I29" s="15">
        <f t="shared" ca="1" si="2"/>
        <v>0.5609839774397396</v>
      </c>
      <c r="J29" s="16">
        <f t="shared" ca="1" si="3"/>
        <v>0.31470302294411029</v>
      </c>
      <c r="K29" s="17"/>
      <c r="L29" s="18">
        <f t="shared" ca="1" si="0"/>
        <v>114.61090871991686</v>
      </c>
      <c r="M29" s="17"/>
      <c r="N29" s="17"/>
    </row>
    <row r="30" spans="2:37" x14ac:dyDescent="0.3">
      <c r="C30" s="9"/>
      <c r="D30" s="9"/>
      <c r="E30" s="50"/>
      <c r="H30" s="49">
        <f t="shared" si="4"/>
        <v>12</v>
      </c>
      <c r="I30" s="15">
        <f t="shared" ca="1" si="2"/>
        <v>0.53528468106273841</v>
      </c>
      <c r="J30" s="16">
        <f t="shared" ca="1" si="3"/>
        <v>0.28652968978043758</v>
      </c>
      <c r="K30" s="17"/>
      <c r="L30" s="18">
        <f t="shared" ca="1" si="0"/>
        <v>109.36045624768565</v>
      </c>
      <c r="M30" s="17"/>
      <c r="N30" s="17"/>
    </row>
    <row r="31" spans="2:37" x14ac:dyDescent="0.3">
      <c r="C31" s="9"/>
      <c r="D31" s="9"/>
      <c r="E31" s="50"/>
      <c r="H31" s="49">
        <f t="shared" si="4"/>
        <v>13</v>
      </c>
      <c r="I31" s="15">
        <f t="shared" ca="1" si="2"/>
        <v>0.49332103051876403</v>
      </c>
      <c r="J31" s="16">
        <f t="shared" ca="1" si="3"/>
        <v>0.2433656391520953</v>
      </c>
      <c r="K31" s="17"/>
      <c r="L31" s="18">
        <f t="shared" ca="1" si="0"/>
        <v>100.78714165142954</v>
      </c>
      <c r="M31" s="17"/>
      <c r="N31" s="17"/>
    </row>
    <row r="32" spans="2:37" x14ac:dyDescent="0.3">
      <c r="H32" s="49">
        <f t="shared" si="4"/>
        <v>14</v>
      </c>
      <c r="I32" s="15">
        <f t="shared" ca="1" si="2"/>
        <v>0.43636807009496342</v>
      </c>
      <c r="J32" s="16">
        <f t="shared" ca="1" si="3"/>
        <v>0.19041709259840292</v>
      </c>
      <c r="K32" s="17"/>
      <c r="L32" s="18">
        <f t="shared" ca="1" si="0"/>
        <v>89.151460756849218</v>
      </c>
      <c r="M32" s="17"/>
      <c r="N32" s="17"/>
    </row>
    <row r="33" spans="2:21" x14ac:dyDescent="0.3">
      <c r="H33" s="49">
        <f t="shared" si="4"/>
        <v>15</v>
      </c>
      <c r="I33" s="15">
        <f t="shared" ca="1" si="2"/>
        <v>0.3661562866742254</v>
      </c>
      <c r="J33" s="16">
        <f t="shared" ca="1" si="3"/>
        <v>0.13407042627105753</v>
      </c>
      <c r="K33" s="17"/>
      <c r="L33" s="18">
        <f t="shared" ca="1" si="0"/>
        <v>74.806957839987959</v>
      </c>
      <c r="M33" s="17"/>
      <c r="N33" s="17"/>
    </row>
    <row r="34" spans="2:21" x14ac:dyDescent="0.3">
      <c r="H34" s="49">
        <f t="shared" si="4"/>
        <v>16</v>
      </c>
      <c r="I34" s="15">
        <f t="shared" ca="1" si="2"/>
        <v>0.28481902976691215</v>
      </c>
      <c r="J34" s="16">
        <f t="shared" ca="1" si="3"/>
        <v>8.1121879717365189E-2</v>
      </c>
      <c r="K34" s="17"/>
      <c r="L34" s="18">
        <f t="shared" ca="1" si="0"/>
        <v>58.189483363305818</v>
      </c>
      <c r="M34" s="17"/>
      <c r="N34" s="17"/>
    </row>
    <row r="35" spans="2:21" x14ac:dyDescent="0.3">
      <c r="C35" s="9"/>
      <c r="D35" s="9"/>
      <c r="E35" s="50"/>
      <c r="H35" s="49">
        <f t="shared" si="4"/>
        <v>17</v>
      </c>
      <c r="I35" s="15">
        <f t="shared" ca="1" si="2"/>
        <v>0.19482769076551437</v>
      </c>
      <c r="J35" s="16">
        <f t="shared" ca="1" si="3"/>
        <v>3.7957829089022892E-2</v>
      </c>
      <c r="K35" s="17"/>
      <c r="L35" s="18">
        <f t="shared" ca="1" si="0"/>
        <v>39.803950879928934</v>
      </c>
      <c r="M35" s="17"/>
      <c r="N35" s="17"/>
    </row>
    <row r="36" spans="2:21" x14ac:dyDescent="0.3">
      <c r="C36" s="9"/>
      <c r="D36" s="9"/>
      <c r="E36" s="50"/>
      <c r="H36" s="49">
        <f t="shared" si="4"/>
        <v>18</v>
      </c>
      <c r="I36" s="15">
        <f t="shared" ca="1" si="2"/>
        <v>9.8916610967774862E-2</v>
      </c>
      <c r="J36" s="16">
        <f t="shared" ca="1" si="3"/>
        <v>9.7844959253501184E-3</v>
      </c>
      <c r="K36" s="17"/>
      <c r="L36" s="18">
        <f t="shared" ca="1" si="0"/>
        <v>20.208995490836408</v>
      </c>
      <c r="M36" s="17"/>
      <c r="N36" s="17"/>
    </row>
    <row r="37" spans="2:21" ht="15" thickBot="1" x14ac:dyDescent="0.35">
      <c r="C37" s="9"/>
      <c r="D37" s="9"/>
      <c r="H37" s="49">
        <f t="shared" si="4"/>
        <v>19</v>
      </c>
      <c r="I37" s="15">
        <f t="shared" ca="1" si="2"/>
        <v>6.9789118849500894E-17</v>
      </c>
      <c r="J37" s="16">
        <f t="shared" ca="1" si="3"/>
        <v>4.8705211097897609E-33</v>
      </c>
      <c r="K37" s="17"/>
      <c r="L37" s="18">
        <f t="shared" ca="1" si="0"/>
        <v>1.4258151126896985E-14</v>
      </c>
      <c r="M37" s="17"/>
      <c r="N37" s="17"/>
    </row>
    <row r="38" spans="2:21" ht="15" thickBot="1" x14ac:dyDescent="0.35">
      <c r="B38" s="22" t="s">
        <v>36</v>
      </c>
      <c r="C38" s="23"/>
      <c r="D38" s="24" t="s">
        <v>1</v>
      </c>
      <c r="E38" s="25">
        <f ca="1">L55+E19/E23</f>
        <v>118.75118894883377</v>
      </c>
      <c r="H38" s="49">
        <f t="shared" si="4"/>
        <v>20</v>
      </c>
      <c r="I38" s="15">
        <f t="shared" ca="1" si="2"/>
        <v>-9.8916610967774724E-2</v>
      </c>
      <c r="J38" s="16">
        <f t="shared" ca="1" si="3"/>
        <v>9.7844959253500906E-3</v>
      </c>
      <c r="K38" s="17"/>
      <c r="L38" s="18">
        <f t="shared" ca="1" si="0"/>
        <v>-20.208995490836383</v>
      </c>
      <c r="M38" s="17"/>
      <c r="N38" s="17"/>
    </row>
    <row r="39" spans="2:21" ht="15" thickBot="1" x14ac:dyDescent="0.35">
      <c r="B39" s="26" t="s">
        <v>37</v>
      </c>
      <c r="C39" s="27"/>
      <c r="D39" s="28" t="s">
        <v>1</v>
      </c>
      <c r="E39" s="29">
        <f ca="1">L55-E19/E23</f>
        <v>114.00674450438933</v>
      </c>
      <c r="H39" s="49">
        <f t="shared" si="4"/>
        <v>21</v>
      </c>
      <c r="I39" s="15">
        <f t="shared" ca="1" si="2"/>
        <v>-0.19482769076551423</v>
      </c>
      <c r="J39" s="16">
        <f t="shared" ca="1" si="3"/>
        <v>3.7957829089022843E-2</v>
      </c>
      <c r="K39" s="17"/>
      <c r="L39" s="18">
        <f t="shared" ca="1" si="0"/>
        <v>-39.803950879928905</v>
      </c>
      <c r="M39" s="17"/>
      <c r="N39" s="17"/>
    </row>
    <row r="40" spans="2:21" ht="43.8" thickBot="1" x14ac:dyDescent="0.35">
      <c r="H40" s="49">
        <f t="shared" si="4"/>
        <v>22</v>
      </c>
      <c r="I40" s="15">
        <f t="shared" ca="1" si="2"/>
        <v>-0.28481902976691204</v>
      </c>
      <c r="J40" s="16">
        <f t="shared" ca="1" si="3"/>
        <v>8.112187971736512E-2</v>
      </c>
      <c r="K40" s="17"/>
      <c r="L40" s="18">
        <f t="shared" ca="1" si="0"/>
        <v>-58.18948336330579</v>
      </c>
      <c r="M40" s="17"/>
      <c r="N40" s="17"/>
      <c r="T40" s="78" t="s">
        <v>71</v>
      </c>
      <c r="U40" s="99" t="s">
        <v>96</v>
      </c>
    </row>
    <row r="41" spans="2:21" x14ac:dyDescent="0.3">
      <c r="B41" s="30" t="s">
        <v>38</v>
      </c>
      <c r="C41" s="13" t="s">
        <v>39</v>
      </c>
      <c r="D41" s="59" t="s">
        <v>40</v>
      </c>
      <c r="E41" s="5" t="s">
        <v>39</v>
      </c>
      <c r="F41" s="5" t="s">
        <v>40</v>
      </c>
      <c r="H41" s="49">
        <f t="shared" si="4"/>
        <v>23</v>
      </c>
      <c r="I41" s="15">
        <f t="shared" ca="1" si="2"/>
        <v>-0.36615628667422506</v>
      </c>
      <c r="J41" s="16">
        <f t="shared" ca="1" si="3"/>
        <v>0.13407042627105728</v>
      </c>
      <c r="K41" s="17"/>
      <c r="L41" s="18">
        <f t="shared" ca="1" si="0"/>
        <v>-74.806957839987902</v>
      </c>
      <c r="M41" s="17"/>
      <c r="N41" s="17"/>
      <c r="T41" s="79">
        <f ca="1">1.35*E38/W3*10</f>
        <v>3.5625356684650136</v>
      </c>
      <c r="U41" s="100">
        <f>INDEX(E43:E49,MATCH(F17,B43:B49,0))</f>
        <v>367.2</v>
      </c>
    </row>
    <row r="42" spans="2:21" x14ac:dyDescent="0.3">
      <c r="B42" s="31" t="s">
        <v>41</v>
      </c>
      <c r="C42" s="32"/>
      <c r="D42" s="60"/>
      <c r="E42" s="1"/>
      <c r="F42" s="1"/>
      <c r="H42" s="49">
        <f t="shared" si="4"/>
        <v>24</v>
      </c>
      <c r="I42" s="15">
        <f t="shared" ca="1" si="2"/>
        <v>-0.43636807009496337</v>
      </c>
      <c r="J42" s="16">
        <f t="shared" ca="1" si="3"/>
        <v>0.19041709259840287</v>
      </c>
      <c r="K42" s="17"/>
      <c r="L42" s="18">
        <f t="shared" ca="1" si="0"/>
        <v>-89.151460756849218</v>
      </c>
      <c r="M42" s="17"/>
      <c r="N42" s="17"/>
    </row>
    <row r="43" spans="2:21" x14ac:dyDescent="0.3">
      <c r="B43" s="33" t="s">
        <v>8</v>
      </c>
      <c r="C43" s="34">
        <f>450*3.53/10</f>
        <v>158.85</v>
      </c>
      <c r="D43" s="61">
        <f t="shared" ref="D43:D49" ca="1" si="5">$E$38/C43</f>
        <v>0.74756807647991041</v>
      </c>
      <c r="E43" s="34">
        <f>$W$3*T4/10</f>
        <v>158.85</v>
      </c>
      <c r="F43" s="63">
        <f ca="1">$E$39/E43</f>
        <v>0.71770062640471721</v>
      </c>
      <c r="H43" s="49">
        <f t="shared" si="4"/>
        <v>25</v>
      </c>
      <c r="I43" s="15">
        <f t="shared" ca="1" si="2"/>
        <v>-0.49332103051876386</v>
      </c>
      <c r="J43" s="16">
        <f t="shared" ca="1" si="3"/>
        <v>0.24336563915209514</v>
      </c>
      <c r="K43" s="17"/>
      <c r="L43" s="18">
        <f t="shared" ca="1" si="0"/>
        <v>-100.78714165142949</v>
      </c>
      <c r="M43" s="17"/>
      <c r="N43" s="17"/>
    </row>
    <row r="44" spans="2:21" x14ac:dyDescent="0.3">
      <c r="B44" s="33" t="s">
        <v>6</v>
      </c>
      <c r="C44" s="34">
        <v>252.5</v>
      </c>
      <c r="D44" s="61">
        <f t="shared" ca="1" si="5"/>
        <v>0.47030173841122286</v>
      </c>
      <c r="E44" s="34">
        <f>$W$3*T5/10</f>
        <v>252.45</v>
      </c>
      <c r="F44" s="63">
        <f t="shared" ref="F44:F49" ca="1" si="6">$E$39/E44</f>
        <v>0.45160128542043704</v>
      </c>
      <c r="H44" s="49">
        <f t="shared" si="4"/>
        <v>26</v>
      </c>
      <c r="I44" s="15">
        <f t="shared" ca="1" si="2"/>
        <v>-0.53528468106273841</v>
      </c>
      <c r="J44" s="16">
        <f t="shared" ca="1" si="3"/>
        <v>0.28652968978043758</v>
      </c>
      <c r="K44" s="17"/>
      <c r="L44" s="18">
        <f t="shared" ca="1" si="0"/>
        <v>-109.36045624768565</v>
      </c>
      <c r="M44" s="17"/>
      <c r="N44" s="17"/>
    </row>
    <row r="45" spans="2:21" x14ac:dyDescent="0.3">
      <c r="B45" s="33" t="s">
        <v>4</v>
      </c>
      <c r="C45" s="34">
        <v>367.2</v>
      </c>
      <c r="D45" s="61">
        <f t="shared" ca="1" si="5"/>
        <v>0.32339648406545146</v>
      </c>
      <c r="E45" s="34">
        <f t="shared" ref="E45:E49" si="7">$W$3*T6/10</f>
        <v>367.2</v>
      </c>
      <c r="F45" s="63">
        <f t="shared" ca="1" si="6"/>
        <v>0.31047588372655049</v>
      </c>
      <c r="H45" s="49">
        <f t="shared" si="4"/>
        <v>27</v>
      </c>
      <c r="I45" s="15">
        <f t="shared" ca="1" si="2"/>
        <v>-0.5609839774397396</v>
      </c>
      <c r="J45" s="16">
        <f t="shared" ca="1" si="3"/>
        <v>0.31470302294411029</v>
      </c>
      <c r="K45" s="17"/>
      <c r="L45" s="18">
        <f t="shared" ca="1" si="0"/>
        <v>-114.61090871991686</v>
      </c>
      <c r="M45" s="17"/>
      <c r="N45" s="17"/>
    </row>
    <row r="46" spans="2:21" x14ac:dyDescent="0.3">
      <c r="B46" s="33" t="s">
        <v>5</v>
      </c>
      <c r="C46" s="34">
        <v>504</v>
      </c>
      <c r="D46" s="61">
        <f t="shared" ca="1" si="5"/>
        <v>0.23561743839054319</v>
      </c>
      <c r="E46" s="34">
        <f t="shared" si="7"/>
        <v>504</v>
      </c>
      <c r="F46" s="63">
        <f t="shared" ca="1" si="6"/>
        <v>0.22620385814362962</v>
      </c>
      <c r="H46" s="49">
        <f t="shared" si="4"/>
        <v>28</v>
      </c>
      <c r="I46" s="15">
        <f t="shared" ca="1" si="2"/>
        <v>-0.56963805953382396</v>
      </c>
      <c r="J46" s="16">
        <f t="shared" ca="1" si="3"/>
        <v>0.32448751886946037</v>
      </c>
      <c r="K46" s="17"/>
      <c r="L46" s="18">
        <f t="shared" ca="1" si="0"/>
        <v>-116.37896672661155</v>
      </c>
      <c r="M46" s="17"/>
      <c r="N46" s="17"/>
    </row>
    <row r="47" spans="2:21" x14ac:dyDescent="0.3">
      <c r="B47" s="33" t="s">
        <v>9</v>
      </c>
      <c r="C47" s="34">
        <f>450*14.72/10</f>
        <v>662.4</v>
      </c>
      <c r="D47" s="61">
        <f t="shared" ca="1" si="5"/>
        <v>0.17927413790584809</v>
      </c>
      <c r="E47" s="34">
        <f t="shared" si="7"/>
        <v>662.4</v>
      </c>
      <c r="F47" s="63">
        <f t="shared" ca="1" si="6"/>
        <v>0.17211163119623993</v>
      </c>
      <c r="H47" s="49">
        <f t="shared" si="4"/>
        <v>29</v>
      </c>
      <c r="I47" s="15">
        <f t="shared" ca="1" si="2"/>
        <v>-0.5609839774397396</v>
      </c>
      <c r="J47" s="16">
        <f t="shared" ca="1" si="3"/>
        <v>0.31470302294411029</v>
      </c>
      <c r="K47" s="17"/>
      <c r="L47" s="18">
        <f t="shared" ca="1" si="0"/>
        <v>-114.61090871991686</v>
      </c>
      <c r="M47" s="17"/>
      <c r="N47" s="17"/>
    </row>
    <row r="48" spans="2:21" x14ac:dyDescent="0.3">
      <c r="B48" s="33" t="s">
        <v>10</v>
      </c>
      <c r="C48" s="34">
        <f>450*17.58/10</f>
        <v>791.09999999999991</v>
      </c>
      <c r="D48" s="61">
        <f t="shared" ca="1" si="5"/>
        <v>0.15010894823515836</v>
      </c>
      <c r="E48" s="34">
        <f t="shared" si="7"/>
        <v>791.09999999999991</v>
      </c>
      <c r="F48" s="63">
        <f t="shared" ca="1" si="6"/>
        <v>0.14411167299252856</v>
      </c>
      <c r="H48" s="49">
        <f t="shared" si="4"/>
        <v>30</v>
      </c>
      <c r="I48" s="15">
        <f t="shared" ca="1" si="2"/>
        <v>-0.5352846810627383</v>
      </c>
      <c r="J48" s="16">
        <f t="shared" ca="1" si="3"/>
        <v>0.28652968978043747</v>
      </c>
      <c r="K48" s="17"/>
      <c r="L48" s="18">
        <f t="shared" ca="1" si="0"/>
        <v>-109.36045624768563</v>
      </c>
      <c r="M48" s="17"/>
      <c r="N48" s="17"/>
    </row>
    <row r="49" spans="2:14" ht="15" thickBot="1" x14ac:dyDescent="0.35">
      <c r="B49" s="35" t="s">
        <v>11</v>
      </c>
      <c r="C49" s="36">
        <f>450*20.3/10</f>
        <v>913.5</v>
      </c>
      <c r="D49" s="62">
        <f t="shared" ca="1" si="5"/>
        <v>0.12999582807754106</v>
      </c>
      <c r="E49" s="34">
        <f t="shared" si="7"/>
        <v>913.5</v>
      </c>
      <c r="F49" s="63">
        <f t="shared" ca="1" si="6"/>
        <v>0.12480212863096807</v>
      </c>
      <c r="H49" s="49">
        <f t="shared" si="4"/>
        <v>31</v>
      </c>
      <c r="I49" s="15">
        <f t="shared" ca="1" si="2"/>
        <v>-0.49332103051876419</v>
      </c>
      <c r="J49" s="16">
        <f t="shared" ca="1" si="3"/>
        <v>0.24336563915209547</v>
      </c>
      <c r="K49" s="17"/>
      <c r="L49" s="18">
        <f t="shared" ca="1" si="0"/>
        <v>-100.78714165142958</v>
      </c>
      <c r="M49" s="17"/>
      <c r="N49" s="17"/>
    </row>
    <row r="50" spans="2:14" ht="15" thickBot="1" x14ac:dyDescent="0.35">
      <c r="H50" s="49">
        <f t="shared" si="4"/>
        <v>32</v>
      </c>
      <c r="I50" s="15">
        <f t="shared" ca="1" si="2"/>
        <v>-0.43636807009496348</v>
      </c>
      <c r="J50" s="16">
        <f t="shared" ca="1" si="3"/>
        <v>0.19041709259840295</v>
      </c>
      <c r="K50" s="17"/>
      <c r="L50" s="18">
        <f t="shared" ca="1" si="0"/>
        <v>-89.151460756849232</v>
      </c>
      <c r="M50" s="17"/>
      <c r="N50" s="17"/>
    </row>
    <row r="51" spans="2:14" ht="15" thickBot="1" x14ac:dyDescent="0.35">
      <c r="C51" s="104" t="s">
        <v>50</v>
      </c>
      <c r="D51" s="104"/>
      <c r="E51" s="102" t="s">
        <v>51</v>
      </c>
      <c r="F51" s="103"/>
      <c r="H51" s="49">
        <f t="shared" si="4"/>
        <v>33</v>
      </c>
      <c r="I51" s="15">
        <f t="shared" ca="1" si="2"/>
        <v>-0.36615628667422545</v>
      </c>
      <c r="J51" s="16">
        <f t="shared" ca="1" si="3"/>
        <v>0.13407042627105756</v>
      </c>
      <c r="K51" s="17"/>
      <c r="L51" s="18">
        <f t="shared" ca="1" si="0"/>
        <v>-74.806957839987973</v>
      </c>
      <c r="M51" s="17"/>
      <c r="N51" s="17"/>
    </row>
    <row r="52" spans="2:14" x14ac:dyDescent="0.3">
      <c r="H52" s="49">
        <f t="shared" si="4"/>
        <v>34</v>
      </c>
      <c r="I52" s="15">
        <f t="shared" ca="1" si="2"/>
        <v>-0.28481902976691181</v>
      </c>
      <c r="J52" s="16">
        <f t="shared" ca="1" si="3"/>
        <v>8.1121879717364995E-2</v>
      </c>
      <c r="K52" s="17"/>
      <c r="L52" s="18">
        <f t="shared" ca="1" si="0"/>
        <v>-58.189483363305747</v>
      </c>
      <c r="M52" s="17"/>
      <c r="N52" s="17"/>
    </row>
    <row r="53" spans="2:14" x14ac:dyDescent="0.3">
      <c r="H53" s="49">
        <f t="shared" si="4"/>
        <v>35</v>
      </c>
      <c r="I53" s="15">
        <f t="shared" ca="1" si="2"/>
        <v>-0.19482769076551421</v>
      </c>
      <c r="J53" s="16">
        <f t="shared" ca="1" si="3"/>
        <v>3.7957829089022829E-2</v>
      </c>
      <c r="K53" s="17"/>
      <c r="L53" s="18">
        <f t="shared" ca="1" si="0"/>
        <v>-39.803950879928898</v>
      </c>
      <c r="M53" s="17"/>
      <c r="N53" s="17"/>
    </row>
    <row r="54" spans="2:14" ht="15" thickBot="1" x14ac:dyDescent="0.35">
      <c r="H54" s="49">
        <f t="shared" si="4"/>
        <v>36</v>
      </c>
      <c r="I54" s="15">
        <f t="shared" ca="1" si="2"/>
        <v>-9.8916610967774932E-2</v>
      </c>
      <c r="J54" s="16">
        <f t="shared" ca="1" si="3"/>
        <v>9.7844959253501323E-3</v>
      </c>
      <c r="K54" s="37"/>
      <c r="L54" s="18">
        <f t="shared" ca="1" si="0"/>
        <v>-20.208995490836422</v>
      </c>
      <c r="M54" s="37"/>
      <c r="N54" s="37"/>
    </row>
    <row r="55" spans="2:14" ht="29.4" thickBot="1" x14ac:dyDescent="0.35">
      <c r="B55" s="75" t="s">
        <v>70</v>
      </c>
      <c r="C55" s="77">
        <f ca="1">A11</f>
        <v>1139.2761190676479</v>
      </c>
      <c r="H55" s="38">
        <f>MAX(H19:H54)</f>
        <v>36</v>
      </c>
      <c r="I55" s="28"/>
      <c r="J55" s="39">
        <f ca="1">SUM(J19:J54)</f>
        <v>5.8407753495347423</v>
      </c>
      <c r="K55" s="28"/>
      <c r="L55" s="40">
        <f ca="1">MAX(L19:L54)</f>
        <v>116.37896672661155</v>
      </c>
      <c r="M55" s="40">
        <f>SUM(M19:M54)</f>
        <v>0</v>
      </c>
      <c r="N55" s="41">
        <f>SUM(N19:N54)</f>
        <v>0</v>
      </c>
    </row>
    <row r="56" spans="2:14" ht="15" thickBot="1" x14ac:dyDescent="0.35"/>
    <row r="57" spans="2:14" ht="43.8" thickBot="1" x14ac:dyDescent="0.35">
      <c r="B57" s="75" t="s">
        <v>69</v>
      </c>
      <c r="C57" s="76">
        <f>AH4*AH5*AH6</f>
        <v>1080</v>
      </c>
    </row>
  </sheetData>
  <mergeCells count="4">
    <mergeCell ref="Y11:Z11"/>
    <mergeCell ref="E51:F51"/>
    <mergeCell ref="C51:D51"/>
    <mergeCell ref="S15:V15"/>
  </mergeCells>
  <conditionalFormatting sqref="D43:D49 F43:F49">
    <cfRule type="cellIs" dxfId="3" priority="5" operator="between">
      <formula>0.6</formula>
      <formula>0.8</formula>
    </cfRule>
    <cfRule type="cellIs" dxfId="2" priority="6" operator="between">
      <formula>0.8</formula>
      <formula>0.95</formula>
    </cfRule>
    <cfRule type="cellIs" dxfId="1" priority="7" operator="greaterThan">
      <formula>0.95</formula>
    </cfRule>
  </conditionalFormatting>
  <conditionalFormatting sqref="E23">
    <cfRule type="cellIs" dxfId="0" priority="4" operator="notEqual">
      <formula>$H$55</formula>
    </cfRule>
  </conditionalFormatting>
  <dataValidations count="5">
    <dataValidation type="list" allowBlank="1" showInputMessage="1" showErrorMessage="1" sqref="H3" xr:uid="{00000000-0002-0000-0000-000000000000}">
      <formula1>$K$3:$K$10</formula1>
    </dataValidation>
    <dataValidation type="list" allowBlank="1" showInputMessage="1" showErrorMessage="1" sqref="U3" xr:uid="{00000000-0002-0000-0000-000001000000}">
      <formula1>$AB$3:$AB$5</formula1>
    </dataValidation>
    <dataValidation type="list" allowBlank="1" showInputMessage="1" showErrorMessage="1" sqref="V3" xr:uid="{00000000-0002-0000-0000-000002000000}">
      <formula1>$AA$3:$AA$4</formula1>
    </dataValidation>
    <dataValidation type="list" allowBlank="1" showInputMessage="1" showErrorMessage="1" sqref="AH15" xr:uid="{00000000-0002-0000-0000-000003000000}">
      <formula1>$AJ$15:$AJ$16</formula1>
    </dataValidation>
    <dataValidation type="list" allowBlank="1" showInputMessage="1" showErrorMessage="1" sqref="AH23" xr:uid="{00000000-0002-0000-0000-000004000000}">
      <formula1>$AJ$18:$AJ$19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Фланец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2023-09-12T13:34:33Z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sergey.glazkov-nac@naclng.com</vt:lpwstr>
  </property>
  <property fmtid="{D5CDD505-2E9C-101B-9397-08002B2CF9AE}" pid="5" name="MSIP_Label_3b48b937-0ae3-46f5-b32e-f3232b5be847_SetDate">
    <vt:lpwstr>2021-12-23T11:40:54.1561020Z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sergey.glazkov-nac@naclng.com</vt:lpwstr>
  </property>
  <property fmtid="{D5CDD505-2E9C-101B-9397-08002B2CF9AE}" pid="12" name="MSIP_Label_b29603fb-7fab-4bf6-8ed3-004985bb9d91_SetDate">
    <vt:lpwstr>2021-12-23T11:40:54.1561020Z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