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"/>
    </mc:Choice>
  </mc:AlternateContent>
  <xr:revisionPtr revIDLastSave="0" documentId="13_ncr:1_{64687224-DA07-4D1A-9116-E0059A6C60DE}" xr6:coauthVersionLast="47" xr6:coauthVersionMax="47" xr10:uidLastSave="{00000000-0000-0000-0000-000000000000}"/>
  <bookViews>
    <workbookView xWindow="1536" yWindow="1536" windowWidth="17280" windowHeight="8880" firstSheet="3" activeTab="3" xr2:uid="{00000000-000D-0000-FFFF-FFFF00000000}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46" i="4" l="1"/>
  <c r="D47" i="4" s="1"/>
  <c r="D64" i="4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l="1"/>
  <c r="D69" i="4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3" i="4"/>
  <c r="D82" i="4"/>
  <c r="H27" i="4"/>
  <c r="H26" i="4"/>
  <c r="D84" i="4" l="1"/>
  <c r="D86" i="4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<sst xmlns="http://schemas.openxmlformats.org/spreadsheetml/2006/main" count="519" uniqueCount="386">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</sst>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14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123</v>
      </c>
      <c r="C24" s="77">
        <f>MATCH(B24,B3:B19,0)</f>
        <v>7</v>
      </c>
      <c r="D24" s="107">
        <v>30</v>
      </c>
      <c r="E24" s="109">
        <v>21</v>
      </c>
      <c r="F24" s="106">
        <v>2</v>
      </c>
      <c r="G24" s="116">
        <v>32000</v>
      </c>
      <c r="H24" s="119" t="s">
        <v>385</v>
      </c>
      <c r="I24" s="117" t="s">
        <v>145</v>
      </c>
    </row>
  </sheetData>
  <dataValidations disablePrompts="1" count="1">
    <dataValidation type="list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11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>
        <v>1</v>
      </c>
      <c r="E6" s="1"/>
      <c r="F6" s="1"/>
      <c r="G6" s="1"/>
      <c r="H6" s="1"/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157</v>
      </c>
      <c r="E7" s="1"/>
      <c r="F7" s="1"/>
      <c r="G7" s="1"/>
      <c r="H7" s="1"/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157</v>
      </c>
      <c r="E8" s="29"/>
      <c r="F8" s="29"/>
      <c r="G8" s="29"/>
      <c r="H8" s="29"/>
      <c r="M8" s="29" t="s">
        <v>157</v>
      </c>
      <c r="N8" s="29">
        <v>1.25</v>
      </c>
      <c r="P8" s="29" t="s">
        <v>158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/>
      <c r="F9" s="8"/>
      <c r="G9" s="8"/>
      <c r="H9" s="8"/>
      <c r="M9" s="1" t="s">
        <v>159</v>
      </c>
      <c r="N9" s="1">
        <v>1.3</v>
      </c>
    </row>
    <row r="10" spans="2:17" x14ac:dyDescent="0.3">
      <c r="B10" s="29" t="s">
        <v>45</v>
      </c>
      <c r="C10" s="29"/>
      <c r="D10" s="8">
        <v>15</v>
      </c>
      <c r="E10" s="8"/>
      <c r="F10" s="8"/>
      <c r="G10" s="8"/>
      <c r="H10" s="8"/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15</v>
      </c>
      <c r="E11" s="56">
        <f>IF(E7="нет грунта","данный слой отсутствует",E10-E9)</f>
        <v>0</v>
      </c>
      <c r="F11" s="56">
        <f>IF(F7="нет грунта","данный слой отсутствует",F10-F9)</f>
        <v>0</v>
      </c>
      <c r="G11" s="56">
        <f>IF(G7="нет грунта","данный слой отсутствует",G10-G9)</f>
        <v>0</v>
      </c>
      <c r="H11" s="57">
        <f>IF(H7="нет грунта","данный слой отсутствует",H10-H9)</f>
        <v>0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160</v>
      </c>
      <c r="K12" s="128"/>
    </row>
    <row r="13" spans="2:17" x14ac:dyDescent="0.3">
      <c r="B13" s="29" t="s">
        <v>51</v>
      </c>
      <c r="C13" s="29"/>
      <c r="D13" s="1">
        <v>0.8</v>
      </c>
      <c r="E13" s="1"/>
      <c r="F13" s="1"/>
      <c r="G13" s="1"/>
      <c r="H13" s="1"/>
    </row>
    <row r="14" spans="2:17" x14ac:dyDescent="0.3">
      <c r="B14" s="1" t="s">
        <v>53</v>
      </c>
      <c r="C14" s="1"/>
      <c r="D14" s="1">
        <v>0</v>
      </c>
      <c r="E14" s="1"/>
      <c r="F14" s="1"/>
      <c r="G14" s="1"/>
      <c r="H14" s="1"/>
      <c r="J14" s="1" t="s">
        <v>161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25</v>
      </c>
      <c r="E15" s="1"/>
      <c r="F15" s="1"/>
      <c r="G15" s="1"/>
      <c r="H15" s="1"/>
      <c r="J15" s="1" t="s">
        <v>162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25</v>
      </c>
    </row>
    <row r="16" spans="2:17" x14ac:dyDescent="0.3">
      <c r="B16" s="1" t="s">
        <v>57</v>
      </c>
      <c r="C16" s="1"/>
      <c r="D16" s="8">
        <v>1.88</v>
      </c>
      <c r="E16" s="8"/>
      <c r="F16" s="8"/>
      <c r="G16" s="8"/>
      <c r="H16" s="8"/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1.63</v>
      </c>
      <c r="E17" s="30">
        <f>ROUND(IF($B$23&lt;$B$3,(2.72-1)/(1+E13)*($B$3-$B$23)/$B$3+E16*$B$23/$B$3,E16),2)</f>
        <v>0.47</v>
      </c>
      <c r="F17" s="30">
        <f>ROUND(IF($B$23&lt;$B$3,(2.72-1)/(1+F13)*($B$3-$B$23)/$B$3+F16*$B$23/$B$3,F16),2)</f>
        <v>0.47</v>
      </c>
      <c r="G17" s="30">
        <f>ROUND(IF($B$23&lt;$B$3,(2.72-1)/(1+G13)*($B$3-$B$23)/$B$3+G16*$B$23/$B$3,G16),2)</f>
        <v>0.47</v>
      </c>
      <c r="H17" s="30">
        <f>ROUND(IF($B$23&lt;$B$3,(2.72-1)/(1+H13)*($B$3-$B$23)/$B$3+H16*$B$23/$B$3,H16),2)</f>
        <v>0.47</v>
      </c>
      <c r="J17" s="1" t="s">
        <v>163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1.63</v>
      </c>
    </row>
    <row r="18" spans="2:11" x14ac:dyDescent="0.3">
      <c r="B18" s="1" t="s">
        <v>27</v>
      </c>
      <c r="C18" s="1"/>
      <c r="D18" s="1">
        <v>8000000</v>
      </c>
      <c r="E18" s="1"/>
      <c r="F18" s="1"/>
      <c r="G18" s="1"/>
      <c r="H18" s="1"/>
      <c r="J18" s="1" t="s">
        <v>164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8000000</v>
      </c>
    </row>
    <row r="19" spans="2:11" x14ac:dyDescent="0.3">
      <c r="B19" s="56" t="s">
        <v>165</v>
      </c>
      <c r="C19" s="56" t="s">
        <v>166</v>
      </c>
      <c r="D19" s="56">
        <f>MATCH(D7,$M$6:$M$10,0)</f>
        <v>3</v>
      </c>
      <c r="E19" s="56" t="e">
        <f>MATCH(E7,$M$6:$M$10,0)</f>
        <v>#N/A</v>
      </c>
      <c r="F19" s="56" t="e">
        <f>MATCH(F7,$M$6:$M$10,0)</f>
        <v>#N/A</v>
      </c>
      <c r="G19" s="56" t="e">
        <f>MATCH(G7,$M$6:$M$10,0)</f>
        <v>#N/A</v>
      </c>
      <c r="H19" s="56" t="e">
        <f>MATCH(H7,$M$6:$M$10,0)</f>
        <v>#N/A</v>
      </c>
    </row>
    <row r="20" spans="2:11" x14ac:dyDescent="0.3">
      <c r="B20" s="56" t="s">
        <v>148</v>
      </c>
      <c r="C20" s="56"/>
      <c r="D20" s="57">
        <f ca="1">OFFSET($N$5,D19,0)</f>
        <v>1.25</v>
      </c>
      <c r="E20" s="57" t="e">
        <f ca="1">OFFSET($N$5,E19,0)</f>
        <v>#N/A</v>
      </c>
      <c r="F20" s="57" t="e">
        <f ca="1">OFFSET($N$5,F19,0)</f>
        <v>#N/A</v>
      </c>
      <c r="G20" s="57" t="e">
        <f ca="1">OFFSET($N$5,G19,0)</f>
        <v>#N/A</v>
      </c>
      <c r="H20" s="57" t="e">
        <f ca="1">OFFSET($N$5,H19,0)</f>
        <v>#N/A</v>
      </c>
    </row>
    <row r="22" spans="2:11" x14ac:dyDescent="0.3">
      <c r="B22" s="1" t="s">
        <v>30</v>
      </c>
    </row>
    <row r="23" spans="2:11" x14ac:dyDescent="0.3">
      <c r="B23" s="1">
        <v>8</v>
      </c>
    </row>
    <row r="25" spans="2:11" x14ac:dyDescent="0.3">
      <c r="B25" s="1" t="s">
        <v>167</v>
      </c>
      <c r="C25" s="1" t="s">
        <v>149</v>
      </c>
    </row>
    <row r="26" spans="2:11" x14ac:dyDescent="0.3">
      <c r="B26" s="1" t="s">
        <v>155</v>
      </c>
      <c r="C26" s="8" t="s">
        <v>145</v>
      </c>
      <c r="K26" s="28"/>
    </row>
    <row r="27" spans="2:11" x14ac:dyDescent="0.3">
      <c r="B27" s="64">
        <f>MATCH(B26,P6:P8,0)</f>
        <v>2</v>
      </c>
      <c r="C27" s="1" t="s">
        <v>148</v>
      </c>
    </row>
    <row r="28" spans="2:11" x14ac:dyDescent="0.3">
      <c r="C28" s="63">
        <v>1.25</v>
      </c>
      <c r="D28" s="110"/>
    </row>
    <row r="30" spans="2:11" ht="270" customHeight="1" x14ac:dyDescent="0.3">
      <c r="J30" s="58" t="s">
        <v>168</v>
      </c>
    </row>
  </sheetData>
  <mergeCells count="1">
    <mergeCell ref="J12:K12"/>
  </mergeCells>
  <dataValidations count="2">
    <dataValidation type="list" showInputMessage="1" showErrorMessage="1" sqref="D7:H7" xr:uid="{00000000-0002-0000-0200-000000000000}">
      <formula1>$M$6:$M$10</formula1>
    </dataValidation>
    <dataValidation type="list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169</v>
      </c>
      <c r="C1" s="139"/>
      <c r="D1" s="135"/>
      <c r="G1" s="140" t="s">
        <v>170</v>
      </c>
      <c r="H1" s="135"/>
      <c r="I1" s="37"/>
      <c r="J1" s="37"/>
      <c r="K1" s="37"/>
      <c r="L1" s="129" t="s">
        <v>171</v>
      </c>
      <c r="M1" s="130"/>
      <c r="N1" s="122"/>
    </row>
    <row r="2" spans="2:24" x14ac:dyDescent="0.3">
      <c r="B2" s="124" t="s">
        <v>172</v>
      </c>
      <c r="C2" s="124"/>
      <c r="D2" s="123"/>
      <c r="G2" s="37"/>
      <c r="H2" s="37"/>
      <c r="I2" s="37"/>
      <c r="J2" s="37"/>
      <c r="K2" s="37"/>
      <c r="L2" s="125" t="s">
        <v>173</v>
      </c>
      <c r="M2" s="24">
        <f>I6*1000</f>
        <v>1700</v>
      </c>
      <c r="N2" s="122"/>
    </row>
    <row r="3" spans="2:24" x14ac:dyDescent="0.3">
      <c r="B3" s="123"/>
      <c r="C3" s="123"/>
      <c r="D3" s="123"/>
      <c r="E3" s="65" t="s">
        <v>174</v>
      </c>
      <c r="G3" s="37"/>
      <c r="H3" s="37"/>
      <c r="I3" s="37"/>
      <c r="J3" s="37"/>
      <c r="K3" s="37"/>
      <c r="L3" s="125" t="s">
        <v>175</v>
      </c>
      <c r="M3" s="24">
        <f>I8*1000</f>
        <v>16</v>
      </c>
      <c r="N3" s="122"/>
      <c r="R3" s="38" t="s">
        <v>176</v>
      </c>
      <c r="S3" s="11" t="s">
        <v>177</v>
      </c>
      <c r="T3" s="1" t="s">
        <v>178</v>
      </c>
      <c r="U3" s="1" t="s">
        <v>179</v>
      </c>
      <c r="V3" s="1" t="s">
        <v>180</v>
      </c>
      <c r="W3" s="1" t="s">
        <v>181</v>
      </c>
      <c r="X3" s="1" t="s">
        <v>182</v>
      </c>
    </row>
    <row r="4" spans="2:24" x14ac:dyDescent="0.3">
      <c r="B4" s="124" t="s">
        <v>112</v>
      </c>
      <c r="C4" s="124"/>
      <c r="D4" s="3">
        <v>0</v>
      </c>
      <c r="G4" s="134" t="s">
        <v>183</v>
      </c>
      <c r="H4" s="135"/>
      <c r="I4" s="123"/>
      <c r="J4" s="16" t="s">
        <v>184</v>
      </c>
      <c r="K4" s="37"/>
      <c r="L4" s="125" t="s">
        <v>185</v>
      </c>
      <c r="M4" s="24">
        <f>(I5+I7)*1000</f>
        <v>11500</v>
      </c>
      <c r="N4" s="122"/>
      <c r="R4" s="38" t="s">
        <v>186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187</v>
      </c>
      <c r="C5" s="124"/>
      <c r="D5" s="61"/>
      <c r="E5" s="120" t="s">
        <v>188</v>
      </c>
      <c r="G5" s="39" t="s">
        <v>189</v>
      </c>
      <c r="H5" s="40" t="s">
        <v>190</v>
      </c>
      <c r="I5" s="17">
        <f>'Задание грунтов'!B3</f>
        <v>11</v>
      </c>
      <c r="J5" s="16"/>
      <c r="K5" s="37"/>
      <c r="L5" s="125" t="s">
        <v>191</v>
      </c>
      <c r="M5" s="3">
        <v>7850</v>
      </c>
      <c r="N5" s="122"/>
      <c r="R5" s="38" t="s">
        <v>192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161</v>
      </c>
      <c r="C6" s="39" t="s">
        <v>193</v>
      </c>
      <c r="D6" s="123"/>
      <c r="G6" s="39" t="s">
        <v>194</v>
      </c>
      <c r="H6" s="40" t="s">
        <v>195</v>
      </c>
      <c r="I6" s="24">
        <f>J6/1000</f>
        <v>1.7</v>
      </c>
      <c r="J6" s="17">
        <f>'Расчет массы фланца'!C3</f>
        <v>1700</v>
      </c>
      <c r="K6" s="37"/>
      <c r="L6" s="125"/>
      <c r="M6" s="123"/>
      <c r="N6" s="122"/>
    </row>
    <row r="7" spans="2:24" ht="30" customHeight="1" x14ac:dyDescent="0.3">
      <c r="B7" s="123"/>
      <c r="C7" s="40" t="s">
        <v>196</v>
      </c>
      <c r="D7" s="27">
        <f>IF(Интерфейс!B8 = "Исходных данных нет",'Типовые грунты'!E24,'Задание грунтов'!K14)</f>
        <v>0</v>
      </c>
      <c r="E7" s="120" t="s">
        <v>197</v>
      </c>
      <c r="G7" s="39" t="s">
        <v>198</v>
      </c>
      <c r="H7" s="41" t="s">
        <v>199</v>
      </c>
      <c r="I7" s="17">
        <v>0.5</v>
      </c>
      <c r="J7" s="16"/>
      <c r="K7" s="37"/>
      <c r="L7" s="125" t="s">
        <v>200</v>
      </c>
      <c r="M7" s="22">
        <f>M2*TAN(3.14159/12)</f>
        <v>455.51322421749518</v>
      </c>
      <c r="N7" s="122"/>
    </row>
    <row r="8" spans="2:24" ht="15" customHeight="1" x14ac:dyDescent="0.3">
      <c r="B8" s="33" t="s">
        <v>162</v>
      </c>
      <c r="C8" s="41" t="s">
        <v>108</v>
      </c>
      <c r="D8" s="123"/>
      <c r="G8" s="39" t="s">
        <v>201</v>
      </c>
      <c r="H8" s="39" t="s">
        <v>202</v>
      </c>
      <c r="I8" s="24">
        <f>J8/1000</f>
        <v>1.6E-2</v>
      </c>
      <c r="J8" s="17">
        <f>'Расчет массы фланца'!C4</f>
        <v>16</v>
      </c>
      <c r="K8" s="37"/>
      <c r="L8" s="125" t="s">
        <v>203</v>
      </c>
      <c r="M8" s="22">
        <f>M7*12</f>
        <v>5466.1586906099419</v>
      </c>
      <c r="N8" s="122"/>
    </row>
    <row r="9" spans="2:24" ht="30" customHeight="1" x14ac:dyDescent="0.3">
      <c r="B9" s="33"/>
      <c r="C9" s="54" t="s">
        <v>204</v>
      </c>
      <c r="D9" s="27">
        <f>IF(Интерфейс!B8 = "Исходных данных нет",'Типовые грунты'!D24,'Задание грунтов'!K15)</f>
        <v>25</v>
      </c>
      <c r="E9" s="120" t="s">
        <v>197</v>
      </c>
      <c r="G9" s="39" t="s">
        <v>205</v>
      </c>
      <c r="H9" s="39" t="s">
        <v>206</v>
      </c>
      <c r="I9" s="20">
        <f>206000000</f>
        <v>206000000</v>
      </c>
      <c r="J9" s="16"/>
      <c r="K9" s="37"/>
      <c r="L9" s="125" t="s">
        <v>207</v>
      </c>
      <c r="M9" s="22">
        <f>M8*M3</f>
        <v>87458.539049759071</v>
      </c>
      <c r="N9" s="122"/>
      <c r="R9" s="1" t="s">
        <v>208</v>
      </c>
    </row>
    <row r="10" spans="2:24" ht="30" customHeight="1" x14ac:dyDescent="0.3">
      <c r="B10" s="33"/>
      <c r="C10" s="39" t="s">
        <v>209</v>
      </c>
      <c r="D10" s="25">
        <f>RADIANS(D9)</f>
        <v>0.43633231299858238</v>
      </c>
      <c r="G10" s="39" t="s">
        <v>210</v>
      </c>
      <c r="H10" s="39" t="s">
        <v>211</v>
      </c>
      <c r="I10" s="26">
        <f>PI()/64*(I6^4-(I6-2*I8)^4)</f>
        <v>3.0008572245490018E-2</v>
      </c>
      <c r="J10" s="16"/>
      <c r="K10" s="37"/>
      <c r="L10" s="125" t="s">
        <v>212</v>
      </c>
      <c r="M10" s="23">
        <f>M4*M9*10^(-9)</f>
        <v>1.0057731990722294</v>
      </c>
      <c r="N10" s="122"/>
      <c r="R10" s="42" t="s">
        <v>213</v>
      </c>
    </row>
    <row r="11" spans="2:24" x14ac:dyDescent="0.3">
      <c r="B11" s="39" t="s">
        <v>214</v>
      </c>
      <c r="C11" s="39" t="s">
        <v>215</v>
      </c>
      <c r="D11" s="19">
        <v>14000</v>
      </c>
      <c r="G11" s="37"/>
      <c r="H11" s="37"/>
      <c r="I11" s="37"/>
      <c r="J11" s="37"/>
      <c r="K11" s="37"/>
      <c r="L11" s="15" t="s">
        <v>216</v>
      </c>
      <c r="M11" s="21">
        <f>M5*M10</f>
        <v>7895.3196127170004</v>
      </c>
      <c r="N11" s="122"/>
      <c r="R11" s="43" t="s">
        <v>217</v>
      </c>
    </row>
    <row r="12" spans="2:24" x14ac:dyDescent="0.3">
      <c r="B12" s="39" t="s">
        <v>218</v>
      </c>
      <c r="C12" s="41" t="s">
        <v>110</v>
      </c>
      <c r="D12" s="25"/>
      <c r="E12" s="120" t="s">
        <v>188</v>
      </c>
      <c r="G12" s="37"/>
      <c r="H12" s="37"/>
      <c r="I12" s="37"/>
      <c r="J12" s="37"/>
      <c r="K12" s="37"/>
      <c r="L12" s="16"/>
      <c r="M12" s="16"/>
      <c r="N12" s="122"/>
      <c r="R12" s="44" t="s">
        <v>219</v>
      </c>
    </row>
    <row r="13" spans="2:24" ht="30" customHeight="1" x14ac:dyDescent="0.3">
      <c r="B13" s="39" t="s">
        <v>163</v>
      </c>
      <c r="C13" s="54" t="s">
        <v>110</v>
      </c>
      <c r="D13" s="18">
        <f>IF(Интерфейс!B8 = "Исходных данных нет",'Типовые грунты'!F24,'Задание грунтов'!K17)</f>
        <v>1.63</v>
      </c>
      <c r="E13" s="120" t="s">
        <v>197</v>
      </c>
      <c r="G13" s="37"/>
      <c r="H13" s="37"/>
      <c r="I13" s="36" t="s">
        <v>220</v>
      </c>
      <c r="J13" s="36" t="s">
        <v>221</v>
      </c>
      <c r="K13" s="37"/>
      <c r="L13" s="37"/>
      <c r="M13" s="37"/>
      <c r="R13" s="45" t="s">
        <v>222</v>
      </c>
    </row>
    <row r="14" spans="2:24" ht="18" customHeight="1" x14ac:dyDescent="0.3">
      <c r="B14" s="39" t="s">
        <v>223</v>
      </c>
      <c r="C14" s="41" t="s">
        <v>224</v>
      </c>
      <c r="D14" s="3">
        <v>3</v>
      </c>
      <c r="G14" s="39" t="s">
        <v>225</v>
      </c>
      <c r="H14" s="40" t="s">
        <v>226</v>
      </c>
      <c r="I14" s="17">
        <v>5434.05</v>
      </c>
      <c r="J14" s="27">
        <f t="shared" ref="J14:J19" si="0">I14*1.1/1.3</f>
        <v>4598.042307692308</v>
      </c>
      <c r="K14" s="37"/>
      <c r="L14" s="37"/>
      <c r="M14" s="37"/>
      <c r="R14" s="46" t="s">
        <v>227</v>
      </c>
    </row>
    <row r="15" spans="2:24" ht="30" customHeight="1" x14ac:dyDescent="0.3">
      <c r="B15" s="39" t="s">
        <v>164</v>
      </c>
      <c r="C15" s="54" t="s">
        <v>111</v>
      </c>
      <c r="D15" s="62">
        <f>IF(Интерфейс!B8 = "Исходных данных нет",'Типовые грунты'!G24,'Задание грунтов'!K18)</f>
        <v>8000000</v>
      </c>
      <c r="E15" s="120" t="s">
        <v>197</v>
      </c>
      <c r="G15" s="39"/>
      <c r="H15" s="39" t="s">
        <v>228</v>
      </c>
      <c r="I15" s="3">
        <f>I14+I16*I7</f>
        <v>5579.58</v>
      </c>
      <c r="J15" s="22">
        <f t="shared" si="0"/>
        <v>4721.1830769230774</v>
      </c>
      <c r="K15" s="37"/>
      <c r="L15" s="37"/>
      <c r="M15" s="37"/>
    </row>
    <row r="16" spans="2:24" x14ac:dyDescent="0.3">
      <c r="B16" s="39" t="s">
        <v>229</v>
      </c>
      <c r="C16" s="41" t="s">
        <v>230</v>
      </c>
      <c r="D16" s="24">
        <f>'Задание грунтов'!B23</f>
        <v>8</v>
      </c>
      <c r="E16" s="120" t="s">
        <v>188</v>
      </c>
      <c r="G16" s="39" t="s">
        <v>231</v>
      </c>
      <c r="H16" s="40" t="s">
        <v>232</v>
      </c>
      <c r="I16" s="17">
        <v>291.06</v>
      </c>
      <c r="J16" s="27">
        <f t="shared" si="0"/>
        <v>246.2815384615385</v>
      </c>
      <c r="K16" s="37"/>
      <c r="L16" s="37"/>
      <c r="M16" s="37"/>
    </row>
    <row r="17" spans="2:19" ht="18" customHeight="1" x14ac:dyDescent="0.3">
      <c r="G17" s="39"/>
      <c r="H17" s="39" t="s">
        <v>233</v>
      </c>
      <c r="I17" s="3">
        <f>I16</f>
        <v>291.06</v>
      </c>
      <c r="J17" s="22">
        <f t="shared" si="0"/>
        <v>246.2815384615385</v>
      </c>
      <c r="K17" s="37"/>
      <c r="L17" s="37"/>
      <c r="M17" s="37"/>
    </row>
    <row r="18" spans="2:19" x14ac:dyDescent="0.3">
      <c r="G18" s="39" t="s">
        <v>234</v>
      </c>
      <c r="H18" s="40" t="s">
        <v>235</v>
      </c>
      <c r="I18" s="17">
        <v>213.87</v>
      </c>
      <c r="J18" s="27">
        <f t="shared" si="0"/>
        <v>180.96692307692311</v>
      </c>
      <c r="K18" s="37"/>
      <c r="L18" s="37"/>
      <c r="M18" s="37"/>
    </row>
    <row r="19" spans="2:19" ht="18" customHeight="1" x14ac:dyDescent="0.3">
      <c r="G19" s="39"/>
      <c r="H19" s="39" t="s">
        <v>236</v>
      </c>
      <c r="I19" s="3">
        <f>I18</f>
        <v>213.87</v>
      </c>
      <c r="J19" s="22">
        <f t="shared" si="0"/>
        <v>180.96692307692311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172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161</v>
      </c>
      <c r="C22" s="40" t="s">
        <v>237</v>
      </c>
      <c r="D22" s="23">
        <f>D7/9.8</f>
        <v>0</v>
      </c>
      <c r="G22" s="37"/>
      <c r="H22" s="37"/>
      <c r="I22" s="37"/>
      <c r="J22" s="37"/>
      <c r="K22" s="37"/>
      <c r="L22" s="37"/>
      <c r="M22" s="37"/>
      <c r="R22" s="66" t="s">
        <v>238</v>
      </c>
      <c r="S22" s="38" t="s">
        <v>239</v>
      </c>
    </row>
    <row r="23" spans="2:19" ht="30" customHeight="1" x14ac:dyDescent="0.3">
      <c r="B23" s="136" t="s">
        <v>162</v>
      </c>
      <c r="C23" s="39" t="s">
        <v>204</v>
      </c>
      <c r="D23" s="2">
        <f>D9</f>
        <v>25</v>
      </c>
      <c r="G23" s="14" t="s">
        <v>80</v>
      </c>
      <c r="H23" s="39"/>
      <c r="I23" s="37"/>
      <c r="J23" s="37"/>
      <c r="K23" s="37"/>
      <c r="L23" s="37"/>
      <c r="M23" s="37"/>
      <c r="R23" s="66" t="s">
        <v>240</v>
      </c>
      <c r="S23" s="38" t="s">
        <v>241</v>
      </c>
    </row>
    <row r="24" spans="2:19" ht="18" customHeight="1" x14ac:dyDescent="0.3">
      <c r="B24" s="132"/>
      <c r="C24" s="39" t="s">
        <v>209</v>
      </c>
      <c r="D24" s="2">
        <f>RADIANS(D23)</f>
        <v>0.43633231299858238</v>
      </c>
      <c r="G24" s="39" t="s">
        <v>242</v>
      </c>
      <c r="H24" s="2">
        <f>I7+2/I31</f>
        <v>7.4052339532180707</v>
      </c>
      <c r="I24" s="37"/>
      <c r="J24" s="37"/>
      <c r="K24" s="37"/>
      <c r="L24" s="37"/>
      <c r="M24" s="37"/>
      <c r="R24" s="66" t="s">
        <v>243</v>
      </c>
      <c r="S24" s="38" t="s">
        <v>244</v>
      </c>
    </row>
    <row r="25" spans="2:19" x14ac:dyDescent="0.3">
      <c r="B25" s="39" t="s">
        <v>245</v>
      </c>
      <c r="C25" s="40" t="s">
        <v>246</v>
      </c>
      <c r="D25" s="25">
        <f>0.9*((TAN(D24)-0.1))</f>
        <v>0.32967689233949871</v>
      </c>
      <c r="G25" s="39" t="s">
        <v>247</v>
      </c>
      <c r="H25" s="2">
        <f>(I15+I16*H24)/I10*I6/2/1000</f>
        <v>219.09423852206814</v>
      </c>
      <c r="I25" s="37"/>
      <c r="J25" s="37"/>
      <c r="K25" s="37"/>
      <c r="L25" s="37"/>
      <c r="M25" s="37"/>
      <c r="R25" s="66" t="s">
        <v>248</v>
      </c>
      <c r="S25" s="38" t="s">
        <v>249</v>
      </c>
    </row>
    <row r="26" spans="2:19" x14ac:dyDescent="0.3">
      <c r="B26" s="39" t="s">
        <v>250</v>
      </c>
      <c r="C26" s="41" t="s">
        <v>251</v>
      </c>
      <c r="D26" s="2">
        <f>D13</f>
        <v>1.63</v>
      </c>
      <c r="G26" s="14" t="s">
        <v>252</v>
      </c>
      <c r="H26" s="48">
        <f>H25/235</f>
        <v>0.93231590860454527</v>
      </c>
      <c r="I26" s="37" t="s">
        <v>253</v>
      </c>
      <c r="J26" s="37"/>
      <c r="K26" s="37"/>
      <c r="L26" s="37"/>
      <c r="M26" s="37"/>
      <c r="R26" s="47"/>
    </row>
    <row r="27" spans="2:19" x14ac:dyDescent="0.3">
      <c r="B27" s="137" t="s">
        <v>254</v>
      </c>
      <c r="C27" s="41" t="s">
        <v>255</v>
      </c>
      <c r="D27" s="2">
        <f>DEGREES(D28)</f>
        <v>25</v>
      </c>
      <c r="G27" s="14" t="s">
        <v>256</v>
      </c>
      <c r="H27" s="48">
        <f>H25/335</f>
        <v>0.65401265230468097</v>
      </c>
      <c r="I27" s="37" t="s">
        <v>253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257</v>
      </c>
      <c r="D28" s="2">
        <f>ATAN(TAN(D24)+D22/10)</f>
        <v>0.43633231299858238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164</v>
      </c>
      <c r="C29" s="54" t="s">
        <v>258</v>
      </c>
      <c r="D29" s="2">
        <f>D15/9.8</f>
        <v>816326.53061224485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259</v>
      </c>
      <c r="H30" s="40" t="s">
        <v>260</v>
      </c>
      <c r="I30" s="24">
        <f>IF(I6&gt;0.8,(I6+1),(1.5*I6+0.5))</f>
        <v>2.7</v>
      </c>
      <c r="J30" s="37"/>
      <c r="K30" s="37"/>
      <c r="L30" s="37"/>
      <c r="M30" s="37"/>
      <c r="R30" s="47"/>
    </row>
    <row r="31" spans="2:19" x14ac:dyDescent="0.3">
      <c r="B31" s="134" t="s">
        <v>261</v>
      </c>
      <c r="C31" s="135"/>
      <c r="D31" s="123"/>
      <c r="G31" s="41" t="s">
        <v>262</v>
      </c>
      <c r="H31" s="41" t="s">
        <v>263</v>
      </c>
      <c r="I31" s="23">
        <f>(D11*I30/D14/I9/I10)^0.2</f>
        <v>0.28963537130670758</v>
      </c>
      <c r="J31" s="37"/>
      <c r="K31" s="37"/>
      <c r="L31" s="37"/>
      <c r="M31" s="37"/>
      <c r="R31" s="47"/>
    </row>
    <row r="32" spans="2:19" ht="18" customHeight="1" x14ac:dyDescent="0.3">
      <c r="B32" s="39" t="s">
        <v>225</v>
      </c>
      <c r="C32" s="39" t="s">
        <v>264</v>
      </c>
      <c r="D32" s="3">
        <f>I14</f>
        <v>5434.05</v>
      </c>
      <c r="G32" s="39" t="s">
        <v>265</v>
      </c>
      <c r="H32" s="49" t="s">
        <v>266</v>
      </c>
      <c r="I32" s="23">
        <f>I5*I31</f>
        <v>3.1859890843737833</v>
      </c>
      <c r="J32" s="37"/>
      <c r="K32" s="37"/>
      <c r="L32" s="37"/>
      <c r="M32" s="37"/>
      <c r="R32" s="47"/>
    </row>
    <row r="33" spans="2:18" ht="18" customHeight="1" x14ac:dyDescent="0.3">
      <c r="B33" s="39" t="s">
        <v>267</v>
      </c>
      <c r="C33" s="39" t="s">
        <v>268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231</v>
      </c>
      <c r="C34" s="39" t="s">
        <v>269</v>
      </c>
      <c r="D34" s="3">
        <f>I16</f>
        <v>291.06</v>
      </c>
      <c r="R34" s="47"/>
    </row>
    <row r="35" spans="2:18" ht="18" customHeight="1" x14ac:dyDescent="0.3">
      <c r="B35" s="39" t="s">
        <v>270</v>
      </c>
      <c r="C35" s="39" t="s">
        <v>271</v>
      </c>
      <c r="D35" s="3">
        <v>0</v>
      </c>
      <c r="R35" s="47"/>
    </row>
    <row r="36" spans="2:18" x14ac:dyDescent="0.3">
      <c r="B36" s="39" t="s">
        <v>234</v>
      </c>
      <c r="C36" s="39" t="s">
        <v>235</v>
      </c>
      <c r="D36" s="3">
        <f>I18</f>
        <v>213.87</v>
      </c>
      <c r="R36" s="47"/>
    </row>
    <row r="37" spans="2:18" x14ac:dyDescent="0.3">
      <c r="B37" s="39" t="s">
        <v>272</v>
      </c>
      <c r="C37" s="39"/>
      <c r="D37" s="2">
        <f>J16</f>
        <v>246.2815384615385</v>
      </c>
      <c r="R37" s="47"/>
    </row>
    <row r="38" spans="2:18" x14ac:dyDescent="0.3">
      <c r="B38" s="14" t="s">
        <v>273</v>
      </c>
      <c r="C38" s="39"/>
      <c r="D38" s="123"/>
      <c r="R38" s="47"/>
    </row>
    <row r="39" spans="2:18" ht="18" customHeight="1" x14ac:dyDescent="0.3">
      <c r="B39" s="39" t="s">
        <v>225</v>
      </c>
      <c r="C39" s="40" t="s">
        <v>274</v>
      </c>
      <c r="D39" s="2">
        <f>D32/9.8+D41*D52</f>
        <v>569.34489795918364</v>
      </c>
      <c r="R39" s="47"/>
    </row>
    <row r="40" spans="2:18" ht="18" customHeight="1" x14ac:dyDescent="0.3">
      <c r="B40" s="39" t="s">
        <v>267</v>
      </c>
      <c r="C40" s="39" t="s">
        <v>275</v>
      </c>
      <c r="D40" s="2">
        <f>D33/9.8+D42*D52</f>
        <v>0</v>
      </c>
      <c r="R40" s="47"/>
    </row>
    <row r="41" spans="2:18" ht="18" customHeight="1" x14ac:dyDescent="0.3">
      <c r="B41" s="39" t="s">
        <v>231</v>
      </c>
      <c r="C41" s="40" t="s">
        <v>276</v>
      </c>
      <c r="D41" s="2">
        <f>D34/9.8</f>
        <v>29.7</v>
      </c>
      <c r="R41" s="47"/>
    </row>
    <row r="42" spans="2:18" ht="18" customHeight="1" x14ac:dyDescent="0.3">
      <c r="B42" s="39" t="s">
        <v>270</v>
      </c>
      <c r="C42" s="39" t="s">
        <v>277</v>
      </c>
      <c r="D42" s="2">
        <f>D35/9.8</f>
        <v>0</v>
      </c>
      <c r="R42" s="47"/>
    </row>
    <row r="43" spans="2:18" x14ac:dyDescent="0.3">
      <c r="B43" s="39" t="s">
        <v>234</v>
      </c>
      <c r="C43" s="40" t="s">
        <v>278</v>
      </c>
      <c r="D43" s="2">
        <f>D36/9.8</f>
        <v>21.8234693877551</v>
      </c>
      <c r="R43" s="47"/>
    </row>
    <row r="44" spans="2:18" x14ac:dyDescent="0.3">
      <c r="B44" s="39" t="s">
        <v>279</v>
      </c>
      <c r="C44" s="40" t="s">
        <v>280</v>
      </c>
      <c r="D44" s="2">
        <f>D39/D41</f>
        <v>19.169861884147597</v>
      </c>
      <c r="R44" s="47"/>
    </row>
    <row r="45" spans="2:18" x14ac:dyDescent="0.3">
      <c r="B45" s="39" t="s">
        <v>272</v>
      </c>
      <c r="C45" s="40" t="s">
        <v>281</v>
      </c>
      <c r="D45" s="2">
        <f>D37/9.8</f>
        <v>25.130769230769232</v>
      </c>
    </row>
    <row r="46" spans="2:18" x14ac:dyDescent="0.3">
      <c r="B46" s="39" t="s">
        <v>282</v>
      </c>
      <c r="C46" s="39"/>
      <c r="D46" s="2">
        <f>MIN(D39:D40)/MAX(D39:D40)</f>
        <v>0</v>
      </c>
    </row>
    <row r="47" spans="2:18" ht="18" customHeight="1" x14ac:dyDescent="0.3">
      <c r="B47" s="39" t="s">
        <v>283</v>
      </c>
      <c r="C47" s="39" t="s">
        <v>284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183</v>
      </c>
      <c r="C49" s="14"/>
      <c r="D49" s="124"/>
    </row>
    <row r="50" spans="2:4" ht="15" customHeight="1" x14ac:dyDescent="0.3">
      <c r="B50" s="39" t="s">
        <v>189</v>
      </c>
      <c r="C50" s="40" t="s">
        <v>285</v>
      </c>
      <c r="D50" s="2">
        <f>I5</f>
        <v>11</v>
      </c>
    </row>
    <row r="51" spans="2:4" ht="18" customHeight="1" x14ac:dyDescent="0.3">
      <c r="B51" s="39" t="s">
        <v>194</v>
      </c>
      <c r="C51" s="40" t="s">
        <v>286</v>
      </c>
      <c r="D51" s="2">
        <f>I6</f>
        <v>1.7</v>
      </c>
    </row>
    <row r="52" spans="2:4" ht="18" customHeight="1" x14ac:dyDescent="0.3">
      <c r="B52" s="39" t="s">
        <v>198</v>
      </c>
      <c r="C52" s="39" t="s">
        <v>287</v>
      </c>
      <c r="D52" s="2">
        <f>I7</f>
        <v>0.5</v>
      </c>
    </row>
    <row r="53" spans="2:4" x14ac:dyDescent="0.3">
      <c r="B53" s="39" t="s">
        <v>288</v>
      </c>
      <c r="C53" s="39" t="s">
        <v>289</v>
      </c>
      <c r="D53" s="2">
        <v>0</v>
      </c>
    </row>
    <row r="54" spans="2:4" ht="18" customHeight="1" x14ac:dyDescent="0.3">
      <c r="B54" s="39" t="s">
        <v>290</v>
      </c>
      <c r="C54" s="39" t="s">
        <v>291</v>
      </c>
      <c r="D54" s="2"/>
    </row>
    <row r="55" spans="2:4" ht="18" customHeight="1" x14ac:dyDescent="0.3">
      <c r="B55" s="39" t="s">
        <v>292</v>
      </c>
      <c r="C55" s="39" t="s">
        <v>293</v>
      </c>
      <c r="D55" s="2">
        <v>0</v>
      </c>
    </row>
    <row r="56" spans="2:4" ht="18" customHeight="1" x14ac:dyDescent="0.3">
      <c r="B56" s="39" t="s">
        <v>294</v>
      </c>
      <c r="C56" s="39" t="s">
        <v>295</v>
      </c>
      <c r="D56" s="2"/>
    </row>
    <row r="57" spans="2:4" ht="18" customHeight="1" x14ac:dyDescent="0.3">
      <c r="B57" s="39" t="s">
        <v>296</v>
      </c>
      <c r="C57" s="39" t="s">
        <v>297</v>
      </c>
      <c r="D57" s="2">
        <v>1</v>
      </c>
    </row>
    <row r="58" spans="2:4" ht="18" customHeight="1" x14ac:dyDescent="0.3">
      <c r="B58" s="39" t="s">
        <v>298</v>
      </c>
      <c r="C58" s="39" t="s">
        <v>299</v>
      </c>
      <c r="D58" s="2">
        <v>1</v>
      </c>
    </row>
    <row r="59" spans="2:4" ht="18" customHeight="1" x14ac:dyDescent="0.3">
      <c r="B59" s="39" t="s">
        <v>300</v>
      </c>
      <c r="C59" s="39" t="s">
        <v>301</v>
      </c>
      <c r="D59" s="2">
        <v>0</v>
      </c>
    </row>
    <row r="60" spans="2:4" ht="18" customHeight="1" x14ac:dyDescent="0.3">
      <c r="B60" s="39" t="s">
        <v>302</v>
      </c>
      <c r="C60" s="39" t="s">
        <v>303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304</v>
      </c>
      <c r="C62" s="14"/>
      <c r="D62" s="124"/>
    </row>
    <row r="63" spans="2:4" x14ac:dyDescent="0.3">
      <c r="B63" s="39" t="s">
        <v>305</v>
      </c>
      <c r="C63" s="54" t="s">
        <v>306</v>
      </c>
      <c r="D63" s="23">
        <f>1-0.03*D22</f>
        <v>1</v>
      </c>
    </row>
    <row r="64" spans="2:4" x14ac:dyDescent="0.3">
      <c r="B64" s="41" t="s">
        <v>307</v>
      </c>
      <c r="C64" s="54" t="s">
        <v>308</v>
      </c>
      <c r="D64" s="23">
        <f>D44/D50</f>
        <v>1.7427147167406907</v>
      </c>
    </row>
    <row r="65" spans="2:4" ht="15" customHeight="1" x14ac:dyDescent="0.3">
      <c r="B65" s="131"/>
      <c r="C65" s="54" t="s">
        <v>309</v>
      </c>
      <c r="D65" s="23">
        <f>(D51/2+D53)*D25/D50</f>
        <v>2.5475032589870352E-2</v>
      </c>
    </row>
    <row r="66" spans="2:4" ht="18" customHeight="1" x14ac:dyDescent="0.3">
      <c r="B66" s="133"/>
      <c r="C66" s="54" t="s">
        <v>310</v>
      </c>
      <c r="D66" s="23">
        <f>(D51/2+D54)*D25/D50</f>
        <v>2.5475032589870352E-2</v>
      </c>
    </row>
    <row r="67" spans="2:4" x14ac:dyDescent="0.3">
      <c r="B67" s="133"/>
      <c r="C67" s="54" t="s">
        <v>311</v>
      </c>
      <c r="D67" s="23">
        <f>D26*TAN(RADIANS(45+D23/2))^2</f>
        <v>4.0161778819473897</v>
      </c>
    </row>
    <row r="68" spans="2:4" ht="14.25" customHeight="1" x14ac:dyDescent="0.3">
      <c r="B68" s="133"/>
      <c r="C68" s="54" t="s">
        <v>312</v>
      </c>
      <c r="D68" s="23">
        <f>2*D22*TAN(RADIANS(45+D23/2))</f>
        <v>0</v>
      </c>
    </row>
    <row r="69" spans="2:4" x14ac:dyDescent="0.3">
      <c r="B69" s="133"/>
      <c r="C69" s="54" t="s">
        <v>313</v>
      </c>
      <c r="D69" s="23">
        <f>D68/D67/D50</f>
        <v>0</v>
      </c>
    </row>
    <row r="70" spans="2:4" ht="18" customHeight="1" x14ac:dyDescent="0.3">
      <c r="B70" s="133"/>
      <c r="C70" s="54" t="s">
        <v>314</v>
      </c>
      <c r="D70" s="50">
        <f>D25*D51/2/D50</f>
        <v>2.5475032589870352E-2</v>
      </c>
    </row>
    <row r="71" spans="2:4" ht="18" customHeight="1" x14ac:dyDescent="0.3">
      <c r="B71" s="133"/>
      <c r="C71" s="54" t="s">
        <v>315</v>
      </c>
      <c r="D71" s="23">
        <f>2/3*TAN(D28/5)/TAN(RADIANS(45-D27/2))</f>
        <v>9.1553128865285299E-2</v>
      </c>
    </row>
    <row r="72" spans="2:4" ht="18" customHeight="1" x14ac:dyDescent="0.3">
      <c r="B72" s="132"/>
      <c r="C72" s="54" t="s">
        <v>316</v>
      </c>
      <c r="D72" s="23">
        <f>1+D71*D50/D51</f>
        <v>1.5924025985400814</v>
      </c>
    </row>
    <row r="73" spans="2:4" x14ac:dyDescent="0.3">
      <c r="B73" s="39" t="s">
        <v>317</v>
      </c>
      <c r="C73" s="54" t="s">
        <v>318</v>
      </c>
      <c r="D73" s="23">
        <f>D51*D72</f>
        <v>2.7070844175181383</v>
      </c>
    </row>
    <row r="74" spans="2:4" x14ac:dyDescent="0.3">
      <c r="B74" s="39" t="s">
        <v>319</v>
      </c>
      <c r="C74" s="54" t="s">
        <v>320</v>
      </c>
      <c r="D74" s="22">
        <f>D67*D73*D50*D50/2</f>
        <v>657.76402001314727</v>
      </c>
    </row>
    <row r="75" spans="2:4" x14ac:dyDescent="0.3">
      <c r="B75" s="39" t="s">
        <v>321</v>
      </c>
      <c r="C75" s="54" t="s">
        <v>322</v>
      </c>
      <c r="D75" s="23">
        <f>(D57-D51)*D59*(D68+D67*D55)*(1+0.3/D57)*0.71</f>
        <v>0</v>
      </c>
    </row>
    <row r="76" spans="2:4" ht="15" customHeight="1" x14ac:dyDescent="0.3">
      <c r="B76" s="39" t="s">
        <v>323</v>
      </c>
      <c r="C76" s="54" t="s">
        <v>324</v>
      </c>
      <c r="D76" s="23">
        <f>(D58-D51)*D60*(D68+D67*(D50-D56))*(1+0.3/D58)</f>
        <v>0</v>
      </c>
    </row>
    <row r="77" spans="2:4" x14ac:dyDescent="0.3">
      <c r="B77" s="131"/>
      <c r="C77" s="54" t="s">
        <v>325</v>
      </c>
      <c r="D77" s="23">
        <f>D75/D74</f>
        <v>0</v>
      </c>
    </row>
    <row r="78" spans="2:4" ht="15" customHeight="1" x14ac:dyDescent="0.3">
      <c r="B78" s="133"/>
      <c r="C78" s="54" t="s">
        <v>326</v>
      </c>
      <c r="D78" s="51">
        <f>D76/D74</f>
        <v>0</v>
      </c>
    </row>
    <row r="79" spans="2:4" ht="18" customHeight="1" x14ac:dyDescent="0.3">
      <c r="B79" s="133"/>
      <c r="C79" s="54" t="s">
        <v>327</v>
      </c>
      <c r="D79" s="20">
        <f>D25*D43/D74</f>
        <v>1.0938107511075899E-2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328</v>
      </c>
      <c r="C81" s="39" t="s">
        <v>329</v>
      </c>
      <c r="D81" s="2">
        <v>1</v>
      </c>
    </row>
    <row r="82" spans="2:13" x14ac:dyDescent="0.3">
      <c r="B82" s="133"/>
      <c r="C82" s="39" t="s">
        <v>330</v>
      </c>
      <c r="D82" s="2">
        <f>3/2*(D64+D69)</f>
        <v>2.6140720751110358</v>
      </c>
    </row>
    <row r="83" spans="2:13" x14ac:dyDescent="0.3">
      <c r="B83" s="133"/>
      <c r="C83" s="39" t="s">
        <v>331</v>
      </c>
      <c r="D83" s="2">
        <f>3*D64*D69</f>
        <v>0</v>
      </c>
    </row>
    <row r="84" spans="2:13" x14ac:dyDescent="0.3">
      <c r="B84" s="132"/>
      <c r="C84" s="39" t="s">
        <v>332</v>
      </c>
      <c r="D84" s="2">
        <f>-(1/4*((2*D69+1)*(3*D64+3*D70+2)-D69)+3/4*D79*(1+D64)-3/4*(D77*(D64+D55/D50-D65)-D78*(D64-D56/D50+D66+1)))</f>
        <v>-1.8486423933308607</v>
      </c>
    </row>
    <row r="85" spans="2:13" x14ac:dyDescent="0.3">
      <c r="B85" s="131"/>
      <c r="C85" s="40" t="s">
        <v>333</v>
      </c>
      <c r="D85" s="23">
        <f>(3*D64*D69-0.5625)/(3/2*(D64+D69)+1.5)</f>
        <v>-0.13672584965221313</v>
      </c>
    </row>
    <row r="86" spans="2:13" x14ac:dyDescent="0.3">
      <c r="B86" s="132"/>
      <c r="C86" s="40" t="s">
        <v>334</v>
      </c>
      <c r="D86" s="23">
        <f>(-1/4*(((2*D69+1)*(3*D64+3*D70+2)-D69)-3*(D77*(D64+D55/D50-D65)-D78*(D64-D56/D50+D66+1))+3*D79*(1+D64))+0.03125)/(3/2*(D64+D69)+1.5)</f>
        <v>-0.44175025623045522</v>
      </c>
    </row>
    <row r="87" spans="2:13" x14ac:dyDescent="0.3">
      <c r="B87" s="39" t="s">
        <v>335</v>
      </c>
      <c r="C87" s="54" t="s">
        <v>336</v>
      </c>
      <c r="D87" s="50">
        <f>-D85/2+SQRT((D85/2)^2-D86)</f>
        <v>0.73651241836870818</v>
      </c>
    </row>
    <row r="88" spans="2:13" x14ac:dyDescent="0.3">
      <c r="B88" s="39" t="s">
        <v>337</v>
      </c>
      <c r="C88" s="39"/>
      <c r="D88" s="2">
        <f>D55/D50</f>
        <v>0</v>
      </c>
    </row>
    <row r="89" spans="2:13" x14ac:dyDescent="0.3">
      <c r="B89" s="39" t="s">
        <v>338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339</v>
      </c>
      <c r="C91" s="14"/>
      <c r="D91" s="124"/>
      <c r="E91" s="121"/>
    </row>
    <row r="92" spans="2:13" ht="18" customHeight="1" x14ac:dyDescent="0.3">
      <c r="B92" s="39" t="s">
        <v>340</v>
      </c>
      <c r="C92" s="54" t="s">
        <v>143</v>
      </c>
      <c r="D92" s="25">
        <f>IF(Интерфейс!B8 = "Исходных данных нет",'Типовые грунты'!H24,'Задание грунтов'!C28)</f>
        <v>1.25</v>
      </c>
      <c r="E92" s="121" t="s">
        <v>341</v>
      </c>
    </row>
    <row r="93" spans="2:13" ht="18" customHeight="1" x14ac:dyDescent="0.3">
      <c r="B93" s="39" t="s">
        <v>342</v>
      </c>
      <c r="C93" s="54" t="s">
        <v>144</v>
      </c>
      <c r="D93" s="25" t="str">
        <f>IF(Интерфейс!B8 = "Исходных данных нет",'Типовые грунты'!I24,'Задание грунтов'!C26)</f>
        <v>1,3</v>
      </c>
      <c r="E93" s="121" t="s">
        <v>343</v>
      </c>
      <c r="M93" s="122"/>
    </row>
    <row r="94" spans="2:13" ht="18" customHeight="1" x14ac:dyDescent="0.3">
      <c r="B94" s="39"/>
      <c r="C94" s="40" t="s">
        <v>344</v>
      </c>
      <c r="D94" s="2">
        <f>D63/(D64+D87)*(D74*(2/3*(D87^3+3*D69*(D87^2-D87+1/2)-3/2*D87+1)+(2*D69+1)*D70)+D25*D43*(1-D87)+D75*(D87-D55/D50+D65)+D76*(1-D87-D56/D50+D66))*D47</f>
        <v>59.657377238825099</v>
      </c>
    </row>
    <row r="95" spans="2:13" ht="18" customHeight="1" x14ac:dyDescent="0.3">
      <c r="B95" s="39"/>
      <c r="C95" s="39" t="s">
        <v>345</v>
      </c>
      <c r="D95" s="2">
        <f>D94*D44</f>
        <v>1143.6236820387676</v>
      </c>
    </row>
    <row r="96" spans="2:13" ht="18" customHeight="1" x14ac:dyDescent="0.3">
      <c r="B96" s="39" t="s">
        <v>346</v>
      </c>
      <c r="C96" s="40" t="s">
        <v>347</v>
      </c>
      <c r="D96" s="2">
        <f>D94*D92/D93</f>
        <v>57.362862729639517</v>
      </c>
    </row>
    <row r="97" spans="2:5" ht="18" customHeight="1" x14ac:dyDescent="0.3">
      <c r="B97" s="39" t="s">
        <v>348</v>
      </c>
      <c r="C97" s="39" t="s">
        <v>349</v>
      </c>
      <c r="D97" s="2">
        <f>D96*D44</f>
        <v>1099.6381558065073</v>
      </c>
    </row>
    <row r="98" spans="2:5" x14ac:dyDescent="0.3">
      <c r="B98" s="14" t="s">
        <v>350</v>
      </c>
      <c r="C98" s="55"/>
      <c r="D98" s="53">
        <f>D41/D96</f>
        <v>0.51775658652150813</v>
      </c>
      <c r="E98" s="34" t="s">
        <v>253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351</v>
      </c>
      <c r="D101" s="2">
        <f>D51/D50</f>
        <v>0.15454545454545454</v>
      </c>
    </row>
    <row r="102" spans="2:5" ht="18" customHeight="1" x14ac:dyDescent="0.3">
      <c r="B102" s="39"/>
      <c r="C102" s="39" t="s">
        <v>352</v>
      </c>
      <c r="D102" s="2">
        <f>3*D57*D59/D50/D50</f>
        <v>0</v>
      </c>
    </row>
    <row r="103" spans="2:5" ht="18" customHeight="1" x14ac:dyDescent="0.3">
      <c r="B103" s="39"/>
      <c r="C103" s="39" t="s">
        <v>353</v>
      </c>
      <c r="D103" s="2">
        <f>D51/D50</f>
        <v>0.15454545454545454</v>
      </c>
    </row>
    <row r="104" spans="2:5" x14ac:dyDescent="0.3">
      <c r="B104" s="39"/>
      <c r="C104" s="54" t="s">
        <v>354</v>
      </c>
      <c r="D104" s="2">
        <f>-29.48*D101^5+96.67*D101^4-124.7*D101^3+82.34*D101^2-31.23*D101+8.713</f>
        <v>5.4454319950413215</v>
      </c>
    </row>
    <row r="105" spans="2:5" ht="18" customHeight="1" x14ac:dyDescent="0.3">
      <c r="B105" s="39"/>
      <c r="C105" s="41" t="s">
        <v>355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356</v>
      </c>
      <c r="D106" s="2">
        <f>-29.48*D103^5+96.67*D103^4-124.7*D103^3+82.34*D103^2-31.23*D103+8.713</f>
        <v>5.4454319950413215</v>
      </c>
    </row>
    <row r="107" spans="2:5" x14ac:dyDescent="0.3">
      <c r="B107" s="14" t="s">
        <v>90</v>
      </c>
      <c r="C107" s="55" t="s">
        <v>357</v>
      </c>
      <c r="D107" s="111">
        <f>ROUND((3*D45/4/D29/D50/D50*(6*D64+3)*D104),3)</f>
        <v>0</v>
      </c>
      <c r="E107" s="34" t="s">
        <v>253</v>
      </c>
    </row>
    <row r="108" spans="2:5" x14ac:dyDescent="0.3">
      <c r="B108" s="39" t="s">
        <v>358</v>
      </c>
      <c r="C108" s="41"/>
      <c r="D108" s="51">
        <f>3*D45/8/D29/D50/D50*((6*D64+5)*D105+(6*D64+1)*D106)</f>
        <v>1.8800759803518353E-5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359</v>
      </c>
      <c r="G1" s="143"/>
      <c r="H1" s="85" t="s">
        <v>360</v>
      </c>
      <c r="I1" s="122"/>
      <c r="J1" s="122"/>
    </row>
    <row r="2" spans="1:10" x14ac:dyDescent="0.3">
      <c r="A2" s="122"/>
      <c r="B2" s="144" t="s">
        <v>361</v>
      </c>
      <c r="C2" s="143"/>
      <c r="D2" s="85"/>
      <c r="E2" s="122"/>
      <c r="F2" s="141" t="s">
        <v>362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1700</v>
      </c>
      <c r="D3" s="89" t="s">
        <v>363</v>
      </c>
      <c r="E3" s="122"/>
      <c r="F3" s="90" t="s">
        <v>103</v>
      </c>
      <c r="G3" s="88">
        <v>2000</v>
      </c>
      <c r="H3" s="89" t="s">
        <v>364</v>
      </c>
      <c r="I3" s="122"/>
      <c r="J3" s="122"/>
    </row>
    <row r="4" spans="1:10" ht="51" customHeight="1" x14ac:dyDescent="0.3">
      <c r="A4" s="122"/>
      <c r="B4" s="87" t="s">
        <v>5</v>
      </c>
      <c r="C4" s="88">
        <v>16</v>
      </c>
      <c r="D4" s="91" t="s">
        <v>365</v>
      </c>
      <c r="E4" s="122"/>
      <c r="F4" s="90" t="s">
        <v>366</v>
      </c>
      <c r="G4" s="88">
        <f>C3-100</f>
        <v>1600</v>
      </c>
      <c r="H4" s="89" t="s">
        <v>367</v>
      </c>
      <c r="I4" s="122"/>
      <c r="J4" s="122"/>
    </row>
    <row r="5" spans="1:10" x14ac:dyDescent="0.3">
      <c r="A5" s="122" t="s">
        <v>368</v>
      </c>
      <c r="B5" s="87" t="s">
        <v>369</v>
      </c>
      <c r="C5" s="88">
        <v>11000</v>
      </c>
      <c r="D5" s="91" t="s">
        <v>365</v>
      </c>
      <c r="E5" s="122"/>
      <c r="F5" s="90" t="s">
        <v>105</v>
      </c>
      <c r="G5" s="88">
        <v>50</v>
      </c>
      <c r="H5" s="91" t="s">
        <v>365</v>
      </c>
      <c r="I5" s="122"/>
      <c r="J5" s="122"/>
    </row>
    <row r="6" spans="1:10" x14ac:dyDescent="0.3">
      <c r="A6" s="122"/>
      <c r="B6" s="87" t="s">
        <v>191</v>
      </c>
      <c r="C6" s="92">
        <v>7850</v>
      </c>
      <c r="D6" s="86"/>
      <c r="E6" s="122"/>
      <c r="F6" s="90" t="s">
        <v>191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200</v>
      </c>
      <c r="C8" s="93">
        <f>C3*TAN(3.14159/12)</f>
        <v>455.51322421749518</v>
      </c>
      <c r="D8" s="86"/>
      <c r="E8" s="122"/>
      <c r="F8" s="90" t="s">
        <v>370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203</v>
      </c>
      <c r="C9" s="93">
        <f>C8*12</f>
        <v>5466.1586906099419</v>
      </c>
      <c r="D9" s="86"/>
      <c r="E9" s="122"/>
      <c r="F9" s="90" t="s">
        <v>371</v>
      </c>
      <c r="G9" s="94">
        <f>3.14*G4^2/4/10^6</f>
        <v>2.0095999999999998</v>
      </c>
      <c r="H9" s="86"/>
      <c r="I9" s="122"/>
      <c r="J9" s="122"/>
    </row>
    <row r="10" spans="1:10" x14ac:dyDescent="0.3">
      <c r="A10" s="122"/>
      <c r="B10" s="87" t="s">
        <v>207</v>
      </c>
      <c r="C10" s="93">
        <f>C9*C4</f>
        <v>87458.539049759071</v>
      </c>
      <c r="D10" s="86"/>
      <c r="E10" s="122"/>
      <c r="F10" s="90" t="s">
        <v>372</v>
      </c>
      <c r="G10" s="94">
        <f>G8-G9</f>
        <v>1.2040833688937176</v>
      </c>
      <c r="H10" s="86"/>
      <c r="I10" s="122"/>
      <c r="J10" s="122"/>
    </row>
    <row r="11" spans="1:10" x14ac:dyDescent="0.3">
      <c r="A11" s="122"/>
      <c r="B11" s="87" t="s">
        <v>212</v>
      </c>
      <c r="C11" s="94">
        <f>C5*C10*10^(-9)</f>
        <v>0.96204392954734985</v>
      </c>
      <c r="D11" s="86"/>
      <c r="E11" s="122"/>
      <c r="F11" s="90" t="s">
        <v>212</v>
      </c>
      <c r="G11" s="94">
        <f>G10*G5/1000</f>
        <v>6.0204168444685874E-2</v>
      </c>
      <c r="H11" s="86"/>
      <c r="I11" s="122"/>
      <c r="J11" s="122"/>
    </row>
    <row r="12" spans="1:10" x14ac:dyDescent="0.3">
      <c r="A12" s="122"/>
      <c r="B12" s="95" t="s">
        <v>373</v>
      </c>
      <c r="C12" s="96">
        <f>C6*C11</f>
        <v>7552.0448469466965</v>
      </c>
      <c r="D12" s="91" t="s">
        <v>374</v>
      </c>
      <c r="E12" s="122"/>
      <c r="F12" s="97" t="s">
        <v>106</v>
      </c>
      <c r="G12" s="96">
        <f>G6*G11</f>
        <v>472.60272229078413</v>
      </c>
      <c r="H12" s="91" t="s">
        <v>374</v>
      </c>
      <c r="I12" s="122"/>
      <c r="J12" s="122"/>
    </row>
    <row r="13" spans="1:10" x14ac:dyDescent="0.3">
      <c r="A13" s="122"/>
      <c r="B13" s="95" t="s">
        <v>375</v>
      </c>
      <c r="C13" s="96">
        <f>C12*1.1</f>
        <v>8307.2493316413675</v>
      </c>
      <c r="D13" s="91" t="s">
        <v>374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376</v>
      </c>
      <c r="C14" s="100">
        <f>C12*1.15</f>
        <v>8684.8515739887007</v>
      </c>
      <c r="D14" s="101" t="s">
        <v>374</v>
      </c>
      <c r="E14" s="122"/>
      <c r="F14" s="97" t="s">
        <v>377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378</v>
      </c>
      <c r="G15" s="35">
        <f>C12+G12</f>
        <v>8024.6475692374806</v>
      </c>
      <c r="H15" s="91" t="s">
        <v>374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379</v>
      </c>
      <c r="G16" s="35">
        <f>G15*1.1</f>
        <v>8827.1123261612302</v>
      </c>
      <c r="H16" s="91" t="s">
        <v>374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380</v>
      </c>
      <c r="G17" s="104">
        <f>G15*1.15</f>
        <v>9228.3447046231013</v>
      </c>
      <c r="H17" s="101" t="s">
        <v>374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381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382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383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384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pc 10</cp:lastModifiedBy>
  <dcterms:created xsi:type="dcterms:W3CDTF">2006-09-28T05:33:49Z</dcterms:created>
  <dcterms:modified xsi:type="dcterms:W3CDTF">2023-12-18T13:55:04Z</dcterms:modified>
</cp:coreProperties>
</file>