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rtem\YandexDisk\Удаленка\Общий диск\AMAST-автоматизация\amast_ta\core\static\"/>
    </mc:Choice>
  </mc:AlternateContent>
  <xr:revisionPtr revIDLastSave="0" documentId="13_ncr:1_{0090581D-BDBA-4117-9675-BE427A6F0836}" xr6:coauthVersionLast="47" xr6:coauthVersionMax="47" xr10:uidLastSave="{00000000-0000-0000-0000-000000000000}"/>
  <bookViews>
    <workbookView xWindow="1920" yWindow="1920" windowWidth="17280" windowHeight="8880" firstSheet="3" activeTab="3" xr2:uid="{00000000-000D-0000-FFFF-FFFF00000000}"/>
  </bookViews>
  <sheets>
    <sheet name="Интерфейс" sheetId="1" r:id="rId1"/>
    <sheet name="Типовые грунты" sheetId="2" r:id="rId2"/>
    <sheet name="Задание грунтов" sheetId="3" r:id="rId3"/>
    <sheet name="Расчет сваи" sheetId="4" r:id="rId4"/>
    <sheet name="Расчет массы фланца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5" l="1"/>
  <c r="C8" i="5"/>
  <c r="C9" i="5" s="1"/>
  <c r="C10" i="5" s="1"/>
  <c r="C11" i="5" s="1"/>
  <c r="C12" i="5" s="1"/>
  <c r="G4" i="5"/>
  <c r="G9" i="5" s="1"/>
  <c r="D52" i="4"/>
  <c r="D42" i="4"/>
  <c r="D36" i="4"/>
  <c r="D43" i="4" s="1"/>
  <c r="D34" i="4"/>
  <c r="D41" i="4" s="1"/>
  <c r="D32" i="4"/>
  <c r="I19" i="4"/>
  <c r="J19" i="4" s="1"/>
  <c r="J18" i="4"/>
  <c r="I17" i="4"/>
  <c r="J17" i="4" s="1"/>
  <c r="J16" i="4"/>
  <c r="D37" i="4" s="1"/>
  <c r="D45" i="4" s="1"/>
  <c r="D16" i="4"/>
  <c r="I15" i="4"/>
  <c r="J15" i="4" s="1"/>
  <c r="J14" i="4"/>
  <c r="I9" i="4"/>
  <c r="J8" i="4"/>
  <c r="I8" i="4" s="1"/>
  <c r="M3" i="4" s="1"/>
  <c r="J6" i="4"/>
  <c r="I6" i="4" s="1"/>
  <c r="M2" i="4" s="1"/>
  <c r="M7" i="4" s="1"/>
  <c r="M8" i="4" s="1"/>
  <c r="B27" i="3"/>
  <c r="D93" i="4" s="1"/>
  <c r="H19" i="3"/>
  <c r="H20" i="3" s="1"/>
  <c r="G19" i="3"/>
  <c r="G20" i="3" s="1"/>
  <c r="F19" i="3"/>
  <c r="F20" i="3" s="1"/>
  <c r="E19" i="3"/>
  <c r="E20" i="3" s="1"/>
  <c r="D19" i="3"/>
  <c r="D20" i="3" s="1"/>
  <c r="H11" i="3"/>
  <c r="G11" i="3"/>
  <c r="F11" i="3"/>
  <c r="E11" i="3"/>
  <c r="D11" i="3"/>
  <c r="B3" i="3"/>
  <c r="I5" i="4" s="1"/>
  <c r="C24" i="2"/>
  <c r="K18" i="3" l="1"/>
  <c r="D15" i="4" s="1"/>
  <c r="D29" i="4" s="1"/>
  <c r="D39" i="4"/>
  <c r="D44" i="4" s="1"/>
  <c r="D40" i="4"/>
  <c r="M9" i="4"/>
  <c r="D50" i="4"/>
  <c r="M4" i="4"/>
  <c r="G10" i="5"/>
  <c r="G11" i="5" s="1"/>
  <c r="G12" i="5" s="1"/>
  <c r="G15" i="5" s="1"/>
  <c r="C14" i="5"/>
  <c r="C13" i="5"/>
  <c r="K14" i="3"/>
  <c r="D7" i="4" s="1"/>
  <c r="D22" i="4" s="1"/>
  <c r="I30" i="4"/>
  <c r="D51" i="4"/>
  <c r="K15" i="3"/>
  <c r="D9" i="4" s="1"/>
  <c r="D23" i="4" s="1"/>
  <c r="D24" i="4" s="1"/>
  <c r="D17" i="3"/>
  <c r="E17" i="3"/>
  <c r="F17" i="3"/>
  <c r="G17" i="3"/>
  <c r="I10" i="4"/>
  <c r="H17" i="3"/>
  <c r="D92" i="4"/>
  <c r="D46" i="4" l="1"/>
  <c r="D47" i="4" s="1"/>
  <c r="D64" i="4"/>
  <c r="D68" i="4"/>
  <c r="D28" i="4"/>
  <c r="D27" i="4" s="1"/>
  <c r="D71" i="4" s="1"/>
  <c r="D72" i="4" s="1"/>
  <c r="D73" i="4" s="1"/>
  <c r="D25" i="4"/>
  <c r="D66" i="4" s="1"/>
  <c r="D63" i="4"/>
  <c r="D10" i="4"/>
  <c r="K17" i="3"/>
  <c r="D13" i="4" s="1"/>
  <c r="D26" i="4" s="1"/>
  <c r="D67" i="4" s="1"/>
  <c r="M10" i="4"/>
  <c r="M11" i="4" s="1"/>
  <c r="G17" i="5"/>
  <c r="G16" i="5"/>
  <c r="I31" i="4"/>
  <c r="D88" i="4"/>
  <c r="D102" i="4"/>
  <c r="D105" i="4" s="1"/>
  <c r="D89" i="4"/>
  <c r="D103" i="4"/>
  <c r="D106" i="4" s="1"/>
  <c r="D101" i="4"/>
  <c r="D104" i="4" s="1"/>
  <c r="D107" i="4" l="1"/>
  <c r="D69" i="4"/>
  <c r="D85" i="4" s="1"/>
  <c r="D70" i="4"/>
  <c r="D65" i="4"/>
  <c r="D74" i="4"/>
  <c r="D79" i="4" s="1"/>
  <c r="D75" i="4"/>
  <c r="D76" i="4"/>
  <c r="D108" i="4"/>
  <c r="H24" i="4"/>
  <c r="H25" i="4" s="1"/>
  <c r="I32" i="4"/>
  <c r="D78" i="4" l="1"/>
  <c r="D77" i="4"/>
  <c r="D83" i="4"/>
  <c r="D82" i="4"/>
  <c r="H27" i="4"/>
  <c r="H26" i="4"/>
  <c r="D84" i="4" l="1"/>
  <c r="D86" i="4"/>
  <c r="D87" i="4" s="1"/>
  <c r="D94" i="4" s="1"/>
  <c r="D96" i="4" s="1"/>
  <c r="D95" i="4" l="1"/>
  <c r="D97" i="4"/>
  <c r="D9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25" authorId="0" shapeId="0" xr:uid="{00000000-0006-0000-0300-000001000000}">
      <text>
        <r>
          <rPr>
            <sz val="11"/>
            <color theme="1"/>
            <rFont val="Calibri"/>
            <family val="2"/>
            <charset val="204"/>
            <scheme val="minor"/>
          </rPr>
          <t>СТО ФСК ЕЭС:
-для крупнообломочных грунтов и песков средней степени водонасыщения и водонасыщенных f=0.9(tgф-0.1)
-для остальных грунтов f=0.9(tgф)</t>
        </r>
      </text>
    </comment>
    <comment ref="B92" authorId="0" shapeId="0" xr:uid="{00000000-0006-0000-0300-000002000000}">
      <text>
        <r>
          <rPr>
            <sz val="11"/>
            <color theme="1"/>
            <rFont val="Calibri"/>
            <family val="2"/>
            <charset val="204"/>
            <scheme val="minor"/>
          </rPr>
          <t>Пески:
крупные, средние, мелкие-1
пылеватые-1.05
Супеси:
Il≤0.25   1,2
Il&gt;0.25   1.3
Суглинки:
Il≤0.25          1.15
0.25&lt;Il≤0.5    1.25
Il&gt;0.5            1.25
Глины:
Il≤0.25          1.3
0.25&lt;Il≤0.5    1.3
Il&gt;0.5            1.4</t>
        </r>
      </text>
    </comment>
    <comment ref="B93" authorId="0" shapeId="0" xr:uid="{00000000-0006-0000-0300-000003000000}">
      <text>
        <r>
          <rPr>
            <sz val="11"/>
            <color theme="1"/>
            <rFont val="Calibri"/>
            <family val="2"/>
            <charset val="204"/>
            <scheme val="minor"/>
          </rPr>
          <t xml:space="preserve">Норм. пром.-1
Норм. анк. без разн. тяж.-1.2
Анк. угловые, конц.-1,3 </t>
        </r>
      </text>
    </comment>
  </commentList>
</comments>
</file>

<file path=xl/sharedStrings.xml><?xml version="1.0" encoding="utf-8"?>
<sst xmlns="http://schemas.openxmlformats.org/spreadsheetml/2006/main" count="523" uniqueCount="386">
  <si>
    <t>* блок "Геометрические характеристики сваи" *</t>
  </si>
  <si>
    <t>Диаметр сваи "под ключ", мм</t>
  </si>
  <si>
    <t>из ячейки 'Расчет массы фланца'!C3 в ячейку: 'Расчет сваи'!J6 (автоматически)</t>
  </si>
  <si>
    <t>* уже реализовано в ПО *</t>
  </si>
  <si>
    <t>* три поля ПО касательно фланца (правые) переносим в конец *</t>
  </si>
  <si>
    <t>Толщина сваи, мм</t>
  </si>
  <si>
    <t>из ячейки 'Расчет массы фланца'!C4 в ячейку: 'Расчет сваи'!J8 (автоматически)</t>
  </si>
  <si>
    <t>Глубина заложения сваи, м</t>
  </si>
  <si>
    <t>из ячейки 'Расчет массы фланца'!C5 в ячейку: 'Задание грунтов'!B3 (автоматически)</t>
  </si>
  <si>
    <t>* реализовано в ПО, но в мм; сейчас в метрах и другое наименование *</t>
  </si>
  <si>
    <t>Высота головы сваи, м (обычно 0.5)</t>
  </si>
  <si>
    <t>в ячейку: 'Расчет сваи'!I7</t>
  </si>
  <si>
    <t>Исходных данных нет</t>
  </si>
  <si>
    <t>* выпадающий список *</t>
  </si>
  <si>
    <t>Исходные данные есть</t>
  </si>
  <si>
    <t>* блок "исходных данных нет" *</t>
  </si>
  <si>
    <t>* если выбрано, что исходные данные есть, блок серый *</t>
  </si>
  <si>
    <t>Выбранный "типовой" грунт:</t>
  </si>
  <si>
    <t>из ячейки: 'Типовые грунты'!B24</t>
  </si>
  <si>
    <t>Удельное сцепление C, кПа</t>
  </si>
  <si>
    <t>из ячейки: 'Типовые грунты'!E24, потом в ячейку 'Расчет с</t>
  </si>
  <si>
    <t>* значение для информации, не редактируемое *</t>
  </si>
  <si>
    <t>* потом значения заносятся в соответствующие ячейки вкладки "Расчет сваи"</t>
  </si>
  <si>
    <t>Угол внутреннего трения φ, град</t>
  </si>
  <si>
    <t>из ячейки: 'Типовые грунты'!D24, потом в ячейку 'Расчет сваи'!D9</t>
  </si>
  <si>
    <t>Вес грунта, т/м3</t>
  </si>
  <si>
    <t>из ячейки: 'Типовые грунты'!F24, потом в ячейку 'Расчет сваи'!D13</t>
  </si>
  <si>
    <t>Модуль деформации E, кПа</t>
  </si>
  <si>
    <t>из ячейки: 'Типовые грунты'!G24, потом в ячейку 'Расчет сваи'!D15</t>
  </si>
  <si>
    <t>* блок "исходные данные есть" *</t>
  </si>
  <si>
    <t>Уровень грунтовых вод</t>
  </si>
  <si>
    <t>в ячейку: 'Задание грунтов'!B23</t>
  </si>
  <si>
    <t>* заполняется только один раз *</t>
  </si>
  <si>
    <t>Слой №1</t>
  </si>
  <si>
    <t>КНОПКА "+" (максимум всего 5 столбцов, т.е. 4 новых)</t>
  </si>
  <si>
    <t>Номер ИГЭ</t>
  </si>
  <si>
    <t>в ячейку: 'Задание грунтов'!D6</t>
  </si>
  <si>
    <t>* столбец появляется после нажатия на кнопку + *</t>
  </si>
  <si>
    <t>Тип грунта</t>
  </si>
  <si>
    <t>из ячейки: 'Задание грунтов'!D7</t>
  </si>
  <si>
    <t>Наименование грунта</t>
  </si>
  <si>
    <t>в ячейку: 'Задание грунтов'!D8</t>
  </si>
  <si>
    <t>Отметка верха слоя, м</t>
  </si>
  <si>
    <t>в ячейку: 'Задание грунтов'!D9</t>
  </si>
  <si>
    <t>* подсказка: Отметки задаются в сторону увеличения, начиная с уровня земли (обычно 0.00 м), со знаком плюс</t>
  </si>
  <si>
    <t>Отметка низа слоя, м</t>
  </si>
  <si>
    <t>в ячейку: 'Задание грунтов'!D10</t>
  </si>
  <si>
    <t>Мощность слоя, м</t>
  </si>
  <si>
    <t>из ячейки: 'Задание грунтов'!D11</t>
  </si>
  <si>
    <t>Технические характеристики:</t>
  </si>
  <si>
    <t>* без заполнения *</t>
  </si>
  <si>
    <t>Коэффициент пористости, e</t>
  </si>
  <si>
    <t>в ячейку: 'Задание грунтов'!D13</t>
  </si>
  <si>
    <t>Удельное сцепление сI, кПа</t>
  </si>
  <si>
    <t>в ячейку: 'Задание грунтов'!D14</t>
  </si>
  <si>
    <t>Угол внутреннего трения φI, град</t>
  </si>
  <si>
    <t>в ячейку: 'Задание грунтов'!D15</t>
  </si>
  <si>
    <t>Вес грунта природный, т/м3</t>
  </si>
  <si>
    <t>в ячейку: 'Задание грунтов'!D16</t>
  </si>
  <si>
    <t>Вес грунта расчетный, т/м3</t>
  </si>
  <si>
    <t>из ячейки: 'Задание грунтов'!D17</t>
  </si>
  <si>
    <t>в ячейку: 'Задание грунтов'!D18</t>
  </si>
  <si>
    <t>Примечание (добавить либо всплывающим окном в графе Отметка верха слоя, либо постоянной надписью): Отметку верха первого слоя принимать равной 0.0, даже если фактическая отметка первого расчетного слоя ниже (например, если сверху есть почвенный, насыпной или техногенный грунт, которые не принимаются в расчет).</t>
  </si>
  <si>
    <t>Необходимо внедрить проверку глубины заложения сваи и глубины скважины (наибольшая отметка самого нижнего слоя, заданная пользователем - независимо от количества слоев, нужно проверять наибольшую отметку нижнего слоя).
Если глубина заложения сваи больше глубины скважины, то ячейку с глубиной заложения сваи необходимо залить красным цветом, либо вывести предуреждение пользователю.</t>
  </si>
  <si>
    <t>Тип опоры</t>
  </si>
  <si>
    <t>в ячейку: 'Задание грунтов'!B26</t>
  </si>
  <si>
    <t>* выпадающий список, заполняется только один раз *</t>
  </si>
  <si>
    <t>7.10 Коэф надежности γn</t>
  </si>
  <si>
    <t>из ячейки: 'Задание грунтов'!C26</t>
  </si>
  <si>
    <t>* выводится просто для информации *</t>
  </si>
  <si>
    <t>7.2 Коэф условий работы СП22 γc2</t>
  </si>
  <si>
    <t>из ячейки: 'Задание грунтов'!C28</t>
  </si>
  <si>
    <t>КНОПКА "Расчет"</t>
  </si>
  <si>
    <t>Средневзвешенные значения</t>
  </si>
  <si>
    <t>из ячейки: 'Задание грунтов'!K14</t>
  </si>
  <si>
    <t>из ячейки: 'Задание грунтов'!K15</t>
  </si>
  <si>
    <t>из ячейки: 'Задание грунтов'!K17</t>
  </si>
  <si>
    <t>из ячейки: 'Задание грунтов'!K18</t>
  </si>
  <si>
    <t>При нажатии на кнопку "Расчет" программа понимает, что задание слоев завершено, можно рассчитать средневзвешенные коэффициенты, загрузить данные в эксель и произвести расчет, по итогам которого вывести результаты в окно</t>
  </si>
  <si>
    <t>* блок Результаты расчета *</t>
  </si>
  <si>
    <t>Расчет сваи по прочности</t>
  </si>
  <si>
    <t>Коэффициент использования (С245)</t>
  </si>
  <si>
    <t>из ячейки: 'Расчет сваи'!H26</t>
  </si>
  <si>
    <t>* в ПО залить соответствующим цветом *</t>
  </si>
  <si>
    <t>Коэффициент использования (С345)</t>
  </si>
  <si>
    <t>из ячейки: 'Расчет сваи'!H27</t>
  </si>
  <si>
    <t>Расчет на горизонтальную нагрузку</t>
  </si>
  <si>
    <t>Коэффициент использования</t>
  </si>
  <si>
    <t>из ячейки: 'Расчет сваи'!D98</t>
  </si>
  <si>
    <t>Расчет по деформациям</t>
  </si>
  <si>
    <t>Угол поворота (без ригеля)</t>
  </si>
  <si>
    <t>из ячейки: 'Расчет сваи'!D107</t>
  </si>
  <si>
    <t>КНОПКА "Сохранить расчет"</t>
  </si>
  <si>
    <t>При нажатии на кнопку "Сохранить расчет" в папку с проектом сохраняется эксель именно с теми параметрами, которые ввел пользователь для конкретного проекта (т.к. исходный файл лежит в папке с шаблонами, необходимо сохранить расчет в экселе для данного проекта с конкретными параметрами сваи с целью его последующего просмотра).</t>
  </si>
  <si>
    <t>* блок Расчет массы сваи *</t>
  </si>
  <si>
    <t>Масса сваи теретическая, кг</t>
  </si>
  <si>
    <t>из ячейки: 'Расчет сваи'!M11</t>
  </si>
  <si>
    <t>Масса сваи с коэфф. 1.1, кг</t>
  </si>
  <si>
    <t>умножить на 1.1</t>
  </si>
  <si>
    <t>Масса сваи с коэфф. 1.15, кг</t>
  </si>
  <si>
    <t>умножить на 1.15</t>
  </si>
  <si>
    <t>* блок Расчет массы фланца *</t>
  </si>
  <si>
    <t>Галочка "Расчет массы фланца"</t>
  </si>
  <si>
    <t>Диаметр фланца "под ключ", мм</t>
  </si>
  <si>
    <t>Диаметр круглого отверстия, мм</t>
  </si>
  <si>
    <t>Толщина фланца, мм</t>
  </si>
  <si>
    <t>Масса фланца, кг</t>
  </si>
  <si>
    <t>№ грунта (по СТО ФСК из 56 типов)</t>
  </si>
  <si>
    <t>φ, град</t>
  </si>
  <si>
    <t xml:space="preserve">C, кПа </t>
  </si>
  <si>
    <t>γ, т/м3</t>
  </si>
  <si>
    <t>E, кПа</t>
  </si>
  <si>
    <t>IL</t>
  </si>
  <si>
    <t>Коэффициент пористости e</t>
  </si>
  <si>
    <t>Песок Крупный (e = 0,45)</t>
  </si>
  <si>
    <t>0.45</t>
  </si>
  <si>
    <t>Песок Крупный (e = 0,65)</t>
  </si>
  <si>
    <t>0.65</t>
  </si>
  <si>
    <t>Песок Мелкий (e = 0,45)</t>
  </si>
  <si>
    <t>Песок Мелкий (e = 0,75)</t>
  </si>
  <si>
    <t>0.75</t>
  </si>
  <si>
    <t>Песок Пылеватый (e = 0,45)</t>
  </si>
  <si>
    <t>Песок Пылеватый (e = 0,75)</t>
  </si>
  <si>
    <t>Супесь (e = 0,45)</t>
  </si>
  <si>
    <t>Супесь (e = 0,65)</t>
  </si>
  <si>
    <t>0.25</t>
  </si>
  <si>
    <t>Супесь (e = 0,85)</t>
  </si>
  <si>
    <t>0.85</t>
  </si>
  <si>
    <t>Суглинок (e = 0,45)</t>
  </si>
  <si>
    <t>Суглинок (e = 0,65)</t>
  </si>
  <si>
    <t>0.1</t>
  </si>
  <si>
    <t>Суглинок (e = 0,85)</t>
  </si>
  <si>
    <t>0.5</t>
  </si>
  <si>
    <t>Суглинок (e = 1,05)</t>
  </si>
  <si>
    <t>1.05</t>
  </si>
  <si>
    <t>Глина (e = 0,55)</t>
  </si>
  <si>
    <t>0.55</t>
  </si>
  <si>
    <t>Глина (e = 0,75)</t>
  </si>
  <si>
    <t>Глина (e = 0,95)</t>
  </si>
  <si>
    <t>0.95</t>
  </si>
  <si>
    <t>Глина (e = 1,05)</t>
  </si>
  <si>
    <t>информативно</t>
  </si>
  <si>
    <t>Выбор типового грунта:</t>
  </si>
  <si>
    <t>γc2</t>
  </si>
  <si>
    <t>γn</t>
  </si>
  <si>
    <t>1,3</t>
  </si>
  <si>
    <t>Комментарий для ПО</t>
  </si>
  <si>
    <t>Грунт</t>
  </si>
  <si>
    <t>Коэффициент γc2</t>
  </si>
  <si>
    <t>Коэффициент γn</t>
  </si>
  <si>
    <t>Песок</t>
  </si>
  <si>
    <t>Промежуточная</t>
  </si>
  <si>
    <t>Тип грунта *список*</t>
  </si>
  <si>
    <t>нет грунта</t>
  </si>
  <si>
    <t>Супесь</t>
  </si>
  <si>
    <t>Анкерно-угловая</t>
  </si>
  <si>
    <t>более полное наименование грунта</t>
  </si>
  <si>
    <t>Суглинок</t>
  </si>
  <si>
    <t>Концевая</t>
  </si>
  <si>
    <t>Глина</t>
  </si>
  <si>
    <t>Средневзвешенные значения (пойдут в расчет сваи):</t>
  </si>
  <si>
    <t>Удельное сцепление</t>
  </si>
  <si>
    <t>Угол внутреннего трения</t>
  </si>
  <si>
    <t>Вес грунта расчетный</t>
  </si>
  <si>
    <t>Модуль деформации</t>
  </si>
  <si>
    <t>Служебная строка</t>
  </si>
  <si>
    <t>нужна для коэффициента γc2</t>
  </si>
  <si>
    <t>Тип опоры *список*</t>
  </si>
  <si>
    <t>1 слой
D14;
2 слой
(D14*D11+E14*(B3-E9))/B3);
3 слой
(D14*D11+E14*E11+F14*(B3-F9))/B3);
4 слой
(D14*D11+E14*E11+F14*F11+G14*(B3-G9))/B3);
5 слой
(D14*D11+E14*E11+F14*F11+G14*G11+H14*(B3-H9))/B3);
Ошибка
"Предупреждение! Свая больше глубины скважины. Пожалуйста, увеличьте глубину скважины")</t>
  </si>
  <si>
    <t>По руководству</t>
  </si>
  <si>
    <t>ПО СП 24.13330</t>
  </si>
  <si>
    <t>Масса двенадцатигранной трубы</t>
  </si>
  <si>
    <t>Характеристики грунта</t>
  </si>
  <si>
    <t>Диаметр трубы "под ключ", мм</t>
  </si>
  <si>
    <t>Комментарий внутренний</t>
  </si>
  <si>
    <t>Толщина трубы, мм</t>
  </si>
  <si>
    <t>Заливка результатов расчета цветом (реализовать в ПО):</t>
  </si>
  <si>
    <t>&gt;95%</t>
  </si>
  <si>
    <t>80-95%</t>
  </si>
  <si>
    <t>65-80%</t>
  </si>
  <si>
    <t>50-65%</t>
  </si>
  <si>
    <t>&lt;50%</t>
  </si>
  <si>
    <t>за 100% берется:</t>
  </si>
  <si>
    <t>Геометрические характеристики сваи</t>
  </si>
  <si>
    <t>в мм</t>
  </si>
  <si>
    <t>Длина трубы, мм</t>
  </si>
  <si>
    <t>* коэффициент использования</t>
  </si>
  <si>
    <t>e</t>
  </si>
  <si>
    <t>будет учитываться только в задании грунтов</t>
  </si>
  <si>
    <t>Заглубление фундамента</t>
  </si>
  <si>
    <t>L, м</t>
  </si>
  <si>
    <t>Плотность стали, кг/м3</t>
  </si>
  <si>
    <t>* угол поворота</t>
  </si>
  <si>
    <t>с, кПа</t>
  </si>
  <si>
    <t>Диаметр сваи</t>
  </si>
  <si>
    <t>d, м</t>
  </si>
  <si>
    <t>сI, кПа</t>
  </si>
  <si>
    <t>рассчитывается в задании грунтов, переносится сюда</t>
  </si>
  <si>
    <t>Высота головы сваи</t>
  </si>
  <si>
    <t>L0, м</t>
  </si>
  <si>
    <t>Сторона 12-гранника, мм</t>
  </si>
  <si>
    <t>Толщина стенки</t>
  </si>
  <si>
    <t>t, м</t>
  </si>
  <si>
    <t>Длина развертки (12граней), мм</t>
  </si>
  <si>
    <t>φI, град</t>
  </si>
  <si>
    <t>Модуль упругости</t>
  </si>
  <si>
    <t>E, кН/м2</t>
  </si>
  <si>
    <t>Площадь сечения, мм2</t>
  </si>
  <si>
    <t>По цветам ячеек:</t>
  </si>
  <si>
    <t>φI, рад</t>
  </si>
  <si>
    <t>Момент инерции</t>
  </si>
  <si>
    <t>I, м4</t>
  </si>
  <si>
    <t>Объем металла, м3</t>
  </si>
  <si>
    <t>Исходные данные (вводятся пользователем или загружаются из других модулей ПО)</t>
  </si>
  <si>
    <t>Коэф. Пропорциональности/Постели</t>
  </si>
  <si>
    <t>К, кН/м4</t>
  </si>
  <si>
    <t>Масса трубы, кг</t>
  </si>
  <si>
    <t>Промежуточные расчеты (важные)</t>
  </si>
  <si>
    <t>Вес грунта природный</t>
  </si>
  <si>
    <t>Промежуточные расчеты (менее важные) и "константы"</t>
  </si>
  <si>
    <t>I ПС</t>
  </si>
  <si>
    <t>II ПС</t>
  </si>
  <si>
    <t>Результаты расчета</t>
  </si>
  <si>
    <t>Коэф. Усл. Работы СП 24 В.2</t>
  </si>
  <si>
    <t>γс</t>
  </si>
  <si>
    <t>Поперечный момент</t>
  </si>
  <si>
    <t>М, кНм</t>
  </si>
  <si>
    <t>Заносится в РПЗФ</t>
  </si>
  <si>
    <t>М0, кНм</t>
  </si>
  <si>
    <t>УГВ</t>
  </si>
  <si>
    <t>м</t>
  </si>
  <si>
    <t>Поперечная сила</t>
  </si>
  <si>
    <t>H, кН</t>
  </si>
  <si>
    <t>H0, кН</t>
  </si>
  <si>
    <t>Вертикальная сила</t>
  </si>
  <si>
    <t>N, кН</t>
  </si>
  <si>
    <t>N0, кН</t>
  </si>
  <si>
    <t>сI, тс/м2</t>
  </si>
  <si>
    <t>Дополнительные данные для РПЗФ (поля ввода в ПО):</t>
  </si>
  <si>
    <t>Пример</t>
  </si>
  <si>
    <t>Отчет по инженерно-геологическим изысканиям (номер тома)</t>
  </si>
  <si>
    <t>ВС-196-01_ИГИ</t>
  </si>
  <si>
    <t>Привед. длина стержня СП 24 (7.1)</t>
  </si>
  <si>
    <t>Номера скважин, принимаемых для расчета</t>
  </si>
  <si>
    <t>№31н</t>
  </si>
  <si>
    <t>Коэффициент трения</t>
  </si>
  <si>
    <t>f</t>
  </si>
  <si>
    <t>σ</t>
  </si>
  <si>
    <t>Адрес строительства</t>
  </si>
  <si>
    <t>г. Москва, ул…...</t>
  </si>
  <si>
    <t>Вес грунта</t>
  </si>
  <si>
    <t>γ, тс/м3</t>
  </si>
  <si>
    <t>Коэффициент исп. С245</t>
  </si>
  <si>
    <t>в ПО залить соответствующим цветом</t>
  </si>
  <si>
    <t>Угол сдвига</t>
  </si>
  <si>
    <t>ψ, град</t>
  </si>
  <si>
    <t>Коэффициент исп. С345</t>
  </si>
  <si>
    <t>рад</t>
  </si>
  <si>
    <t>E, тс/м2</t>
  </si>
  <si>
    <t>Усл. ширина сваи</t>
  </si>
  <si>
    <t>bp, м</t>
  </si>
  <si>
    <t>Нагрузки на сваю</t>
  </si>
  <si>
    <t>Коэф. деф.</t>
  </si>
  <si>
    <t>αε, 1/м</t>
  </si>
  <si>
    <t>Мx, кНм</t>
  </si>
  <si>
    <t>Прив. длина</t>
  </si>
  <si>
    <t>L</t>
  </si>
  <si>
    <t>Продольный момент</t>
  </si>
  <si>
    <t>Мy, кНм</t>
  </si>
  <si>
    <t>Qy, кН</t>
  </si>
  <si>
    <t>Продольная сила</t>
  </si>
  <si>
    <t>Qx, кН</t>
  </si>
  <si>
    <t>Q расч</t>
  </si>
  <si>
    <t>Уровень земли</t>
  </si>
  <si>
    <t>Мx, тС*м</t>
  </si>
  <si>
    <t>Мy, тС*м</t>
  </si>
  <si>
    <t>Qy, тС</t>
  </si>
  <si>
    <t>Qx, тС</t>
  </si>
  <si>
    <t>N, тС</t>
  </si>
  <si>
    <t>Высота приложения</t>
  </si>
  <si>
    <t>Н, м</t>
  </si>
  <si>
    <t>тС</t>
  </si>
  <si>
    <t>Соотношение моментов</t>
  </si>
  <si>
    <t>Коэф условий работы</t>
  </si>
  <si>
    <t>mg</t>
  </si>
  <si>
    <t>h, м</t>
  </si>
  <si>
    <t>b0, м</t>
  </si>
  <si>
    <t>h0, м</t>
  </si>
  <si>
    <t>Ширина ригеля</t>
  </si>
  <si>
    <t>а, м</t>
  </si>
  <si>
    <t>Ширина ригеля нижн</t>
  </si>
  <si>
    <t>а1, м</t>
  </si>
  <si>
    <t>Уровень ригеля</t>
  </si>
  <si>
    <t>Ур, м</t>
  </si>
  <si>
    <t>Уровень ригеля нижн</t>
  </si>
  <si>
    <t>Ур1, м</t>
  </si>
  <si>
    <t>Длина ригеля</t>
  </si>
  <si>
    <t>lр, м</t>
  </si>
  <si>
    <t>Длина ригеля нижн</t>
  </si>
  <si>
    <t>lр1, м</t>
  </si>
  <si>
    <t>Высота ригеля</t>
  </si>
  <si>
    <t>hр, м</t>
  </si>
  <si>
    <t>Высота ригеля нижн</t>
  </si>
  <si>
    <t>hр1, м</t>
  </si>
  <si>
    <t>Расчет</t>
  </si>
  <si>
    <t>Коэф формы эпюры</t>
  </si>
  <si>
    <t>ω</t>
  </si>
  <si>
    <t>α=H/h</t>
  </si>
  <si>
    <t>α</t>
  </si>
  <si>
    <t>λd</t>
  </si>
  <si>
    <t>λd1</t>
  </si>
  <si>
    <t>m</t>
  </si>
  <si>
    <t>mc</t>
  </si>
  <si>
    <t>η</t>
  </si>
  <si>
    <t>fα</t>
  </si>
  <si>
    <t>Cog</t>
  </si>
  <si>
    <t>Kog</t>
  </si>
  <si>
    <t>Расчетная ширина сваи</t>
  </si>
  <si>
    <t>b, м</t>
  </si>
  <si>
    <t>Пассивное давление грунта</t>
  </si>
  <si>
    <t>U</t>
  </si>
  <si>
    <t>Давление грунта на верхний ригель</t>
  </si>
  <si>
    <t>А</t>
  </si>
  <si>
    <t>Давление грунта на нижний ригель</t>
  </si>
  <si>
    <t>A1</t>
  </si>
  <si>
    <t>ε</t>
  </si>
  <si>
    <t>ε1</t>
  </si>
  <si>
    <t>fn</t>
  </si>
  <si>
    <t>Коэффициенты кубического уравнения</t>
  </si>
  <si>
    <t>a</t>
  </si>
  <si>
    <t>b</t>
  </si>
  <si>
    <t>c</t>
  </si>
  <si>
    <t>d</t>
  </si>
  <si>
    <t>В</t>
  </si>
  <si>
    <t>С</t>
  </si>
  <si>
    <t>Относительная глубина центра поворота</t>
  </si>
  <si>
    <t>θ</t>
  </si>
  <si>
    <t>Нижний предел θ</t>
  </si>
  <si>
    <t>Верхний предел θ</t>
  </si>
  <si>
    <t>Несущая способность сваи</t>
  </si>
  <si>
    <t>Т 7.2 Коэф условий работы СП22</t>
  </si>
  <si>
    <t>см. ячейку: 'Задание грунтов'!C28</t>
  </si>
  <si>
    <t>7.10 Коэф надежности</t>
  </si>
  <si>
    <t>см. ячейку: 'Задание грунтов'!C26</t>
  </si>
  <si>
    <t>Fhu</t>
  </si>
  <si>
    <t>Mu</t>
  </si>
  <si>
    <t>Расчетная предельная горизонтальная сила</t>
  </si>
  <si>
    <t>Fult</t>
  </si>
  <si>
    <t>Предельный момент</t>
  </si>
  <si>
    <t>Mult</t>
  </si>
  <si>
    <t>Коэф использования</t>
  </si>
  <si>
    <t>b0/h</t>
  </si>
  <si>
    <t>tв</t>
  </si>
  <si>
    <t>tн</t>
  </si>
  <si>
    <t>ν</t>
  </si>
  <si>
    <t>νв</t>
  </si>
  <si>
    <t>νн</t>
  </si>
  <si>
    <t>β, рад</t>
  </si>
  <si>
    <t>Ригель</t>
  </si>
  <si>
    <t>*галочка* Расчет массы фланца</t>
  </si>
  <si>
    <t>доп.опция</t>
  </si>
  <si>
    <t>Масса сваи (двенадцатигранной трубы)</t>
  </si>
  <si>
    <t>Масса фланца</t>
  </si>
  <si>
    <t>взять из расчета фланца (диаметр опоры) без возможности редактирования</t>
  </si>
  <si>
    <t>взять из расчета фланца (диаметр фланца) без возможности редактирования</t>
  </si>
  <si>
    <t>вводит пользователь</t>
  </si>
  <si>
    <t>Диамер круглого отверстия, мм</t>
  </si>
  <si>
    <t>рассчитывается без возможности редактирования</t>
  </si>
  <si>
    <t>изменено наименование</t>
  </si>
  <si>
    <t>Глубина заложения сваи, мм</t>
  </si>
  <si>
    <t>Площадь 12-гранника, м^2</t>
  </si>
  <si>
    <t>Площадь отверстия, м^2</t>
  </si>
  <si>
    <t>Площадь фланца нетто, м^2</t>
  </si>
  <si>
    <t>Масса сваи теоретическая, кг</t>
  </si>
  <si>
    <t>результат</t>
  </si>
  <si>
    <t>Масса сваи с коэфф. 1,1, кг</t>
  </si>
  <si>
    <t>Масса сваи с коэфф. 1,15, кг</t>
  </si>
  <si>
    <t>Масса сваи с учетом фланца:</t>
  </si>
  <si>
    <t>Теоретическая масса</t>
  </si>
  <si>
    <t>Масса с коэффициентом 1,1</t>
  </si>
  <si>
    <t>Масса с коэффициентом 1,15</t>
  </si>
  <si>
    <t>правый блок активируется после нажатия на галочку</t>
  </si>
  <si>
    <t>заполнить (пользователем или из ПО)
эта строка выводится в окно ПО</t>
  </si>
  <si>
    <t>промежуточный результат / не заполняется</t>
  </si>
  <si>
    <t>итоговая масса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</si>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</sst>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"/>
    <numFmt numFmtId="166" formatCode="0.000"/>
    <numFmt numFmtId="167" formatCode="0.000E+00"/>
    <numFmt numFmtId="168" formatCode="0.0000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20"/>
      <name val="Calibri"/>
      <family val="2"/>
      <charset val="204"/>
      <scheme val="minor"/>
    </font>
    <font>
      <u/>
      <sz val="11"/>
      <name val="Calibri"/>
      <family val="2"/>
      <charset val="204"/>
      <scheme val="minor"/>
    </font>
    <font>
      <b/>
      <sz val="1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0" borderId="0"/>
    <xf numFmtId="0" fontId="12" fillId="0" borderId="0"/>
  </cellStyleXfs>
  <cellXfs count="145">
    <xf numFmtId="0" fontId="0" fillId="0" borderId="0" xfId="0"/>
    <xf numFmtId="0" fontId="0" fillId="0" borderId="1" xfId="0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11" fontId="2" fillId="3" borderId="1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6" fontId="2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5" fontId="0" fillId="6" borderId="1" xfId="0" applyNumberForma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2" fontId="5" fillId="6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8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5" fillId="6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2" fontId="0" fillId="6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2" fontId="0" fillId="0" borderId="1" xfId="0" quotePrefix="1" applyNumberForma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2" applyFont="1" applyBorder="1" applyAlignment="1">
      <alignment horizontal="center" vertical="center" wrapText="1"/>
    </xf>
    <xf numFmtId="49" fontId="0" fillId="0" borderId="0" xfId="2" applyNumberFormat="1" applyFont="1" applyAlignment="1">
      <alignment horizontal="center" vertical="center" wrapText="1"/>
    </xf>
    <xf numFmtId="2" fontId="0" fillId="0" borderId="1" xfId="2" applyNumberFormat="1" applyFont="1" applyBorder="1" applyAlignment="1">
      <alignment horizontal="center" vertical="center" wrapText="1"/>
    </xf>
    <xf numFmtId="1" fontId="0" fillId="0" borderId="1" xfId="2" applyNumberFormat="1" applyFont="1" applyBorder="1" applyAlignment="1">
      <alignment horizontal="center" vertical="center" wrapText="1"/>
    </xf>
    <xf numFmtId="0" fontId="0" fillId="3" borderId="1" xfId="2" applyFont="1" applyFill="1" applyBorder="1" applyAlignment="1">
      <alignment horizontal="center" vertical="center" wrapText="1"/>
    </xf>
    <xf numFmtId="49" fontId="0" fillId="3" borderId="1" xfId="2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2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" xfId="0" quotePrefix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left" vertical="top"/>
    </xf>
    <xf numFmtId="0" fontId="0" fillId="7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top"/>
    </xf>
    <xf numFmtId="0" fontId="0" fillId="0" borderId="11" xfId="0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165" fontId="1" fillId="6" borderId="8" xfId="0" applyNumberFormat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11" xfId="0" quotePrefix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165" fontId="0" fillId="6" borderId="8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3" borderId="1" xfId="2" applyNumberFormat="1" applyFont="1" applyFill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/>
    </xf>
    <xf numFmtId="2" fontId="0" fillId="0" borderId="0" xfId="0" quotePrefix="1" applyNumberFormat="1" applyAlignment="1">
      <alignment horizontal="center" vertical="center" wrapText="1"/>
    </xf>
    <xf numFmtId="166" fontId="5" fillId="6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0" borderId="13" xfId="2" applyFon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7" xfId="0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8" xfId="0" applyBorder="1"/>
    <xf numFmtId="0" fontId="5" fillId="0" borderId="1" xfId="0" applyFont="1" applyBorder="1" applyAlignment="1">
      <alignment horizontal="center" vertical="center"/>
    </xf>
    <xf numFmtId="0" fontId="0" fillId="0" borderId="15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Border="1"/>
    <xf numFmtId="0" fontId="7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" xfId="0" quotePrefix="1" applyFont="1" applyBorder="1" applyAlignment="1">
      <alignment horizontal="center" vertical="center"/>
    </xf>
    <xf numFmtId="0" fontId="0" fillId="0" borderId="19" xfId="0" applyBorder="1"/>
    <xf numFmtId="0" fontId="1" fillId="0" borderId="4" xfId="0" applyFont="1" applyBorder="1" applyAlignment="1">
      <alignment horizontal="center" vertical="center"/>
    </xf>
  </cellXfs>
  <cellStyles count="3">
    <cellStyle name="Обычный" xfId="0" builtinId="0"/>
    <cellStyle name="Обычный 2" xfId="2" xr:uid="{00000000-0005-0000-0000-000001000000}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L74"/>
  <sheetViews>
    <sheetView workbookViewId="0">
      <selection activeCell="B24" sqref="B24"/>
    </sheetView>
  </sheetViews>
  <sheetFormatPr defaultColWidth="9.109375" defaultRowHeight="14.4" x14ac:dyDescent="0.3"/>
  <cols>
    <col min="1" max="1" width="9.109375" style="121" customWidth="1"/>
    <col min="2" max="2" width="33.44140625" style="121" customWidth="1"/>
    <col min="3" max="3" width="39" style="121" customWidth="1"/>
    <col min="4" max="4" width="51.6640625" style="121" customWidth="1"/>
    <col min="5" max="11" width="9.109375" style="121" customWidth="1"/>
    <col min="12" max="12" width="22.44140625" style="121" bestFit="1" customWidth="1"/>
    <col min="13" max="14" width="9.109375" style="121" customWidth="1"/>
    <col min="15" max="16384" width="9.109375" style="121"/>
  </cols>
  <sheetData>
    <row r="2" spans="2:12" x14ac:dyDescent="0.3">
      <c r="B2" s="78" t="s">
        <v>0</v>
      </c>
    </row>
    <row r="3" spans="2:12" ht="30" customHeight="1" x14ac:dyDescent="0.3">
      <c r="B3" s="38" t="s">
        <v>1</v>
      </c>
      <c r="C3" s="114" t="s">
        <v>2</v>
      </c>
      <c r="D3" s="78" t="s">
        <v>3</v>
      </c>
      <c r="E3" s="78" t="s">
        <v>4</v>
      </c>
    </row>
    <row r="4" spans="2:12" ht="30" customHeight="1" x14ac:dyDescent="0.3">
      <c r="B4" s="38" t="s">
        <v>5</v>
      </c>
      <c r="C4" s="114" t="s">
        <v>6</v>
      </c>
      <c r="D4" s="78" t="s">
        <v>3</v>
      </c>
    </row>
    <row r="5" spans="2:12" ht="45" customHeight="1" x14ac:dyDescent="0.3">
      <c r="B5" s="38" t="s">
        <v>7</v>
      </c>
      <c r="C5" s="114" t="s">
        <v>8</v>
      </c>
      <c r="D5" s="78" t="s">
        <v>9</v>
      </c>
    </row>
    <row r="6" spans="2:12" x14ac:dyDescent="0.3">
      <c r="B6" s="38" t="s">
        <v>10</v>
      </c>
      <c r="C6" s="38" t="s">
        <v>11</v>
      </c>
      <c r="D6" s="81"/>
    </row>
    <row r="8" spans="2:12" x14ac:dyDescent="0.3">
      <c r="B8" s="113" t="s">
        <v>14</v>
      </c>
      <c r="C8" s="78" t="s">
        <v>13</v>
      </c>
      <c r="L8" s="112" t="s">
        <v>12</v>
      </c>
    </row>
    <row r="9" spans="2:12" x14ac:dyDescent="0.3">
      <c r="L9" s="112" t="s">
        <v>14</v>
      </c>
    </row>
    <row r="10" spans="2:12" x14ac:dyDescent="0.3">
      <c r="B10" s="78" t="s">
        <v>15</v>
      </c>
      <c r="C10" s="78" t="s">
        <v>16</v>
      </c>
      <c r="D10" s="78"/>
    </row>
    <row r="11" spans="2:12" x14ac:dyDescent="0.3">
      <c r="B11" s="38" t="s">
        <v>17</v>
      </c>
      <c r="C11" s="66" t="s">
        <v>18</v>
      </c>
      <c r="D11" s="78" t="s">
        <v>13</v>
      </c>
    </row>
    <row r="12" spans="2:12" ht="30" customHeight="1" x14ac:dyDescent="0.3">
      <c r="B12" s="38" t="s">
        <v>19</v>
      </c>
      <c r="C12" s="114" t="s">
        <v>20</v>
      </c>
      <c r="D12" s="78" t="s">
        <v>21</v>
      </c>
      <c r="E12" s="78" t="s">
        <v>22</v>
      </c>
    </row>
    <row r="13" spans="2:12" ht="30" customHeight="1" x14ac:dyDescent="0.3">
      <c r="B13" s="38" t="s">
        <v>23</v>
      </c>
      <c r="C13" s="114" t="s">
        <v>24</v>
      </c>
      <c r="D13" s="78" t="s">
        <v>21</v>
      </c>
      <c r="E13" s="78"/>
    </row>
    <row r="14" spans="2:12" ht="30" customHeight="1" x14ac:dyDescent="0.3">
      <c r="B14" s="38" t="s">
        <v>25</v>
      </c>
      <c r="C14" s="114" t="s">
        <v>26</v>
      </c>
      <c r="D14" s="78" t="s">
        <v>21</v>
      </c>
      <c r="E14" s="78"/>
    </row>
    <row r="15" spans="2:12" ht="30" customHeight="1" x14ac:dyDescent="0.3">
      <c r="B15" s="38" t="s">
        <v>27</v>
      </c>
      <c r="C15" s="114" t="s">
        <v>28</v>
      </c>
      <c r="D15" s="78" t="s">
        <v>21</v>
      </c>
      <c r="E15" s="78"/>
    </row>
    <row r="17" spans="2:6" x14ac:dyDescent="0.3">
      <c r="B17" s="78" t="s">
        <v>29</v>
      </c>
    </row>
    <row r="18" spans="2:6" x14ac:dyDescent="0.3">
      <c r="B18" s="38" t="s">
        <v>30</v>
      </c>
      <c r="C18" s="79" t="s">
        <v>31</v>
      </c>
      <c r="D18" s="78" t="s">
        <v>32</v>
      </c>
    </row>
    <row r="19" spans="2:6" x14ac:dyDescent="0.3">
      <c r="B19" s="78"/>
      <c r="C19" s="122" t="s">
        <v>33</v>
      </c>
      <c r="D19" s="38" t="s">
        <v>34</v>
      </c>
      <c r="E19" s="81"/>
    </row>
    <row r="20" spans="2:6" x14ac:dyDescent="0.3">
      <c r="B20" s="38" t="s">
        <v>35</v>
      </c>
      <c r="C20" s="79" t="s">
        <v>36</v>
      </c>
      <c r="D20" s="80" t="s">
        <v>37</v>
      </c>
    </row>
    <row r="21" spans="2:6" x14ac:dyDescent="0.3">
      <c r="B21" s="38" t="s">
        <v>38</v>
      </c>
      <c r="C21" s="79" t="s">
        <v>39</v>
      </c>
      <c r="D21" s="80" t="s">
        <v>13</v>
      </c>
    </row>
    <row r="22" spans="2:6" x14ac:dyDescent="0.3">
      <c r="B22" s="38" t="s">
        <v>40</v>
      </c>
      <c r="C22" s="79" t="s">
        <v>41</v>
      </c>
      <c r="D22" s="38"/>
    </row>
    <row r="23" spans="2:6" x14ac:dyDescent="0.3">
      <c r="B23" s="38" t="s">
        <v>42</v>
      </c>
      <c r="C23" s="79" t="s">
        <v>43</v>
      </c>
      <c r="D23" s="38"/>
      <c r="E23" s="78" t="s">
        <v>44</v>
      </c>
    </row>
    <row r="24" spans="2:6" x14ac:dyDescent="0.3">
      <c r="B24" s="38" t="s">
        <v>45</v>
      </c>
      <c r="C24" s="79" t="s">
        <v>46</v>
      </c>
      <c r="D24" s="38"/>
    </row>
    <row r="25" spans="2:6" x14ac:dyDescent="0.3">
      <c r="B25" s="38" t="s">
        <v>47</v>
      </c>
      <c r="C25" s="79" t="s">
        <v>48</v>
      </c>
      <c r="D25" s="80" t="s">
        <v>21</v>
      </c>
    </row>
    <row r="26" spans="2:6" x14ac:dyDescent="0.3">
      <c r="B26" s="38" t="s">
        <v>49</v>
      </c>
      <c r="C26" s="78" t="s">
        <v>50</v>
      </c>
      <c r="F26" s="78"/>
    </row>
    <row r="27" spans="2:6" x14ac:dyDescent="0.3">
      <c r="B27" s="38" t="s">
        <v>51</v>
      </c>
      <c r="C27" s="79" t="s">
        <v>52</v>
      </c>
      <c r="D27" s="38"/>
    </row>
    <row r="28" spans="2:6" x14ac:dyDescent="0.3">
      <c r="B28" s="38" t="s">
        <v>53</v>
      </c>
      <c r="C28" s="79" t="s">
        <v>54</v>
      </c>
      <c r="D28" s="38"/>
    </row>
    <row r="29" spans="2:6" x14ac:dyDescent="0.3">
      <c r="B29" s="38" t="s">
        <v>55</v>
      </c>
      <c r="C29" s="79" t="s">
        <v>56</v>
      </c>
      <c r="D29" s="38"/>
    </row>
    <row r="30" spans="2:6" x14ac:dyDescent="0.3">
      <c r="B30" s="38" t="s">
        <v>57</v>
      </c>
      <c r="C30" s="79" t="s">
        <v>58</v>
      </c>
      <c r="D30" s="38"/>
    </row>
    <row r="31" spans="2:6" x14ac:dyDescent="0.3">
      <c r="B31" s="38" t="s">
        <v>59</v>
      </c>
      <c r="C31" s="79" t="s">
        <v>60</v>
      </c>
      <c r="D31" s="80" t="s">
        <v>21</v>
      </c>
    </row>
    <row r="32" spans="2:6" x14ac:dyDescent="0.3">
      <c r="B32" s="38" t="s">
        <v>27</v>
      </c>
      <c r="C32" s="79" t="s">
        <v>61</v>
      </c>
      <c r="D32" s="38"/>
    </row>
    <row r="34" spans="2:4" ht="53.25" customHeight="1" x14ac:dyDescent="0.3">
      <c r="B34" s="126" t="s">
        <v>62</v>
      </c>
      <c r="C34" s="127"/>
      <c r="D34" s="127"/>
    </row>
    <row r="36" spans="2:4" ht="67.5" customHeight="1" x14ac:dyDescent="0.3">
      <c r="B36" s="126" t="s">
        <v>63</v>
      </c>
      <c r="C36" s="127"/>
      <c r="D36" s="127"/>
    </row>
    <row r="38" spans="2:4" x14ac:dyDescent="0.3">
      <c r="B38" s="38" t="s">
        <v>64</v>
      </c>
      <c r="C38" s="79" t="s">
        <v>65</v>
      </c>
      <c r="D38" s="78" t="s">
        <v>66</v>
      </c>
    </row>
    <row r="39" spans="2:4" x14ac:dyDescent="0.3">
      <c r="B39" s="38" t="s">
        <v>67</v>
      </c>
      <c r="C39" s="79" t="s">
        <v>68</v>
      </c>
      <c r="D39" s="78" t="s">
        <v>69</v>
      </c>
    </row>
    <row r="40" spans="2:4" x14ac:dyDescent="0.3">
      <c r="B40" s="38" t="s">
        <v>70</v>
      </c>
      <c r="C40" s="79" t="s">
        <v>71</v>
      </c>
      <c r="D40" s="78" t="s">
        <v>69</v>
      </c>
    </row>
    <row r="42" spans="2:4" x14ac:dyDescent="0.3">
      <c r="B42" s="38" t="s">
        <v>72</v>
      </c>
    </row>
    <row r="43" spans="2:4" x14ac:dyDescent="0.3">
      <c r="B43" s="82" t="s">
        <v>73</v>
      </c>
      <c r="C43" s="122"/>
    </row>
    <row r="44" spans="2:4" x14ac:dyDescent="0.3">
      <c r="B44" s="38" t="s">
        <v>53</v>
      </c>
      <c r="C44" s="1" t="s">
        <v>74</v>
      </c>
    </row>
    <row r="45" spans="2:4" x14ac:dyDescent="0.3">
      <c r="B45" s="38" t="s">
        <v>55</v>
      </c>
      <c r="C45" s="1" t="s">
        <v>75</v>
      </c>
    </row>
    <row r="46" spans="2:4" x14ac:dyDescent="0.3">
      <c r="B46" s="38" t="s">
        <v>59</v>
      </c>
      <c r="C46" s="1" t="s">
        <v>76</v>
      </c>
    </row>
    <row r="47" spans="2:4" x14ac:dyDescent="0.3">
      <c r="B47" s="38" t="s">
        <v>27</v>
      </c>
      <c r="C47" s="1" t="s">
        <v>77</v>
      </c>
    </row>
    <row r="49" spans="2:4" ht="83.25" customHeight="1" x14ac:dyDescent="0.3">
      <c r="B49" s="126" t="s">
        <v>78</v>
      </c>
      <c r="C49" s="127"/>
      <c r="D49" s="127"/>
    </row>
    <row r="51" spans="2:4" x14ac:dyDescent="0.3">
      <c r="B51" s="78" t="s">
        <v>79</v>
      </c>
    </row>
    <row r="52" spans="2:4" x14ac:dyDescent="0.3">
      <c r="B52" s="82" t="s">
        <v>80</v>
      </c>
      <c r="C52" s="78" t="s">
        <v>50</v>
      </c>
    </row>
    <row r="53" spans="2:4" x14ac:dyDescent="0.3">
      <c r="B53" s="38" t="s">
        <v>81</v>
      </c>
      <c r="C53" s="38" t="s">
        <v>82</v>
      </c>
      <c r="D53" s="78" t="s">
        <v>83</v>
      </c>
    </row>
    <row r="54" spans="2:4" x14ac:dyDescent="0.3">
      <c r="B54" s="38" t="s">
        <v>84</v>
      </c>
      <c r="C54" s="38" t="s">
        <v>85</v>
      </c>
      <c r="D54" s="78" t="s">
        <v>83</v>
      </c>
    </row>
    <row r="55" spans="2:4" x14ac:dyDescent="0.3">
      <c r="B55" s="82" t="s">
        <v>86</v>
      </c>
      <c r="C55" s="78" t="s">
        <v>50</v>
      </c>
    </row>
    <row r="56" spans="2:4" x14ac:dyDescent="0.3">
      <c r="B56" s="38" t="s">
        <v>87</v>
      </c>
      <c r="C56" s="38" t="s">
        <v>88</v>
      </c>
      <c r="D56" s="78" t="s">
        <v>83</v>
      </c>
    </row>
    <row r="57" spans="2:4" x14ac:dyDescent="0.3">
      <c r="B57" s="82" t="s">
        <v>89</v>
      </c>
      <c r="C57" s="78" t="s">
        <v>50</v>
      </c>
    </row>
    <row r="58" spans="2:4" x14ac:dyDescent="0.3">
      <c r="B58" s="38" t="s">
        <v>90</v>
      </c>
      <c r="C58" s="38" t="s">
        <v>91</v>
      </c>
      <c r="D58" s="78" t="s">
        <v>83</v>
      </c>
    </row>
    <row r="60" spans="2:4" x14ac:dyDescent="0.3">
      <c r="B60" s="38" t="s">
        <v>92</v>
      </c>
    </row>
    <row r="62" spans="2:4" ht="56.25" customHeight="1" x14ac:dyDescent="0.3">
      <c r="B62" s="126" t="s">
        <v>93</v>
      </c>
      <c r="C62" s="127"/>
      <c r="D62" s="127"/>
    </row>
    <row r="64" spans="2:4" x14ac:dyDescent="0.3">
      <c r="B64" s="78" t="s">
        <v>94</v>
      </c>
    </row>
    <row r="65" spans="2:4" x14ac:dyDescent="0.3">
      <c r="B65" s="38" t="s">
        <v>95</v>
      </c>
      <c r="C65" s="38" t="s">
        <v>96</v>
      </c>
      <c r="D65" s="78" t="s">
        <v>3</v>
      </c>
    </row>
    <row r="66" spans="2:4" x14ac:dyDescent="0.3">
      <c r="B66" s="38" t="s">
        <v>97</v>
      </c>
      <c r="C66" s="38" t="s">
        <v>98</v>
      </c>
      <c r="D66" s="78" t="s">
        <v>3</v>
      </c>
    </row>
    <row r="67" spans="2:4" x14ac:dyDescent="0.3">
      <c r="B67" s="38" t="s">
        <v>99</v>
      </c>
      <c r="C67" s="38" t="s">
        <v>100</v>
      </c>
      <c r="D67" s="78" t="s">
        <v>3</v>
      </c>
    </row>
    <row r="69" spans="2:4" x14ac:dyDescent="0.3">
      <c r="B69" s="78" t="s">
        <v>101</v>
      </c>
    </row>
    <row r="70" spans="2:4" x14ac:dyDescent="0.3">
      <c r="B70" s="83" t="s">
        <v>102</v>
      </c>
    </row>
    <row r="71" spans="2:4" x14ac:dyDescent="0.3">
      <c r="B71" s="38" t="s">
        <v>103</v>
      </c>
      <c r="C71" s="38"/>
      <c r="D71" s="78" t="s">
        <v>3</v>
      </c>
    </row>
    <row r="72" spans="2:4" x14ac:dyDescent="0.3">
      <c r="B72" s="38" t="s">
        <v>104</v>
      </c>
      <c r="C72" s="38"/>
      <c r="D72" s="78" t="s">
        <v>3</v>
      </c>
    </row>
    <row r="73" spans="2:4" x14ac:dyDescent="0.3">
      <c r="B73" s="38" t="s">
        <v>105</v>
      </c>
      <c r="C73" s="38"/>
      <c r="D73" s="78" t="s">
        <v>3</v>
      </c>
    </row>
    <row r="74" spans="2:4" x14ac:dyDescent="0.3">
      <c r="B74" s="38" t="s">
        <v>106</v>
      </c>
      <c r="C74" s="38"/>
      <c r="D74" s="78" t="s">
        <v>3</v>
      </c>
    </row>
  </sheetData>
  <mergeCells count="4">
    <mergeCell ref="B36:D36"/>
    <mergeCell ref="B49:D49"/>
    <mergeCell ref="B62:D62"/>
    <mergeCell ref="B34:D34"/>
  </mergeCells>
  <dataValidations count="1">
    <dataValidation type="list" showInputMessage="1" showErrorMessage="1" sqref="B8" xr:uid="{00000000-0002-0000-0000-000000000000}">
      <formula1>$L$8:$L$9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2:I24"/>
  <sheetViews>
    <sheetView topLeftCell="A7" zoomScale="90" zoomScaleNormal="90" workbookViewId="0">
      <selection activeCell="I26" sqref="I26"/>
    </sheetView>
  </sheetViews>
  <sheetFormatPr defaultColWidth="9.109375" defaultRowHeight="14.4" x14ac:dyDescent="0.3"/>
  <cols>
    <col min="1" max="1" width="9.109375" style="122" customWidth="1"/>
    <col min="2" max="2" width="33.33203125" style="122" customWidth="1"/>
    <col min="3" max="3" width="17" style="122" bestFit="1" customWidth="1"/>
    <col min="4" max="7" width="9.109375" style="122" customWidth="1"/>
    <col min="8" max="9" width="14.6640625" style="122" bestFit="1" customWidth="1"/>
    <col min="10" max="11" width="9.109375" style="122" customWidth="1"/>
    <col min="12" max="16384" width="9.109375" style="122"/>
  </cols>
  <sheetData>
    <row r="2" spans="2:9" ht="36.75" customHeight="1" x14ac:dyDescent="0.3">
      <c r="B2" s="67" t="s">
        <v>40</v>
      </c>
      <c r="C2" s="71" t="s">
        <v>107</v>
      </c>
      <c r="D2" s="67" t="s">
        <v>108</v>
      </c>
      <c r="E2" s="67" t="s">
        <v>109</v>
      </c>
      <c r="F2" s="67" t="s">
        <v>110</v>
      </c>
      <c r="G2" s="67" t="s">
        <v>111</v>
      </c>
      <c r="H2" s="71" t="s">
        <v>112</v>
      </c>
      <c r="I2" s="71" t="s">
        <v>113</v>
      </c>
    </row>
    <row r="3" spans="2:9" x14ac:dyDescent="0.3">
      <c r="B3" s="67" t="s">
        <v>114</v>
      </c>
      <c r="C3" s="72">
        <v>1</v>
      </c>
      <c r="D3" s="70">
        <v>43</v>
      </c>
      <c r="E3" s="70">
        <v>2</v>
      </c>
      <c r="F3" s="69">
        <v>2</v>
      </c>
      <c r="G3" s="70">
        <v>50000</v>
      </c>
      <c r="H3" s="108">
        <v>1</v>
      </c>
      <c r="I3" s="108" t="s">
        <v>115</v>
      </c>
    </row>
    <row r="4" spans="2:9" x14ac:dyDescent="0.3">
      <c r="B4" s="67" t="s">
        <v>116</v>
      </c>
      <c r="C4" s="72">
        <v>6</v>
      </c>
      <c r="D4" s="70">
        <v>35</v>
      </c>
      <c r="E4" s="70">
        <v>1</v>
      </c>
      <c r="F4" s="69">
        <v>1.85</v>
      </c>
      <c r="G4" s="70">
        <v>30000</v>
      </c>
      <c r="H4" s="108">
        <v>1</v>
      </c>
      <c r="I4" s="108" t="s">
        <v>117</v>
      </c>
    </row>
    <row r="5" spans="2:9" x14ac:dyDescent="0.3">
      <c r="B5" s="67" t="s">
        <v>118</v>
      </c>
      <c r="C5" s="72">
        <v>7</v>
      </c>
      <c r="D5" s="70">
        <v>38</v>
      </c>
      <c r="E5" s="70">
        <v>6</v>
      </c>
      <c r="F5" s="69">
        <v>1.85</v>
      </c>
      <c r="G5" s="70">
        <v>48000</v>
      </c>
      <c r="H5" s="108">
        <v>1</v>
      </c>
      <c r="I5" s="108" t="s">
        <v>115</v>
      </c>
    </row>
    <row r="6" spans="2:9" x14ac:dyDescent="0.3">
      <c r="B6" s="67" t="s">
        <v>119</v>
      </c>
      <c r="C6" s="72">
        <v>10</v>
      </c>
      <c r="D6" s="70">
        <v>28</v>
      </c>
      <c r="E6" s="70">
        <v>0</v>
      </c>
      <c r="F6" s="69">
        <v>1.8</v>
      </c>
      <c r="G6" s="70">
        <v>18000</v>
      </c>
      <c r="H6" s="108">
        <v>1</v>
      </c>
      <c r="I6" s="108" t="s">
        <v>120</v>
      </c>
    </row>
    <row r="7" spans="2:9" x14ac:dyDescent="0.3">
      <c r="B7" s="67" t="s">
        <v>121</v>
      </c>
      <c r="C7" s="72">
        <v>11</v>
      </c>
      <c r="D7" s="70">
        <v>36</v>
      </c>
      <c r="E7" s="70">
        <v>8</v>
      </c>
      <c r="F7" s="69">
        <v>1.8</v>
      </c>
      <c r="G7" s="70">
        <v>39000</v>
      </c>
      <c r="H7" s="108">
        <v>1</v>
      </c>
      <c r="I7" s="108" t="s">
        <v>115</v>
      </c>
    </row>
    <row r="8" spans="2:9" x14ac:dyDescent="0.3">
      <c r="B8" s="67" t="s">
        <v>122</v>
      </c>
      <c r="C8" s="72">
        <v>14</v>
      </c>
      <c r="D8" s="70">
        <v>26</v>
      </c>
      <c r="E8" s="70">
        <v>2</v>
      </c>
      <c r="F8" s="69">
        <v>1.75</v>
      </c>
      <c r="G8" s="70">
        <v>11000</v>
      </c>
      <c r="H8" s="108">
        <v>1</v>
      </c>
      <c r="I8" s="108" t="s">
        <v>120</v>
      </c>
    </row>
    <row r="9" spans="2:9" x14ac:dyDescent="0.3">
      <c r="B9" s="67" t="s">
        <v>123</v>
      </c>
      <c r="C9" s="72">
        <v>15</v>
      </c>
      <c r="D9" s="70">
        <v>30</v>
      </c>
      <c r="E9" s="70">
        <v>21</v>
      </c>
      <c r="F9" s="69">
        <v>2</v>
      </c>
      <c r="G9" s="70">
        <v>32000</v>
      </c>
      <c r="H9" s="108">
        <v>0</v>
      </c>
      <c r="I9" s="108" t="s">
        <v>115</v>
      </c>
    </row>
    <row r="10" spans="2:9" x14ac:dyDescent="0.3">
      <c r="B10" s="67" t="s">
        <v>124</v>
      </c>
      <c r="C10" s="72">
        <v>17</v>
      </c>
      <c r="D10" s="70">
        <v>27</v>
      </c>
      <c r="E10" s="70">
        <v>15</v>
      </c>
      <c r="F10" s="69">
        <v>1.9</v>
      </c>
      <c r="G10" s="70">
        <v>16000</v>
      </c>
      <c r="H10" s="108" t="s">
        <v>125</v>
      </c>
      <c r="I10" s="108" t="s">
        <v>117</v>
      </c>
    </row>
    <row r="11" spans="2:9" x14ac:dyDescent="0.3">
      <c r="B11" s="67" t="s">
        <v>126</v>
      </c>
      <c r="C11" s="72">
        <v>23</v>
      </c>
      <c r="D11" s="70">
        <v>18</v>
      </c>
      <c r="E11" s="70">
        <v>9</v>
      </c>
      <c r="F11" s="69">
        <v>1.7</v>
      </c>
      <c r="G11" s="70">
        <v>9000</v>
      </c>
      <c r="H11" s="108">
        <v>1</v>
      </c>
      <c r="I11" s="108" t="s">
        <v>127</v>
      </c>
    </row>
    <row r="12" spans="2:9" x14ac:dyDescent="0.3">
      <c r="B12" s="67" t="s">
        <v>128</v>
      </c>
      <c r="C12" s="72">
        <v>24</v>
      </c>
      <c r="D12" s="70">
        <v>26</v>
      </c>
      <c r="E12" s="70">
        <v>47</v>
      </c>
      <c r="F12" s="69">
        <v>2</v>
      </c>
      <c r="G12" s="70">
        <v>34000</v>
      </c>
      <c r="H12" s="108">
        <v>0</v>
      </c>
      <c r="I12" s="108" t="s">
        <v>115</v>
      </c>
    </row>
    <row r="13" spans="2:9" x14ac:dyDescent="0.3">
      <c r="B13" s="67" t="s">
        <v>129</v>
      </c>
      <c r="C13" s="72">
        <v>26</v>
      </c>
      <c r="D13" s="70">
        <v>24</v>
      </c>
      <c r="E13" s="70">
        <v>31</v>
      </c>
      <c r="F13" s="69">
        <v>1.9</v>
      </c>
      <c r="G13" s="70">
        <v>22000</v>
      </c>
      <c r="H13" s="108" t="s">
        <v>130</v>
      </c>
      <c r="I13" s="108" t="s">
        <v>117</v>
      </c>
    </row>
    <row r="14" spans="2:9" x14ac:dyDescent="0.3">
      <c r="B14" s="67" t="s">
        <v>131</v>
      </c>
      <c r="C14" s="72">
        <v>34</v>
      </c>
      <c r="D14" s="70">
        <v>19</v>
      </c>
      <c r="E14" s="70">
        <v>18</v>
      </c>
      <c r="F14" s="69">
        <v>1.8</v>
      </c>
      <c r="G14" s="70">
        <v>11000</v>
      </c>
      <c r="H14" s="108" t="s">
        <v>132</v>
      </c>
      <c r="I14" s="108" t="s">
        <v>127</v>
      </c>
    </row>
    <row r="15" spans="2:9" x14ac:dyDescent="0.3">
      <c r="B15" s="67" t="s">
        <v>133</v>
      </c>
      <c r="C15" s="72">
        <v>40</v>
      </c>
      <c r="D15" s="70">
        <v>12</v>
      </c>
      <c r="E15" s="70">
        <v>12</v>
      </c>
      <c r="F15" s="69">
        <v>1.75</v>
      </c>
      <c r="G15" s="70">
        <v>5000</v>
      </c>
      <c r="H15" s="108" t="s">
        <v>120</v>
      </c>
      <c r="I15" s="108" t="s">
        <v>134</v>
      </c>
    </row>
    <row r="16" spans="2:9" x14ac:dyDescent="0.3">
      <c r="B16" s="67" t="s">
        <v>135</v>
      </c>
      <c r="C16" s="72">
        <v>41</v>
      </c>
      <c r="D16" s="70">
        <v>21</v>
      </c>
      <c r="E16" s="70">
        <v>81</v>
      </c>
      <c r="F16" s="69">
        <v>1.8</v>
      </c>
      <c r="G16" s="70">
        <v>28000</v>
      </c>
      <c r="H16" s="108" t="s">
        <v>125</v>
      </c>
      <c r="I16" s="108" t="s">
        <v>136</v>
      </c>
    </row>
    <row r="17" spans="2:9" x14ac:dyDescent="0.3">
      <c r="B17" s="67" t="s">
        <v>137</v>
      </c>
      <c r="C17" s="72">
        <v>43</v>
      </c>
      <c r="D17" s="70">
        <v>19</v>
      </c>
      <c r="E17" s="70">
        <v>54</v>
      </c>
      <c r="F17" s="69">
        <v>1.8</v>
      </c>
      <c r="G17" s="70">
        <v>21000</v>
      </c>
      <c r="H17" s="108">
        <v>0.25</v>
      </c>
      <c r="I17" s="108">
        <v>0.75</v>
      </c>
    </row>
    <row r="18" spans="2:9" x14ac:dyDescent="0.3">
      <c r="B18" s="67" t="s">
        <v>138</v>
      </c>
      <c r="C18" s="72">
        <v>50</v>
      </c>
      <c r="D18" s="70">
        <v>14</v>
      </c>
      <c r="E18" s="70">
        <v>37</v>
      </c>
      <c r="F18" s="69">
        <v>1.7</v>
      </c>
      <c r="G18" s="70">
        <v>12000</v>
      </c>
      <c r="H18" s="108" t="s">
        <v>132</v>
      </c>
      <c r="I18" s="108" t="s">
        <v>139</v>
      </c>
    </row>
    <row r="19" spans="2:9" x14ac:dyDescent="0.3">
      <c r="B19" s="67" t="s">
        <v>140</v>
      </c>
      <c r="C19" s="72">
        <v>56</v>
      </c>
      <c r="D19" s="70">
        <v>7</v>
      </c>
      <c r="E19" s="70">
        <v>29</v>
      </c>
      <c r="F19" s="69">
        <v>1.65</v>
      </c>
      <c r="G19" s="70">
        <v>7000</v>
      </c>
      <c r="H19" s="108" t="s">
        <v>120</v>
      </c>
      <c r="I19" s="108" t="s">
        <v>134</v>
      </c>
    </row>
    <row r="20" spans="2:9" x14ac:dyDescent="0.3">
      <c r="C20" s="122" t="s">
        <v>141</v>
      </c>
      <c r="H20" s="122" t="s">
        <v>141</v>
      </c>
      <c r="I20" s="122" t="s">
        <v>141</v>
      </c>
    </row>
    <row r="21" spans="2:9" x14ac:dyDescent="0.3">
      <c r="B21" s="68"/>
    </row>
    <row r="22" spans="2:9" ht="15.75" customHeight="1" thickBot="1" x14ac:dyDescent="0.35">
      <c r="B22" s="68"/>
    </row>
    <row r="23" spans="2:9" x14ac:dyDescent="0.3">
      <c r="B23" s="73" t="s">
        <v>142</v>
      </c>
      <c r="C23" s="74"/>
      <c r="D23" s="75" t="s">
        <v>108</v>
      </c>
      <c r="E23" s="75" t="s">
        <v>109</v>
      </c>
      <c r="F23" s="75" t="s">
        <v>110</v>
      </c>
      <c r="G23" s="115" t="s">
        <v>111</v>
      </c>
      <c r="H23" s="118" t="s">
        <v>143</v>
      </c>
      <c r="I23" s="85" t="s">
        <v>144</v>
      </c>
    </row>
    <row r="24" spans="2:9" ht="15.75" customHeight="1" thickBot="1" x14ac:dyDescent="0.35">
      <c r="B24" s="76" t="s">
        <v>123</v>
      </c>
      <c r="C24" s="77">
        <f>MATCH(B24,B3:B19,0)</f>
        <v>7</v>
      </c>
      <c r="D24" s="107">
        <v>30</v>
      </c>
      <c r="E24" s="109">
        <v>21</v>
      </c>
      <c r="F24" s="106">
        <v>2</v>
      </c>
      <c r="G24" s="116">
        <v>32000</v>
      </c>
      <c r="H24" s="119" t="s">
        <v>385</v>
      </c>
      <c r="I24" s="117" t="s">
        <v>145</v>
      </c>
    </row>
  </sheetData>
  <dataValidations disablePrompts="1" count="1">
    <dataValidation type="list" showInputMessage="1" showErrorMessage="1" sqref="B24" xr:uid="{00000000-0002-0000-0100-000000000000}">
      <formula1>$B$3:$B$19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2:Q30"/>
  <sheetViews>
    <sheetView zoomScale="80" zoomScaleNormal="80" workbookViewId="0">
      <selection activeCell="C28" sqref="C28"/>
    </sheetView>
  </sheetViews>
  <sheetFormatPr defaultColWidth="9.109375" defaultRowHeight="14.4" x14ac:dyDescent="0.3"/>
  <cols>
    <col min="1" max="1" width="9.109375" style="122" customWidth="1"/>
    <col min="2" max="2" width="35.33203125" style="122" customWidth="1"/>
    <col min="3" max="3" width="41.109375" style="122" customWidth="1"/>
    <col min="4" max="4" width="18" style="122" customWidth="1"/>
    <col min="5" max="5" width="19.6640625" style="122" customWidth="1"/>
    <col min="6" max="6" width="22.33203125" style="122" customWidth="1"/>
    <col min="7" max="7" width="19" style="122" customWidth="1"/>
    <col min="8" max="8" width="20" style="122" customWidth="1"/>
    <col min="9" max="9" width="9.109375" style="122" customWidth="1"/>
    <col min="10" max="10" width="28.5546875" style="122" customWidth="1"/>
    <col min="11" max="11" width="28.88671875" style="122" bestFit="1" customWidth="1"/>
    <col min="12" max="12" width="9.109375" style="122" customWidth="1"/>
    <col min="13" max="13" width="10.44140625" style="122" bestFit="1" customWidth="1"/>
    <col min="14" max="14" width="16.88671875" style="122" bestFit="1" customWidth="1"/>
    <col min="15" max="15" width="9.109375" style="122" customWidth="1"/>
    <col min="16" max="16" width="16.88671875" style="122" bestFit="1" customWidth="1"/>
    <col min="17" max="17" width="16.109375" style="122" bestFit="1" customWidth="1"/>
    <col min="18" max="19" width="9.109375" style="122" customWidth="1"/>
    <col min="20" max="16384" width="9.109375" style="122"/>
  </cols>
  <sheetData>
    <row r="2" spans="2:17" x14ac:dyDescent="0.3">
      <c r="B2" s="1" t="s">
        <v>7</v>
      </c>
    </row>
    <row r="3" spans="2:17" x14ac:dyDescent="0.3">
      <c r="B3" s="8">
        <f>'Расчет массы фланца'!C5/1000</f>
        <v>11</v>
      </c>
    </row>
    <row r="5" spans="2:17" x14ac:dyDescent="0.3">
      <c r="B5" s="29"/>
      <c r="C5" s="29" t="s">
        <v>146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M5" s="1" t="s">
        <v>147</v>
      </c>
      <c r="N5" s="1" t="s">
        <v>148</v>
      </c>
      <c r="P5" s="1" t="s">
        <v>64</v>
      </c>
      <c r="Q5" s="1" t="s">
        <v>149</v>
      </c>
    </row>
    <row r="6" spans="2:17" x14ac:dyDescent="0.3">
      <c r="B6" s="29" t="s">
        <v>35</v>
      </c>
      <c r="C6" s="29"/>
      <c r="D6" s="1">
        <v>1</v>
      </c>
      <c r="E6" s="1">
        <v>2</v>
      </c>
      <c r="F6" s="1">
        <v>3</v>
      </c>
      <c r="G6" s="1"/>
      <c r="H6" s="1"/>
      <c r="M6" s="1" t="s">
        <v>150</v>
      </c>
      <c r="N6" s="1">
        <v>1</v>
      </c>
      <c r="P6" s="1" t="s">
        <v>151</v>
      </c>
      <c r="Q6" s="1">
        <v>1</v>
      </c>
    </row>
    <row r="7" spans="2:17" x14ac:dyDescent="0.3">
      <c r="B7" s="29" t="s">
        <v>152</v>
      </c>
      <c r="C7" s="29"/>
      <c r="D7" s="1" t="s">
        <v>157</v>
      </c>
      <c r="E7" s="1" t="s">
        <v>159</v>
      </c>
      <c r="F7" s="1" t="s">
        <v>154</v>
      </c>
      <c r="G7" s="1"/>
      <c r="H7" s="1"/>
      <c r="M7" s="1" t="s">
        <v>154</v>
      </c>
      <c r="N7" s="1">
        <v>1.2</v>
      </c>
      <c r="P7" s="1" t="s">
        <v>155</v>
      </c>
      <c r="Q7" s="1">
        <v>1.3</v>
      </c>
    </row>
    <row r="8" spans="2:17" s="28" customFormat="1" ht="15" customHeight="1" x14ac:dyDescent="0.3">
      <c r="B8" s="29" t="s">
        <v>40</v>
      </c>
      <c r="C8" s="29" t="s">
        <v>156</v>
      </c>
      <c r="D8" s="29" t="s">
        <v>157</v>
      </c>
      <c r="E8" s="29" t="s">
        <v>159</v>
      </c>
      <c r="F8" s="29" t="s">
        <v>154</v>
      </c>
      <c r="G8" s="29"/>
      <c r="H8" s="29"/>
      <c r="M8" s="29" t="s">
        <v>157</v>
      </c>
      <c r="N8" s="29">
        <v>1.25</v>
      </c>
      <c r="P8" s="29" t="s">
        <v>158</v>
      </c>
      <c r="Q8" s="29">
        <v>1.3</v>
      </c>
    </row>
    <row r="9" spans="2:17" x14ac:dyDescent="0.3">
      <c r="B9" s="29" t="s">
        <v>42</v>
      </c>
      <c r="C9" s="29"/>
      <c r="D9" s="8">
        <v>0</v>
      </c>
      <c r="E9" s="8">
        <v>5</v>
      </c>
      <c r="F9" s="8">
        <v>13</v>
      </c>
      <c r="G9" s="8"/>
      <c r="H9" s="8"/>
      <c r="M9" s="1" t="s">
        <v>159</v>
      </c>
      <c r="N9" s="1">
        <v>1.3</v>
      </c>
    </row>
    <row r="10" spans="2:17" x14ac:dyDescent="0.3">
      <c r="B10" s="29" t="s">
        <v>45</v>
      </c>
      <c r="C10" s="29"/>
      <c r="D10" s="8">
        <v>5</v>
      </c>
      <c r="E10" s="8">
        <v>13</v>
      </c>
      <c r="F10" s="8">
        <v>17</v>
      </c>
      <c r="G10" s="8"/>
      <c r="H10" s="8"/>
      <c r="M10" s="1" t="s">
        <v>153</v>
      </c>
      <c r="N10" s="1">
        <v>0</v>
      </c>
    </row>
    <row r="11" spans="2:17" ht="30" customHeight="1" x14ac:dyDescent="0.3">
      <c r="B11" s="29" t="s">
        <v>47</v>
      </c>
      <c r="C11" s="29"/>
      <c r="D11" s="56">
        <f>D10-D9</f>
        <v>5</v>
      </c>
      <c r="E11" s="56">
        <f>IF(E7="нет грунта","данный слой отсутствует",E10-E9)</f>
        <v>8</v>
      </c>
      <c r="F11" s="56">
        <f>IF(F7="нет грунта","данный слой отсутствует",F10-F9)</f>
        <v>4</v>
      </c>
      <c r="G11" s="56">
        <f>IF(G7="нет грунта","данный слой отсутствует",G10-G9)</f>
        <v>0</v>
      </c>
      <c r="H11" s="57">
        <f>IF(H7="нет грунта","данный слой отсутствует",H10-H9)</f>
        <v>0</v>
      </c>
    </row>
    <row r="12" spans="2:17" x14ac:dyDescent="0.3">
      <c r="B12" s="31" t="s">
        <v>49</v>
      </c>
      <c r="C12" s="32"/>
      <c r="D12" s="38"/>
      <c r="E12" s="38"/>
      <c r="F12" s="38"/>
      <c r="G12" s="38"/>
      <c r="H12" s="38"/>
      <c r="J12" s="128" t="s">
        <v>160</v>
      </c>
      <c r="K12" s="128"/>
    </row>
    <row r="13" spans="2:17" x14ac:dyDescent="0.3">
      <c r="B13" s="29" t="s">
        <v>51</v>
      </c>
      <c r="C13" s="29"/>
      <c r="D13" s="1">
        <v>0.8</v>
      </c>
      <c r="E13" s="1">
        <v>0.7</v>
      </c>
      <c r="F13" s="1">
        <v>0.4</v>
      </c>
      <c r="G13" s="1"/>
      <c r="H13" s="1"/>
    </row>
    <row r="14" spans="2:17" x14ac:dyDescent="0.3">
      <c r="B14" s="1" t="s">
        <v>53</v>
      </c>
      <c r="C14" s="1"/>
      <c r="D14" s="1">
        <v>0</v>
      </c>
      <c r="E14" s="1">
        <v>0</v>
      </c>
      <c r="F14" s="1">
        <v>0</v>
      </c>
      <c r="G14" s="1"/>
      <c r="H14" s="1"/>
      <c r="J14" s="1" t="s">
        <v>161</v>
      </c>
      <c r="K14" s="35">
        <f>ROUND(IF($B$3&lt;=$D$10,
D14,
IF($B$3&lt;=$E$10,
(D14*$D$11+E14*($B$3-$E$9))/$B$3,
IF($B$3&lt;=$F$10,
(D14*$D$11+E14*$E$11+F14*($B$3-$F$9))/$B$3,
IF($B$3&lt;=$G$10,
(D14*$D$11+E14*$E$11+F14*$F$11+G14*($B$3-$G$9))/$B$3,
IF($B$3&lt;=$H$10,
(D14*$D$11+E14*$E$11+F14*$F$11+G14*$G$11+H14*($B$3-$H$9))/$B$3,
1))))),1)</f>
        <v>0</v>
      </c>
    </row>
    <row r="15" spans="2:17" x14ac:dyDescent="0.3">
      <c r="B15" s="1" t="s">
        <v>55</v>
      </c>
      <c r="C15" s="1"/>
      <c r="D15" s="1">
        <v>25</v>
      </c>
      <c r="E15" s="1">
        <v>23</v>
      </c>
      <c r="F15" s="1">
        <v>15</v>
      </c>
      <c r="G15" s="1"/>
      <c r="H15" s="1"/>
      <c r="J15" s="1" t="s">
        <v>162</v>
      </c>
      <c r="K15" s="35">
        <f>ROUND(IF($B$3&lt;=$D$10,
D15,
IF($B$3&lt;=$E$10,
(D15*$D$11+E15*($B$3-$E$9))/$B$3,
IF($B$3&lt;=$F$10,
(D15*$D$11+E15*$E$11+F15*($B$3-$F$9))/$B$3,
IF($B$3&lt;=$G$10,
(D15*$D$11+E15*$E$11+F15*$F$11+G15*($B$3-$G$9))/$B$3,
IF($B$3&lt;=$H$10,
(D15*$D$11+E15*$E$11+F15*$F$11+G15*$G$11+H15*($B$3-$H$9))/$B$3,
1))))),1)</f>
        <v>23.9</v>
      </c>
    </row>
    <row r="16" spans="2:17" x14ac:dyDescent="0.3">
      <c r="B16" s="1" t="s">
        <v>57</v>
      </c>
      <c r="C16" s="1"/>
      <c r="D16" s="8">
        <v>1.88</v>
      </c>
      <c r="E16" s="8">
        <v>1.33</v>
      </c>
      <c r="F16" s="8">
        <v>1</v>
      </c>
      <c r="G16" s="8"/>
      <c r="H16" s="8"/>
    </row>
    <row r="17" spans="2:11" x14ac:dyDescent="0.3">
      <c r="B17" s="123" t="s">
        <v>59</v>
      </c>
      <c r="C17" s="1"/>
      <c r="D17" s="30">
        <f>ROUND(IF($B$23&lt;$B$3,(2.72-1)/(1+D13)*($B$3-$B$23)/$B$3+D16*$B$23/$B$3,D16),2)</f>
        <v>1.88</v>
      </c>
      <c r="E17" s="30">
        <f>ROUND(IF($B$23&lt;$B$3,(2.72-1)/(1+E13)*($B$3-$B$23)/$B$3+E16*$B$23/$B$3,E16),2)</f>
        <v>1.33</v>
      </c>
      <c r="F17" s="30">
        <f>ROUND(IF($B$23&lt;$B$3,(2.72-1)/(1+F13)*($B$3-$B$23)/$B$3+F16*$B$23/$B$3,F16),2)</f>
        <v>1</v>
      </c>
      <c r="G17" s="30">
        <f>ROUND(IF($B$23&lt;$B$3,(2.72-1)/(1+G13)*($B$3-$B$23)/$B$3+G16*$B$23/$B$3,G16),2)</f>
        <v>0</v>
      </c>
      <c r="H17" s="30">
        <f>ROUND(IF($B$23&lt;$B$3,(2.72-1)/(1+H13)*($B$3-$B$23)/$B$3+H16*$B$23/$B$3,H16),2)</f>
        <v>0</v>
      </c>
      <c r="J17" s="1" t="s">
        <v>163</v>
      </c>
      <c r="K17" s="59">
        <f>ROUND(IF($B$3&lt;=$D$10,
D17,
IF($B$3&lt;=$E$10,
(D17*$D$11+E17*($B$3-$E$9))/$B$3,
IF($B$3&lt;=$F$10,
(D17*$D$11+E17*$E$11+F17*($B$3-$F$9))/$B$3,
IF($B$3&lt;=$G$10,
(D17*$D$11+E17*$E$11+F17*$F$11+G17*($B$3-$G$9))/$B$3,
IF($B$3&lt;=$H$10,
(D17*$D$11+E17*$E$11+F17*$F$11+G17*$G$11+H17*($B$3-$H$9))/$B$3,
1))))),2)</f>
        <v>1.58</v>
      </c>
    </row>
    <row r="18" spans="2:11" x14ac:dyDescent="0.3">
      <c r="B18" s="1" t="s">
        <v>27</v>
      </c>
      <c r="C18" s="1"/>
      <c r="D18" s="1">
        <v>8000</v>
      </c>
      <c r="E18" s="1">
        <v>9000</v>
      </c>
      <c r="F18" s="1">
        <v>10000</v>
      </c>
      <c r="G18" s="1"/>
      <c r="H18" s="1"/>
      <c r="J18" s="1" t="s">
        <v>164</v>
      </c>
      <c r="K18" s="60">
        <f>ROUND(IF($B$3&lt;=$D$10,
D18,
IF($B$3&lt;=$E$10,
(D18*$D$11+E18*($B$3-$E$9))/$B$3,
IF($B$3&lt;=$F$10,
(D18*$D$11+E18*$E$11+F18*($B$3-$F$9))/$B$3,
IF($B$3&lt;=$G$10,
(D18*$D$11+E18*$E$11+F18*$F$11+G18*($B$3-$G$9))/$B$3,
IF($B$3&lt;=$H$10,
(D18*$D$11+E18*$E$11+F18*$F$11+G18*$G$11+H18*($B$3-$H$9))/$B$3,
1))))),0)</f>
        <v>8545</v>
      </c>
    </row>
    <row r="19" spans="2:11" x14ac:dyDescent="0.3">
      <c r="B19" s="56" t="s">
        <v>165</v>
      </c>
      <c r="C19" s="56" t="s">
        <v>166</v>
      </c>
      <c r="D19" s="56">
        <f>MATCH(D7,$M$6:$M$10,0)</f>
        <v>3</v>
      </c>
      <c r="E19" s="56">
        <f>MATCH(E7,$M$6:$M$10,0)</f>
        <v>4</v>
      </c>
      <c r="F19" s="56">
        <f>MATCH(F7,$M$6:$M$10,0)</f>
        <v>2</v>
      </c>
      <c r="G19" s="56" t="e">
        <f>MATCH(G7,$M$6:$M$10,0)</f>
        <v>#N/A</v>
      </c>
      <c r="H19" s="56" t="e">
        <f>MATCH(H7,$M$6:$M$10,0)</f>
        <v>#N/A</v>
      </c>
    </row>
    <row r="20" spans="2:11" x14ac:dyDescent="0.3">
      <c r="B20" s="56" t="s">
        <v>148</v>
      </c>
      <c r="C20" s="56"/>
      <c r="D20" s="57">
        <f ca="1">OFFSET($N$5,D19,0)</f>
        <v>1.25</v>
      </c>
      <c r="E20" s="57">
        <f ca="1">OFFSET($N$5,E19,0)</f>
        <v>1.3</v>
      </c>
      <c r="F20" s="57">
        <f ca="1">OFFSET($N$5,F19,0)</f>
        <v>1.2</v>
      </c>
      <c r="G20" s="57" t="e">
        <f ca="1">OFFSET($N$5,G19,0)</f>
        <v>#N/A</v>
      </c>
      <c r="H20" s="57" t="e">
        <f ca="1">OFFSET($N$5,H19,0)</f>
        <v>#N/A</v>
      </c>
    </row>
    <row r="22" spans="2:11" x14ac:dyDescent="0.3">
      <c r="B22" s="1" t="s">
        <v>30</v>
      </c>
    </row>
    <row r="23" spans="2:11" x14ac:dyDescent="0.3">
      <c r="B23" s="1">
        <v>15</v>
      </c>
    </row>
    <row r="25" spans="2:11" x14ac:dyDescent="0.3">
      <c r="B25" s="1" t="s">
        <v>167</v>
      </c>
      <c r="C25" s="1" t="s">
        <v>149</v>
      </c>
    </row>
    <row r="26" spans="2:11" x14ac:dyDescent="0.3">
      <c r="B26" s="1" t="s">
        <v>155</v>
      </c>
      <c r="C26" s="8" t="s">
        <v>145</v>
      </c>
      <c r="K26" s="28"/>
    </row>
    <row r="27" spans="2:11" x14ac:dyDescent="0.3">
      <c r="B27" s="64">
        <f>MATCH(B26,P6:P8,0)</f>
        <v>2</v>
      </c>
      <c r="C27" s="1" t="s">
        <v>148</v>
      </c>
    </row>
    <row r="28" spans="2:11" x14ac:dyDescent="0.3">
      <c r="C28" s="63">
        <v>1.3</v>
      </c>
      <c r="D28" s="110"/>
    </row>
    <row r="30" spans="2:11" ht="270" customHeight="1" x14ac:dyDescent="0.3">
      <c r="J30" s="58" t="s">
        <v>168</v>
      </c>
    </row>
  </sheetData>
  <mergeCells count="1">
    <mergeCell ref="J12:K12"/>
  </mergeCells>
  <dataValidations count="2">
    <dataValidation type="list" showInputMessage="1" showErrorMessage="1" sqref="D7:H7" xr:uid="{00000000-0002-0000-0200-000000000000}">
      <formula1>$M$6:$M$10</formula1>
    </dataValidation>
    <dataValidation type="list" showInputMessage="1" showErrorMessage="1" sqref="B26" xr:uid="{00000000-0002-0000-0200-000001000000}">
      <formula1>$P$6:$P$8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1:X111"/>
  <sheetViews>
    <sheetView tabSelected="1" zoomScale="80" zoomScaleNormal="80" workbookViewId="0">
      <selection activeCell="L18" sqref="L18"/>
    </sheetView>
  </sheetViews>
  <sheetFormatPr defaultColWidth="9.109375" defaultRowHeight="14.4" x14ac:dyDescent="0.3"/>
  <cols>
    <col min="1" max="1" width="11.33203125" style="121" customWidth="1"/>
    <col min="2" max="2" width="30.44140625" style="121" customWidth="1"/>
    <col min="3" max="3" width="10.6640625" style="121" customWidth="1"/>
    <col min="4" max="4" width="10.6640625" style="122" customWidth="1"/>
    <col min="5" max="5" width="43.5546875" style="120" customWidth="1"/>
    <col min="6" max="6" width="11.33203125" style="121" customWidth="1"/>
    <col min="7" max="7" width="28.6640625" style="121" customWidth="1"/>
    <col min="8" max="8" width="12.6640625" style="121" customWidth="1"/>
    <col min="9" max="11" width="10" style="121" customWidth="1"/>
    <col min="12" max="12" width="33.109375" style="121" bestFit="1" customWidth="1"/>
    <col min="13" max="13" width="12" style="121" customWidth="1"/>
    <col min="14" max="17" width="10.6640625" style="121" customWidth="1"/>
    <col min="18" max="18" width="59.109375" style="121" bestFit="1" customWidth="1"/>
    <col min="19" max="19" width="18.44140625" style="121" customWidth="1"/>
    <col min="20" max="20" width="10.6640625" style="121" customWidth="1"/>
    <col min="21" max="23" width="9.109375" style="121" customWidth="1"/>
    <col min="24" max="24" width="17.6640625" style="121" bestFit="1" customWidth="1"/>
    <col min="25" max="26" width="9.109375" style="121" customWidth="1"/>
    <col min="27" max="16384" width="9.109375" style="121"/>
  </cols>
  <sheetData>
    <row r="1" spans="2:24" ht="26.25" customHeight="1" x14ac:dyDescent="0.3">
      <c r="B1" s="138" t="s">
        <v>169</v>
      </c>
      <c r="C1" s="139"/>
      <c r="D1" s="135"/>
      <c r="G1" s="140" t="s">
        <v>170</v>
      </c>
      <c r="H1" s="135"/>
      <c r="I1" s="37"/>
      <c r="J1" s="37"/>
      <c r="K1" s="37"/>
      <c r="L1" s="129" t="s">
        <v>171</v>
      </c>
      <c r="M1" s="130"/>
      <c r="N1" s="122"/>
    </row>
    <row r="2" spans="2:24" x14ac:dyDescent="0.3">
      <c r="B2" s="124" t="s">
        <v>172</v>
      </c>
      <c r="C2" s="124"/>
      <c r="D2" s="123"/>
      <c r="G2" s="37"/>
      <c r="H2" s="37"/>
      <c r="I2" s="37"/>
      <c r="J2" s="37"/>
      <c r="K2" s="37"/>
      <c r="L2" s="125" t="s">
        <v>173</v>
      </c>
      <c r="M2" s="24">
        <f>I6*1000</f>
        <v>1700</v>
      </c>
      <c r="N2" s="122"/>
    </row>
    <row r="3" spans="2:24" x14ac:dyDescent="0.3">
      <c r="B3" s="123"/>
      <c r="C3" s="123"/>
      <c r="D3" s="123"/>
      <c r="E3" s="65" t="s">
        <v>174</v>
      </c>
      <c r="G3" s="37"/>
      <c r="H3" s="37"/>
      <c r="I3" s="37"/>
      <c r="J3" s="37"/>
      <c r="K3" s="37"/>
      <c r="L3" s="125" t="s">
        <v>175</v>
      </c>
      <c r="M3" s="24">
        <f>I8*1000</f>
        <v>18</v>
      </c>
      <c r="N3" s="122"/>
      <c r="R3" s="38" t="s">
        <v>176</v>
      </c>
      <c r="S3" s="11" t="s">
        <v>177</v>
      </c>
      <c r="T3" s="1" t="s">
        <v>178</v>
      </c>
      <c r="U3" s="1" t="s">
        <v>179</v>
      </c>
      <c r="V3" s="1" t="s">
        <v>180</v>
      </c>
      <c r="W3" s="1" t="s">
        <v>181</v>
      </c>
      <c r="X3" s="1" t="s">
        <v>182</v>
      </c>
    </row>
    <row r="4" spans="2:24" x14ac:dyDescent="0.3">
      <c r="B4" s="124" t="s">
        <v>112</v>
      </c>
      <c r="C4" s="124"/>
      <c r="D4" s="3">
        <v>0</v>
      </c>
      <c r="G4" s="134" t="s">
        <v>183</v>
      </c>
      <c r="H4" s="135"/>
      <c r="I4" s="123"/>
      <c r="J4" s="16" t="s">
        <v>184</v>
      </c>
      <c r="K4" s="37"/>
      <c r="L4" s="125" t="s">
        <v>185</v>
      </c>
      <c r="M4" s="24">
        <f>(I5+I7)*1000</f>
        <v>11500</v>
      </c>
      <c r="N4" s="122"/>
      <c r="R4" s="38" t="s">
        <v>186</v>
      </c>
      <c r="S4" s="12"/>
      <c r="T4" s="4"/>
      <c r="U4" s="5"/>
      <c r="V4" s="6"/>
      <c r="W4" s="7"/>
      <c r="X4" s="8">
        <v>1</v>
      </c>
    </row>
    <row r="5" spans="2:24" x14ac:dyDescent="0.3">
      <c r="B5" s="124" t="s">
        <v>187</v>
      </c>
      <c r="C5" s="124"/>
      <c r="D5" s="61"/>
      <c r="E5" s="120" t="s">
        <v>188</v>
      </c>
      <c r="G5" s="39" t="s">
        <v>189</v>
      </c>
      <c r="H5" s="40" t="s">
        <v>190</v>
      </c>
      <c r="I5" s="17">
        <f>'Задание грунтов'!B3</f>
        <v>11</v>
      </c>
      <c r="J5" s="16"/>
      <c r="K5" s="37"/>
      <c r="L5" s="125" t="s">
        <v>191</v>
      </c>
      <c r="M5" s="3">
        <v>7850</v>
      </c>
      <c r="N5" s="122"/>
      <c r="R5" s="38" t="s">
        <v>192</v>
      </c>
      <c r="S5" s="12"/>
      <c r="T5" s="4"/>
      <c r="U5" s="5"/>
      <c r="V5" s="6"/>
      <c r="W5" s="7"/>
      <c r="X5" s="13">
        <v>1E-3</v>
      </c>
    </row>
    <row r="6" spans="2:24" ht="15" customHeight="1" x14ac:dyDescent="0.3">
      <c r="B6" s="123" t="s">
        <v>161</v>
      </c>
      <c r="C6" s="39" t="s">
        <v>193</v>
      </c>
      <c r="D6" s="123"/>
      <c r="G6" s="39" t="s">
        <v>194</v>
      </c>
      <c r="H6" s="40" t="s">
        <v>195</v>
      </c>
      <c r="I6" s="24">
        <f>J6/1000</f>
        <v>1.7</v>
      </c>
      <c r="J6" s="17">
        <f>'Расчет массы фланца'!C3</f>
        <v>1700</v>
      </c>
      <c r="K6" s="37"/>
      <c r="L6" s="125"/>
      <c r="M6" s="123"/>
      <c r="N6" s="122"/>
    </row>
    <row r="7" spans="2:24" ht="30" customHeight="1" x14ac:dyDescent="0.3">
      <c r="B7" s="123"/>
      <c r="C7" s="40" t="s">
        <v>196</v>
      </c>
      <c r="D7" s="27">
        <f>IF(Интерфейс!B8 = "Исходных данных нет",'Типовые грунты'!E24,'Задание грунтов'!K14)</f>
        <v>0</v>
      </c>
      <c r="E7" s="120" t="s">
        <v>197</v>
      </c>
      <c r="G7" s="39" t="s">
        <v>198</v>
      </c>
      <c r="H7" s="41" t="s">
        <v>199</v>
      </c>
      <c r="I7" s="17">
        <v>0.5</v>
      </c>
      <c r="J7" s="16"/>
      <c r="K7" s="37"/>
      <c r="L7" s="125" t="s">
        <v>200</v>
      </c>
      <c r="M7" s="22">
        <f>M2*TAN(3.14159/12)</f>
        <v>455.51322421749518</v>
      </c>
      <c r="N7" s="122"/>
    </row>
    <row r="8" spans="2:24" ht="15" customHeight="1" x14ac:dyDescent="0.3">
      <c r="B8" s="33" t="s">
        <v>162</v>
      </c>
      <c r="C8" s="41" t="s">
        <v>108</v>
      </c>
      <c r="D8" s="123"/>
      <c r="G8" s="39" t="s">
        <v>201</v>
      </c>
      <c r="H8" s="39" t="s">
        <v>202</v>
      </c>
      <c r="I8" s="24">
        <f>J8/1000</f>
        <v>1.7999999999999999E-2</v>
      </c>
      <c r="J8" s="17">
        <f>'Расчет массы фланца'!C4</f>
        <v>18</v>
      </c>
      <c r="K8" s="37"/>
      <c r="L8" s="125" t="s">
        <v>203</v>
      </c>
      <c r="M8" s="22">
        <f>M7*12</f>
        <v>5466.1586906099419</v>
      </c>
      <c r="N8" s="122"/>
    </row>
    <row r="9" spans="2:24" ht="30" customHeight="1" x14ac:dyDescent="0.3">
      <c r="B9" s="33"/>
      <c r="C9" s="54" t="s">
        <v>204</v>
      </c>
      <c r="D9" s="27">
        <f>IF(Интерфейс!B8 = "Исходных данных нет",'Типовые грунты'!D24,'Задание грунтов'!K15)</f>
        <v>23.9</v>
      </c>
      <c r="E9" s="120" t="s">
        <v>197</v>
      </c>
      <c r="G9" s="39" t="s">
        <v>205</v>
      </c>
      <c r="H9" s="39" t="s">
        <v>206</v>
      </c>
      <c r="I9" s="20">
        <f>206000000</f>
        <v>206000000</v>
      </c>
      <c r="J9" s="16"/>
      <c r="K9" s="37"/>
      <c r="L9" s="125" t="s">
        <v>207</v>
      </c>
      <c r="M9" s="22">
        <f>M8*M3</f>
        <v>98390.856430978951</v>
      </c>
      <c r="N9" s="122"/>
      <c r="R9" s="1" t="s">
        <v>208</v>
      </c>
    </row>
    <row r="10" spans="2:24" ht="30" customHeight="1" x14ac:dyDescent="0.3">
      <c r="B10" s="33"/>
      <c r="C10" s="39" t="s">
        <v>209</v>
      </c>
      <c r="D10" s="25">
        <f>RADIANS(D9)</f>
        <v>0.41713369122664473</v>
      </c>
      <c r="G10" s="39" t="s">
        <v>210</v>
      </c>
      <c r="H10" s="39" t="s">
        <v>211</v>
      </c>
      <c r="I10" s="26">
        <f>PI()/64*(I6^4-(I6-2*I8)^4)</f>
        <v>3.3640318509671453E-2</v>
      </c>
      <c r="J10" s="16"/>
      <c r="K10" s="37"/>
      <c r="L10" s="125" t="s">
        <v>212</v>
      </c>
      <c r="M10" s="23">
        <f>M4*M9*10^(-9)</f>
        <v>1.131494848956258</v>
      </c>
      <c r="N10" s="122"/>
      <c r="R10" s="42" t="s">
        <v>213</v>
      </c>
    </row>
    <row r="11" spans="2:24" x14ac:dyDescent="0.3">
      <c r="B11" s="39" t="s">
        <v>214</v>
      </c>
      <c r="C11" s="39" t="s">
        <v>215</v>
      </c>
      <c r="D11" s="19">
        <v>14000</v>
      </c>
      <c r="G11" s="37"/>
      <c r="H11" s="37"/>
      <c r="I11" s="37"/>
      <c r="J11" s="37"/>
      <c r="K11" s="37"/>
      <c r="L11" s="15" t="s">
        <v>216</v>
      </c>
      <c r="M11" s="21">
        <f>M5*M10</f>
        <v>8882.2345643066255</v>
      </c>
      <c r="N11" s="122"/>
      <c r="R11" s="43" t="s">
        <v>217</v>
      </c>
    </row>
    <row r="12" spans="2:24" x14ac:dyDescent="0.3">
      <c r="B12" s="39" t="s">
        <v>218</v>
      </c>
      <c r="C12" s="41" t="s">
        <v>110</v>
      </c>
      <c r="D12" s="25"/>
      <c r="E12" s="120" t="s">
        <v>188</v>
      </c>
      <c r="G12" s="37"/>
      <c r="H12" s="37"/>
      <c r="I12" s="37"/>
      <c r="J12" s="37"/>
      <c r="K12" s="37"/>
      <c r="L12" s="16"/>
      <c r="M12" s="16"/>
      <c r="N12" s="122"/>
      <c r="R12" s="44" t="s">
        <v>219</v>
      </c>
    </row>
    <row r="13" spans="2:24" ht="30" customHeight="1" x14ac:dyDescent="0.3">
      <c r="B13" s="39" t="s">
        <v>163</v>
      </c>
      <c r="C13" s="54" t="s">
        <v>110</v>
      </c>
      <c r="D13" s="18">
        <f>IF(Интерфейс!B8 = "Исходных данных нет",'Типовые грунты'!F24,'Задание грунтов'!K17)</f>
        <v>1.58</v>
      </c>
      <c r="E13" s="120" t="s">
        <v>197</v>
      </c>
      <c r="G13" s="37"/>
      <c r="H13" s="37"/>
      <c r="I13" s="36" t="s">
        <v>220</v>
      </c>
      <c r="J13" s="36" t="s">
        <v>221</v>
      </c>
      <c r="K13" s="37"/>
      <c r="L13" s="37"/>
      <c r="M13" s="37"/>
      <c r="R13" s="45" t="s">
        <v>222</v>
      </c>
    </row>
    <row r="14" spans="2:24" ht="18" customHeight="1" x14ac:dyDescent="0.3">
      <c r="B14" s="39" t="s">
        <v>223</v>
      </c>
      <c r="C14" s="41" t="s">
        <v>224</v>
      </c>
      <c r="D14" s="3">
        <v>3</v>
      </c>
      <c r="G14" s="39" t="s">
        <v>225</v>
      </c>
      <c r="H14" s="40" t="s">
        <v>226</v>
      </c>
      <c r="I14" s="17">
        <v>5434.05</v>
      </c>
      <c r="J14" s="27">
        <f t="shared" ref="J14:J19" si="0">I14*1.1/1.3</f>
        <v>4598.042307692308</v>
      </c>
      <c r="K14" s="37"/>
      <c r="L14" s="37"/>
      <c r="M14" s="37"/>
      <c r="R14" s="46" t="s">
        <v>227</v>
      </c>
    </row>
    <row r="15" spans="2:24" ht="30" customHeight="1" x14ac:dyDescent="0.3">
      <c r="B15" s="39" t="s">
        <v>164</v>
      </c>
      <c r="C15" s="54" t="s">
        <v>111</v>
      </c>
      <c r="D15" s="62">
        <f>IF(Интерфейс!B8 = "Исходных данных нет",'Типовые грунты'!G24,'Задание грунтов'!K18)</f>
        <v>8545</v>
      </c>
      <c r="E15" s="120" t="s">
        <v>197</v>
      </c>
      <c r="G15" s="39"/>
      <c r="H15" s="39" t="s">
        <v>228</v>
      </c>
      <c r="I15" s="3">
        <f>I14+I16*I7</f>
        <v>5579.58</v>
      </c>
      <c r="J15" s="22">
        <f t="shared" si="0"/>
        <v>4721.1830769230774</v>
      </c>
      <c r="K15" s="37"/>
      <c r="L15" s="37"/>
      <c r="M15" s="37"/>
    </row>
    <row r="16" spans="2:24" x14ac:dyDescent="0.3">
      <c r="B16" s="39" t="s">
        <v>229</v>
      </c>
      <c r="C16" s="41" t="s">
        <v>230</v>
      </c>
      <c r="D16" s="24">
        <f>'Задание грунтов'!B23</f>
        <v>15</v>
      </c>
      <c r="E16" s="120" t="s">
        <v>188</v>
      </c>
      <c r="G16" s="39" t="s">
        <v>231</v>
      </c>
      <c r="H16" s="40" t="s">
        <v>232</v>
      </c>
      <c r="I16" s="17">
        <v>291.06</v>
      </c>
      <c r="J16" s="27">
        <f t="shared" si="0"/>
        <v>246.2815384615385</v>
      </c>
      <c r="K16" s="37"/>
      <c r="L16" s="37"/>
      <c r="M16" s="37"/>
    </row>
    <row r="17" spans="2:19" ht="18" customHeight="1" x14ac:dyDescent="0.3">
      <c r="G17" s="39"/>
      <c r="H17" s="39" t="s">
        <v>233</v>
      </c>
      <c r="I17" s="3">
        <f>I16</f>
        <v>291.06</v>
      </c>
      <c r="J17" s="22">
        <f t="shared" si="0"/>
        <v>246.2815384615385</v>
      </c>
      <c r="K17" s="37"/>
      <c r="L17" s="37"/>
      <c r="M17" s="37"/>
    </row>
    <row r="18" spans="2:19" x14ac:dyDescent="0.3">
      <c r="G18" s="39" t="s">
        <v>234</v>
      </c>
      <c r="H18" s="40" t="s">
        <v>235</v>
      </c>
      <c r="I18" s="17">
        <v>213.87</v>
      </c>
      <c r="J18" s="27">
        <f t="shared" si="0"/>
        <v>180.96692307692311</v>
      </c>
      <c r="K18" s="37"/>
      <c r="L18" s="37"/>
      <c r="M18" s="37"/>
    </row>
    <row r="19" spans="2:19" ht="18" customHeight="1" x14ac:dyDescent="0.3">
      <c r="G19" s="39"/>
      <c r="H19" s="39" t="s">
        <v>236</v>
      </c>
      <c r="I19" s="3">
        <f>I18</f>
        <v>213.87</v>
      </c>
      <c r="J19" s="22">
        <f t="shared" si="0"/>
        <v>180.96692307692311</v>
      </c>
      <c r="K19" s="37"/>
      <c r="L19" s="37"/>
      <c r="M19" s="37"/>
    </row>
    <row r="20" spans="2:19" x14ac:dyDescent="0.3">
      <c r="G20" s="37"/>
      <c r="H20" s="37"/>
      <c r="I20" s="37"/>
      <c r="J20" s="37"/>
      <c r="K20" s="37"/>
      <c r="L20" s="37"/>
      <c r="M20" s="37"/>
    </row>
    <row r="21" spans="2:19" x14ac:dyDescent="0.3">
      <c r="B21" s="10" t="s">
        <v>172</v>
      </c>
      <c r="C21" s="10"/>
      <c r="D21" s="9"/>
      <c r="G21" s="37"/>
      <c r="H21" s="37"/>
      <c r="I21" s="37"/>
      <c r="J21" s="37"/>
      <c r="K21" s="37"/>
      <c r="L21" s="37"/>
      <c r="M21" s="37"/>
    </row>
    <row r="22" spans="2:19" ht="18" customHeight="1" x14ac:dyDescent="0.3">
      <c r="B22" s="39" t="s">
        <v>161</v>
      </c>
      <c r="C22" s="40" t="s">
        <v>237</v>
      </c>
      <c r="D22" s="23">
        <f>D7/9.8</f>
        <v>0</v>
      </c>
      <c r="G22" s="37"/>
      <c r="H22" s="37"/>
      <c r="I22" s="37"/>
      <c r="J22" s="37"/>
      <c r="K22" s="37"/>
      <c r="L22" s="37"/>
      <c r="M22" s="37"/>
      <c r="R22" s="66" t="s">
        <v>238</v>
      </c>
      <c r="S22" s="38" t="s">
        <v>239</v>
      </c>
    </row>
    <row r="23" spans="2:19" ht="30" customHeight="1" x14ac:dyDescent="0.3">
      <c r="B23" s="136" t="s">
        <v>162</v>
      </c>
      <c r="C23" s="39" t="s">
        <v>204</v>
      </c>
      <c r="D23" s="2">
        <f>D9</f>
        <v>23.9</v>
      </c>
      <c r="G23" s="14" t="s">
        <v>80</v>
      </c>
      <c r="H23" s="39"/>
      <c r="I23" s="37"/>
      <c r="J23" s="37"/>
      <c r="K23" s="37"/>
      <c r="L23" s="37"/>
      <c r="M23" s="37"/>
      <c r="R23" s="66" t="s">
        <v>240</v>
      </c>
      <c r="S23" s="38" t="s">
        <v>241</v>
      </c>
    </row>
    <row r="24" spans="2:19" ht="18" customHeight="1" x14ac:dyDescent="0.3">
      <c r="B24" s="132"/>
      <c r="C24" s="39" t="s">
        <v>209</v>
      </c>
      <c r="D24" s="2">
        <f>RADIANS(D23)</f>
        <v>0.41713369122664473</v>
      </c>
      <c r="G24" s="39" t="s">
        <v>242</v>
      </c>
      <c r="H24" s="2">
        <f>I7+2/I31</f>
        <v>7.564824055702454</v>
      </c>
      <c r="I24" s="37"/>
      <c r="J24" s="37"/>
      <c r="K24" s="37"/>
      <c r="L24" s="37"/>
      <c r="M24" s="37"/>
      <c r="R24" s="66" t="s">
        <v>243</v>
      </c>
      <c r="S24" s="38" t="s">
        <v>244</v>
      </c>
    </row>
    <row r="25" spans="2:19" x14ac:dyDescent="0.3">
      <c r="B25" s="39" t="s">
        <v>245</v>
      </c>
      <c r="C25" s="40" t="s">
        <v>246</v>
      </c>
      <c r="D25" s="25">
        <f>0.9*((TAN(D24)-0.1))</f>
        <v>0.30882510325968021</v>
      </c>
      <c r="G25" s="39" t="s">
        <v>247</v>
      </c>
      <c r="H25" s="2">
        <f>(I15+I16*H24)/I10*I6/2/1000</f>
        <v>196.61490524542123</v>
      </c>
      <c r="I25" s="37"/>
      <c r="J25" s="37"/>
      <c r="K25" s="37"/>
      <c r="L25" s="37"/>
      <c r="M25" s="37"/>
      <c r="R25" s="66" t="s">
        <v>248</v>
      </c>
      <c r="S25" s="38" t="s">
        <v>249</v>
      </c>
    </row>
    <row r="26" spans="2:19" x14ac:dyDescent="0.3">
      <c r="B26" s="39" t="s">
        <v>250</v>
      </c>
      <c r="C26" s="41" t="s">
        <v>251</v>
      </c>
      <c r="D26" s="2">
        <f>D13</f>
        <v>1.58</v>
      </c>
      <c r="G26" s="14" t="s">
        <v>252</v>
      </c>
      <c r="H26" s="48">
        <f>H25/235</f>
        <v>0.83665917125711164</v>
      </c>
      <c r="I26" s="37" t="s">
        <v>253</v>
      </c>
      <c r="J26" s="37"/>
      <c r="K26" s="37"/>
      <c r="L26" s="37"/>
      <c r="M26" s="37"/>
      <c r="R26" s="47"/>
    </row>
    <row r="27" spans="2:19" x14ac:dyDescent="0.3">
      <c r="B27" s="137" t="s">
        <v>254</v>
      </c>
      <c r="C27" s="41" t="s">
        <v>255</v>
      </c>
      <c r="D27" s="2">
        <f>DEGREES(D28)</f>
        <v>23.9</v>
      </c>
      <c r="G27" s="14" t="s">
        <v>256</v>
      </c>
      <c r="H27" s="48">
        <f>H25/335</f>
        <v>0.58691016491170511</v>
      </c>
      <c r="I27" s="37" t="s">
        <v>253</v>
      </c>
      <c r="J27" s="37"/>
      <c r="K27" s="37"/>
      <c r="L27" s="37"/>
      <c r="M27" s="37"/>
      <c r="R27" s="47"/>
    </row>
    <row r="28" spans="2:19" x14ac:dyDescent="0.3">
      <c r="B28" s="132"/>
      <c r="C28" s="54" t="s">
        <v>257</v>
      </c>
      <c r="D28" s="2">
        <f>ATAN(TAN(D24)+D22/10)</f>
        <v>0.41713369122664473</v>
      </c>
      <c r="G28" s="37"/>
      <c r="H28" s="37"/>
      <c r="I28" s="37"/>
      <c r="J28" s="37"/>
      <c r="K28" s="37"/>
      <c r="L28" s="37"/>
      <c r="M28" s="37"/>
      <c r="R28" s="47"/>
    </row>
    <row r="29" spans="2:19" x14ac:dyDescent="0.3">
      <c r="B29" s="39" t="s">
        <v>164</v>
      </c>
      <c r="C29" s="54" t="s">
        <v>258</v>
      </c>
      <c r="D29" s="2">
        <f>D15/9.8</f>
        <v>871.93877551020398</v>
      </c>
      <c r="G29" s="37"/>
      <c r="H29" s="37"/>
      <c r="I29" s="16"/>
      <c r="J29" s="37"/>
      <c r="K29" s="37"/>
      <c r="L29" s="37"/>
      <c r="M29" s="37"/>
      <c r="R29" s="47"/>
    </row>
    <row r="30" spans="2:19" x14ac:dyDescent="0.3">
      <c r="B30" s="39"/>
      <c r="C30" s="39"/>
      <c r="D30" s="123"/>
      <c r="G30" s="41" t="s">
        <v>259</v>
      </c>
      <c r="H30" s="40" t="s">
        <v>260</v>
      </c>
      <c r="I30" s="24">
        <f>IF(I6&gt;0.8,(I6+1),(1.5*I6+0.5))</f>
        <v>2.7</v>
      </c>
      <c r="J30" s="37"/>
      <c r="K30" s="37"/>
      <c r="L30" s="37"/>
      <c r="M30" s="37"/>
      <c r="R30" s="47"/>
    </row>
    <row r="31" spans="2:19" x14ac:dyDescent="0.3">
      <c r="B31" s="134" t="s">
        <v>261</v>
      </c>
      <c r="C31" s="135"/>
      <c r="D31" s="123"/>
      <c r="G31" s="41" t="s">
        <v>262</v>
      </c>
      <c r="H31" s="41" t="s">
        <v>263</v>
      </c>
      <c r="I31" s="23">
        <f>(D11*I30/D14/I9/I10)^0.2</f>
        <v>0.28309268344562338</v>
      </c>
      <c r="J31" s="37"/>
      <c r="K31" s="37"/>
      <c r="L31" s="37"/>
      <c r="M31" s="37"/>
      <c r="R31" s="47"/>
    </row>
    <row r="32" spans="2:19" ht="18" customHeight="1" x14ac:dyDescent="0.3">
      <c r="B32" s="39" t="s">
        <v>225</v>
      </c>
      <c r="C32" s="39" t="s">
        <v>264</v>
      </c>
      <c r="D32" s="3">
        <f>I14</f>
        <v>5434.05</v>
      </c>
      <c r="G32" s="39" t="s">
        <v>265</v>
      </c>
      <c r="H32" s="49" t="s">
        <v>266</v>
      </c>
      <c r="I32" s="23">
        <f>I5*I31</f>
        <v>3.1140195179018573</v>
      </c>
      <c r="J32" s="37"/>
      <c r="K32" s="37"/>
      <c r="L32" s="37"/>
      <c r="M32" s="37"/>
      <c r="R32" s="47"/>
    </row>
    <row r="33" spans="2:18" ht="18" customHeight="1" x14ac:dyDescent="0.3">
      <c r="B33" s="39" t="s">
        <v>267</v>
      </c>
      <c r="C33" s="39" t="s">
        <v>268</v>
      </c>
      <c r="D33" s="3">
        <v>0</v>
      </c>
      <c r="G33" s="37"/>
      <c r="H33" s="37"/>
      <c r="I33" s="37"/>
      <c r="J33" s="37"/>
      <c r="K33" s="37"/>
      <c r="L33" s="37"/>
      <c r="M33" s="37"/>
      <c r="R33" s="47"/>
    </row>
    <row r="34" spans="2:18" ht="18" customHeight="1" x14ac:dyDescent="0.3">
      <c r="B34" s="39" t="s">
        <v>231</v>
      </c>
      <c r="C34" s="39" t="s">
        <v>269</v>
      </c>
      <c r="D34" s="3">
        <f>I16</f>
        <v>291.06</v>
      </c>
      <c r="R34" s="47"/>
    </row>
    <row r="35" spans="2:18" ht="18" customHeight="1" x14ac:dyDescent="0.3">
      <c r="B35" s="39" t="s">
        <v>270</v>
      </c>
      <c r="C35" s="39" t="s">
        <v>271</v>
      </c>
      <c r="D35" s="3">
        <v>0</v>
      </c>
      <c r="R35" s="47"/>
    </row>
    <row r="36" spans="2:18" x14ac:dyDescent="0.3">
      <c r="B36" s="39" t="s">
        <v>234</v>
      </c>
      <c r="C36" s="39" t="s">
        <v>235</v>
      </c>
      <c r="D36" s="3">
        <f>I18</f>
        <v>213.87</v>
      </c>
      <c r="R36" s="47"/>
    </row>
    <row r="37" spans="2:18" x14ac:dyDescent="0.3">
      <c r="B37" s="39" t="s">
        <v>272</v>
      </c>
      <c r="C37" s="39"/>
      <c r="D37" s="2">
        <f>J16</f>
        <v>246.2815384615385</v>
      </c>
      <c r="R37" s="47"/>
    </row>
    <row r="38" spans="2:18" x14ac:dyDescent="0.3">
      <c r="B38" s="14" t="s">
        <v>273</v>
      </c>
      <c r="C38" s="39"/>
      <c r="D38" s="123"/>
      <c r="R38" s="47"/>
    </row>
    <row r="39" spans="2:18" ht="18" customHeight="1" x14ac:dyDescent="0.3">
      <c r="B39" s="39" t="s">
        <v>225</v>
      </c>
      <c r="C39" s="40" t="s">
        <v>274</v>
      </c>
      <c r="D39" s="2">
        <f>D32/9.8+D41*D52</f>
        <v>569.34489795918364</v>
      </c>
      <c r="R39" s="47"/>
    </row>
    <row r="40" spans="2:18" ht="18" customHeight="1" x14ac:dyDescent="0.3">
      <c r="B40" s="39" t="s">
        <v>267</v>
      </c>
      <c r="C40" s="39" t="s">
        <v>275</v>
      </c>
      <c r="D40" s="2">
        <f>D33/9.8+D42*D52</f>
        <v>0</v>
      </c>
      <c r="R40" s="47"/>
    </row>
    <row r="41" spans="2:18" ht="18" customHeight="1" x14ac:dyDescent="0.3">
      <c r="B41" s="39" t="s">
        <v>231</v>
      </c>
      <c r="C41" s="40" t="s">
        <v>276</v>
      </c>
      <c r="D41" s="2">
        <f>D34/9.8</f>
        <v>29.7</v>
      </c>
      <c r="R41" s="47"/>
    </row>
    <row r="42" spans="2:18" ht="18" customHeight="1" x14ac:dyDescent="0.3">
      <c r="B42" s="39" t="s">
        <v>270</v>
      </c>
      <c r="C42" s="39" t="s">
        <v>277</v>
      </c>
      <c r="D42" s="2">
        <f>D35/9.8</f>
        <v>0</v>
      </c>
      <c r="R42" s="47"/>
    </row>
    <row r="43" spans="2:18" x14ac:dyDescent="0.3">
      <c r="B43" s="39" t="s">
        <v>234</v>
      </c>
      <c r="C43" s="40" t="s">
        <v>278</v>
      </c>
      <c r="D43" s="2">
        <f>D36/9.8</f>
        <v>21.8234693877551</v>
      </c>
      <c r="R43" s="47"/>
    </row>
    <row r="44" spans="2:18" x14ac:dyDescent="0.3">
      <c r="B44" s="39" t="s">
        <v>279</v>
      </c>
      <c r="C44" s="40" t="s">
        <v>280</v>
      </c>
      <c r="D44" s="2">
        <f>D39/D41</f>
        <v>19.169861884147597</v>
      </c>
      <c r="R44" s="47"/>
    </row>
    <row r="45" spans="2:18" x14ac:dyDescent="0.3">
      <c r="B45" s="39" t="s">
        <v>272</v>
      </c>
      <c r="C45" s="40" t="s">
        <v>281</v>
      </c>
      <c r="D45" s="2">
        <f>D37/9.8</f>
        <v>25.130769230769232</v>
      </c>
    </row>
    <row r="46" spans="2:18" x14ac:dyDescent="0.3">
      <c r="B46" s="39" t="s">
        <v>282</v>
      </c>
      <c r="C46" s="39"/>
      <c r="D46" s="2">
        <f>MIN(D39:D40)/MAX(D39:D40)</f>
        <v>0</v>
      </c>
    </row>
    <row r="47" spans="2:18" ht="18" customHeight="1" x14ac:dyDescent="0.3">
      <c r="B47" s="39" t="s">
        <v>283</v>
      </c>
      <c r="C47" s="39" t="s">
        <v>284</v>
      </c>
      <c r="D47" s="2">
        <f>-0.277*D46^3+0.854*D46^2-0.866*D46+1</f>
        <v>1</v>
      </c>
    </row>
    <row r="48" spans="2:18" x14ac:dyDescent="0.3">
      <c r="B48" s="39"/>
      <c r="C48" s="39"/>
      <c r="D48" s="123"/>
    </row>
    <row r="49" spans="2:4" x14ac:dyDescent="0.3">
      <c r="B49" s="14" t="s">
        <v>183</v>
      </c>
      <c r="C49" s="14"/>
      <c r="D49" s="124"/>
    </row>
    <row r="50" spans="2:4" ht="15" customHeight="1" x14ac:dyDescent="0.3">
      <c r="B50" s="39" t="s">
        <v>189</v>
      </c>
      <c r="C50" s="40" t="s">
        <v>285</v>
      </c>
      <c r="D50" s="2">
        <f>I5</f>
        <v>11</v>
      </c>
    </row>
    <row r="51" spans="2:4" ht="18" customHeight="1" x14ac:dyDescent="0.3">
      <c r="B51" s="39" t="s">
        <v>194</v>
      </c>
      <c r="C51" s="40" t="s">
        <v>286</v>
      </c>
      <c r="D51" s="2">
        <f>I6</f>
        <v>1.7</v>
      </c>
    </row>
    <row r="52" spans="2:4" ht="18" customHeight="1" x14ac:dyDescent="0.3">
      <c r="B52" s="39" t="s">
        <v>198</v>
      </c>
      <c r="C52" s="39" t="s">
        <v>287</v>
      </c>
      <c r="D52" s="2">
        <f>I7</f>
        <v>0.5</v>
      </c>
    </row>
    <row r="53" spans="2:4" x14ac:dyDescent="0.3">
      <c r="B53" s="39" t="s">
        <v>288</v>
      </c>
      <c r="C53" s="39" t="s">
        <v>289</v>
      </c>
      <c r="D53" s="2">
        <v>0</v>
      </c>
    </row>
    <row r="54" spans="2:4" ht="18" customHeight="1" x14ac:dyDescent="0.3">
      <c r="B54" s="39" t="s">
        <v>290</v>
      </c>
      <c r="C54" s="39" t="s">
        <v>291</v>
      </c>
      <c r="D54" s="2"/>
    </row>
    <row r="55" spans="2:4" ht="18" customHeight="1" x14ac:dyDescent="0.3">
      <c r="B55" s="39" t="s">
        <v>292</v>
      </c>
      <c r="C55" s="39" t="s">
        <v>293</v>
      </c>
      <c r="D55" s="2">
        <v>0</v>
      </c>
    </row>
    <row r="56" spans="2:4" ht="18" customHeight="1" x14ac:dyDescent="0.3">
      <c r="B56" s="39" t="s">
        <v>294</v>
      </c>
      <c r="C56" s="39" t="s">
        <v>295</v>
      </c>
      <c r="D56" s="2"/>
    </row>
    <row r="57" spans="2:4" ht="18" customHeight="1" x14ac:dyDescent="0.3">
      <c r="B57" s="39" t="s">
        <v>296</v>
      </c>
      <c r="C57" s="39" t="s">
        <v>297</v>
      </c>
      <c r="D57" s="2">
        <v>1</v>
      </c>
    </row>
    <row r="58" spans="2:4" ht="18" customHeight="1" x14ac:dyDescent="0.3">
      <c r="B58" s="39" t="s">
        <v>298</v>
      </c>
      <c r="C58" s="39" t="s">
        <v>299</v>
      </c>
      <c r="D58" s="2">
        <v>1</v>
      </c>
    </row>
    <row r="59" spans="2:4" ht="18" customHeight="1" x14ac:dyDescent="0.3">
      <c r="B59" s="39" t="s">
        <v>300</v>
      </c>
      <c r="C59" s="39" t="s">
        <v>301</v>
      </c>
      <c r="D59" s="2">
        <v>0</v>
      </c>
    </row>
    <row r="60" spans="2:4" ht="18" customHeight="1" x14ac:dyDescent="0.3">
      <c r="B60" s="39" t="s">
        <v>302</v>
      </c>
      <c r="C60" s="39" t="s">
        <v>303</v>
      </c>
      <c r="D60" s="2"/>
    </row>
    <row r="61" spans="2:4" x14ac:dyDescent="0.3">
      <c r="B61" s="39"/>
      <c r="C61" s="41"/>
      <c r="D61" s="123"/>
    </row>
    <row r="62" spans="2:4" x14ac:dyDescent="0.3">
      <c r="B62" s="14" t="s">
        <v>304</v>
      </c>
      <c r="C62" s="14"/>
      <c r="D62" s="124"/>
    </row>
    <row r="63" spans="2:4" x14ac:dyDescent="0.3">
      <c r="B63" s="39" t="s">
        <v>305</v>
      </c>
      <c r="C63" s="54" t="s">
        <v>306</v>
      </c>
      <c r="D63" s="23">
        <f>1-0.03*D22</f>
        <v>1</v>
      </c>
    </row>
    <row r="64" spans="2:4" x14ac:dyDescent="0.3">
      <c r="B64" s="41" t="s">
        <v>307</v>
      </c>
      <c r="C64" s="54" t="s">
        <v>308</v>
      </c>
      <c r="D64" s="23">
        <f>D44/D50</f>
        <v>1.7427147167406907</v>
      </c>
    </row>
    <row r="65" spans="2:4" ht="15" customHeight="1" x14ac:dyDescent="0.3">
      <c r="B65" s="131"/>
      <c r="C65" s="54" t="s">
        <v>309</v>
      </c>
      <c r="D65" s="23">
        <f>(D51/2+D53)*D25/D50</f>
        <v>2.3863757979157105E-2</v>
      </c>
    </row>
    <row r="66" spans="2:4" ht="18" customHeight="1" x14ac:dyDescent="0.3">
      <c r="B66" s="133"/>
      <c r="C66" s="54" t="s">
        <v>310</v>
      </c>
      <c r="D66" s="23">
        <f>(D51/2+D54)*D25/D50</f>
        <v>2.3863757979157105E-2</v>
      </c>
    </row>
    <row r="67" spans="2:4" x14ac:dyDescent="0.3">
      <c r="B67" s="133"/>
      <c r="C67" s="54" t="s">
        <v>311</v>
      </c>
      <c r="D67" s="23">
        <f>D26*TAN(RADIANS(45+D23/2))^2</f>
        <v>3.7321884632916644</v>
      </c>
    </row>
    <row r="68" spans="2:4" ht="14.25" customHeight="1" x14ac:dyDescent="0.3">
      <c r="B68" s="133"/>
      <c r="C68" s="54" t="s">
        <v>312</v>
      </c>
      <c r="D68" s="23">
        <f>2*D22*TAN(RADIANS(45+D23/2))</f>
        <v>0</v>
      </c>
    </row>
    <row r="69" spans="2:4" x14ac:dyDescent="0.3">
      <c r="B69" s="133"/>
      <c r="C69" s="54" t="s">
        <v>313</v>
      </c>
      <c r="D69" s="23">
        <f>D68/D67/D50</f>
        <v>0</v>
      </c>
    </row>
    <row r="70" spans="2:4" ht="18" customHeight="1" x14ac:dyDescent="0.3">
      <c r="B70" s="133"/>
      <c r="C70" s="54" t="s">
        <v>314</v>
      </c>
      <c r="D70" s="50">
        <f>D25*D51/2/D50</f>
        <v>2.3863757979157105E-2</v>
      </c>
    </row>
    <row r="71" spans="2:4" ht="18" customHeight="1" x14ac:dyDescent="0.3">
      <c r="B71" s="133"/>
      <c r="C71" s="54" t="s">
        <v>315</v>
      </c>
      <c r="D71" s="23">
        <f>2/3*TAN(D28/5)/TAN(RADIANS(45-D27/2))</f>
        <v>8.5679406680574513E-2</v>
      </c>
    </row>
    <row r="72" spans="2:4" ht="18" customHeight="1" x14ac:dyDescent="0.3">
      <c r="B72" s="132"/>
      <c r="C72" s="54" t="s">
        <v>316</v>
      </c>
      <c r="D72" s="23">
        <f>1+D71*D50/D51</f>
        <v>1.5543961608743055</v>
      </c>
    </row>
    <row r="73" spans="2:4" x14ac:dyDescent="0.3">
      <c r="B73" s="39" t="s">
        <v>317</v>
      </c>
      <c r="C73" s="54" t="s">
        <v>318</v>
      </c>
      <c r="D73" s="23">
        <f>D51*D72</f>
        <v>2.6424734734863193</v>
      </c>
    </row>
    <row r="74" spans="2:4" x14ac:dyDescent="0.3">
      <c r="B74" s="39" t="s">
        <v>319</v>
      </c>
      <c r="C74" s="54" t="s">
        <v>320</v>
      </c>
      <c r="D74" s="22">
        <f>D67*D73*D50*D50/2</f>
        <v>596.66364524414348</v>
      </c>
    </row>
    <row r="75" spans="2:4" x14ac:dyDescent="0.3">
      <c r="B75" s="39" t="s">
        <v>321</v>
      </c>
      <c r="C75" s="54" t="s">
        <v>322</v>
      </c>
      <c r="D75" s="23">
        <f>(D57-D51)*D59*(D68+D67*D55)*(1+0.3/D57)*0.71</f>
        <v>0</v>
      </c>
    </row>
    <row r="76" spans="2:4" ht="15" customHeight="1" x14ac:dyDescent="0.3">
      <c r="B76" s="39" t="s">
        <v>323</v>
      </c>
      <c r="C76" s="54" t="s">
        <v>324</v>
      </c>
      <c r="D76" s="23">
        <f>(D58-D51)*D60*(D68+D67*(D50-D56))*(1+0.3/D58)</f>
        <v>0</v>
      </c>
    </row>
    <row r="77" spans="2:4" x14ac:dyDescent="0.3">
      <c r="B77" s="131"/>
      <c r="C77" s="54" t="s">
        <v>325</v>
      </c>
      <c r="D77" s="23">
        <f>D75/D74</f>
        <v>0</v>
      </c>
    </row>
    <row r="78" spans="2:4" ht="15" customHeight="1" x14ac:dyDescent="0.3">
      <c r="B78" s="133"/>
      <c r="C78" s="54" t="s">
        <v>326</v>
      </c>
      <c r="D78" s="51">
        <f>D76/D74</f>
        <v>0</v>
      </c>
    </row>
    <row r="79" spans="2:4" ht="18" customHeight="1" x14ac:dyDescent="0.3">
      <c r="B79" s="133"/>
      <c r="C79" s="54" t="s">
        <v>327</v>
      </c>
      <c r="D79" s="20">
        <f>D25*D43/D74</f>
        <v>1.1295535166048549E-2</v>
      </c>
    </row>
    <row r="80" spans="2:4" x14ac:dyDescent="0.3">
      <c r="B80" s="132"/>
      <c r="C80" s="39"/>
      <c r="D80" s="52"/>
    </row>
    <row r="81" spans="2:13" ht="15" customHeight="1" x14ac:dyDescent="0.3">
      <c r="B81" s="136" t="s">
        <v>328</v>
      </c>
      <c r="C81" s="39" t="s">
        <v>329</v>
      </c>
      <c r="D81" s="2">
        <v>1</v>
      </c>
    </row>
    <row r="82" spans="2:13" x14ac:dyDescent="0.3">
      <c r="B82" s="133"/>
      <c r="C82" s="39" t="s">
        <v>330</v>
      </c>
      <c r="D82" s="2">
        <f>3/2*(D64+D69)</f>
        <v>2.6140720751110358</v>
      </c>
    </row>
    <row r="83" spans="2:13" x14ac:dyDescent="0.3">
      <c r="B83" s="133"/>
      <c r="C83" s="39" t="s">
        <v>331</v>
      </c>
      <c r="D83" s="2">
        <f>3*D64*D69</f>
        <v>0</v>
      </c>
    </row>
    <row r="84" spans="2:13" x14ac:dyDescent="0.3">
      <c r="B84" s="132"/>
      <c r="C84" s="39" t="s">
        <v>332</v>
      </c>
      <c r="D84" s="2">
        <f>-(1/4*((2*D69+1)*(3*D64+3*D70+2)-D69)+3/4*D79*(1+D64)-3/4*(D77*(D64+D55/D50-D65)-D78*(D64-D56/D50+D66+1)))</f>
        <v>-1.8481691789399233</v>
      </c>
    </row>
    <row r="85" spans="2:13" x14ac:dyDescent="0.3">
      <c r="B85" s="131"/>
      <c r="C85" s="40" t="s">
        <v>333</v>
      </c>
      <c r="D85" s="23">
        <f>(3*D64*D69-0.5625)/(3/2*(D64+D69)+1.5)</f>
        <v>-0.13672584965221313</v>
      </c>
    </row>
    <row r="86" spans="2:13" x14ac:dyDescent="0.3">
      <c r="B86" s="132"/>
      <c r="C86" s="40" t="s">
        <v>334</v>
      </c>
      <c r="D86" s="23">
        <f>(-1/4*(((2*D69+1)*(3*D64+3*D70+2)-D69)-3*(D77*(D64+D55/D50-D65)-D78*(D64-D56/D50+D66+1))+3*D79*(1+D64))+0.03125)/(3/2*(D64+D69)+1.5)</f>
        <v>-0.44163523287104445</v>
      </c>
    </row>
    <row r="87" spans="2:13" x14ac:dyDescent="0.3">
      <c r="B87" s="39" t="s">
        <v>335</v>
      </c>
      <c r="C87" s="54" t="s">
        <v>336</v>
      </c>
      <c r="D87" s="50">
        <f>-D85/2+SQRT((D85/2)^2-D86)</f>
        <v>0.73642633675780655</v>
      </c>
    </row>
    <row r="88" spans="2:13" x14ac:dyDescent="0.3">
      <c r="B88" s="39" t="s">
        <v>337</v>
      </c>
      <c r="C88" s="39"/>
      <c r="D88" s="2">
        <f>D55/D50</f>
        <v>0</v>
      </c>
    </row>
    <row r="89" spans="2:13" x14ac:dyDescent="0.3">
      <c r="B89" s="39" t="s">
        <v>338</v>
      </c>
      <c r="C89" s="39"/>
      <c r="D89" s="2">
        <f>1-D56/D50</f>
        <v>1</v>
      </c>
    </row>
    <row r="90" spans="2:13" x14ac:dyDescent="0.3">
      <c r="B90" s="14"/>
      <c r="C90" s="14"/>
      <c r="D90" s="124"/>
    </row>
    <row r="91" spans="2:13" x14ac:dyDescent="0.3">
      <c r="B91" s="14" t="s">
        <v>339</v>
      </c>
      <c r="C91" s="14"/>
      <c r="D91" s="124"/>
      <c r="E91" s="121"/>
    </row>
    <row r="92" spans="2:13" ht="18" customHeight="1" x14ac:dyDescent="0.3">
      <c r="B92" s="39" t="s">
        <v>340</v>
      </c>
      <c r="C92" s="54" t="s">
        <v>143</v>
      </c>
      <c r="D92" s="25">
        <f>IF(Интерфейс!B8 = "Исходных данных нет",'Типовые грунты'!H24,'Задание грунтов'!C28)</f>
        <v>1.3</v>
      </c>
      <c r="E92" s="121" t="s">
        <v>341</v>
      </c>
    </row>
    <row r="93" spans="2:13" ht="18" customHeight="1" x14ac:dyDescent="0.3">
      <c r="B93" s="39" t="s">
        <v>342</v>
      </c>
      <c r="C93" s="54" t="s">
        <v>144</v>
      </c>
      <c r="D93" s="25" t="str">
        <f>IF(Интерфейс!B8 = "Исходных данных нет",'Типовые грунты'!I24,'Задание грунтов'!C26)</f>
        <v>1,3</v>
      </c>
      <c r="E93" s="121" t="s">
        <v>343</v>
      </c>
      <c r="M93" s="122"/>
    </row>
    <row r="94" spans="2:13" ht="18" customHeight="1" x14ac:dyDescent="0.3">
      <c r="B94" s="39"/>
      <c r="C94" s="40" t="s">
        <v>344</v>
      </c>
      <c r="D94" s="2">
        <f>D63/(D64+D87)*(D74*(2/3*(D87^3+3*D69*(D87^2-D87+1/2)-3/2*D87+1)+(2*D69+1)*D70)+D25*D43*(1-D87)+D75*(D87-D55/D50+D65)+D76*(1-D87-D56/D50+D66))*D47</f>
        <v>53.750973908683619</v>
      </c>
    </row>
    <row r="95" spans="2:13" ht="18" customHeight="1" x14ac:dyDescent="0.3">
      <c r="B95" s="39"/>
      <c r="C95" s="39" t="s">
        <v>345</v>
      </c>
      <c r="D95" s="2">
        <f>D94*D44</f>
        <v>1030.398745967886</v>
      </c>
    </row>
    <row r="96" spans="2:13" ht="18" customHeight="1" x14ac:dyDescent="0.3">
      <c r="B96" s="39" t="s">
        <v>346</v>
      </c>
      <c r="C96" s="40" t="s">
        <v>347</v>
      </c>
      <c r="D96" s="2">
        <f>D94*D92/D93</f>
        <v>53.750973908683619</v>
      </c>
    </row>
    <row r="97" spans="2:5" ht="18" customHeight="1" x14ac:dyDescent="0.3">
      <c r="B97" s="39" t="s">
        <v>348</v>
      </c>
      <c r="C97" s="39" t="s">
        <v>349</v>
      </c>
      <c r="D97" s="2">
        <f>D96*D44</f>
        <v>1030.398745967886</v>
      </c>
    </row>
    <row r="98" spans="2:5" x14ac:dyDescent="0.3">
      <c r="B98" s="14" t="s">
        <v>350</v>
      </c>
      <c r="C98" s="55"/>
      <c r="D98" s="53">
        <f>D41/D96</f>
        <v>0.55254812778753915</v>
      </c>
      <c r="E98" s="34" t="s">
        <v>253</v>
      </c>
    </row>
    <row r="99" spans="2:5" x14ac:dyDescent="0.3">
      <c r="B99" s="39"/>
      <c r="C99" s="39"/>
      <c r="D99" s="123"/>
    </row>
    <row r="100" spans="2:5" x14ac:dyDescent="0.3">
      <c r="B100" s="14" t="s">
        <v>89</v>
      </c>
      <c r="C100" s="14"/>
      <c r="D100" s="124"/>
    </row>
    <row r="101" spans="2:5" ht="18" customHeight="1" x14ac:dyDescent="0.3">
      <c r="B101" s="39"/>
      <c r="C101" s="39" t="s">
        <v>351</v>
      </c>
      <c r="D101" s="2">
        <f>D51/D50</f>
        <v>0.15454545454545454</v>
      </c>
    </row>
    <row r="102" spans="2:5" ht="18" customHeight="1" x14ac:dyDescent="0.3">
      <c r="B102" s="39"/>
      <c r="C102" s="39" t="s">
        <v>352</v>
      </c>
      <c r="D102" s="2">
        <f>3*D57*D59/D50/D50</f>
        <v>0</v>
      </c>
    </row>
    <row r="103" spans="2:5" ht="18" customHeight="1" x14ac:dyDescent="0.3">
      <c r="B103" s="39"/>
      <c r="C103" s="39" t="s">
        <v>353</v>
      </c>
      <c r="D103" s="2">
        <f>D51/D50</f>
        <v>0.15454545454545454</v>
      </c>
    </row>
    <row r="104" spans="2:5" x14ac:dyDescent="0.3">
      <c r="B104" s="39"/>
      <c r="C104" s="54" t="s">
        <v>354</v>
      </c>
      <c r="D104" s="2">
        <f>-29.48*D101^5+96.67*D101^4-124.7*D101^3+82.34*D101^2-31.23*D101+8.713</f>
        <v>5.4454319950413215</v>
      </c>
    </row>
    <row r="105" spans="2:5" ht="18" customHeight="1" x14ac:dyDescent="0.3">
      <c r="B105" s="39"/>
      <c r="C105" s="41" t="s">
        <v>355</v>
      </c>
      <c r="D105" s="2">
        <f>-29.48*D102^5+96.67*D102^4-124.7*D102^3+82.34*D102^2-31.23*D102+8.713</f>
        <v>8.7129999999999992</v>
      </c>
    </row>
    <row r="106" spans="2:5" ht="18" customHeight="1" x14ac:dyDescent="0.3">
      <c r="B106" s="39"/>
      <c r="C106" s="41" t="s">
        <v>356</v>
      </c>
      <c r="D106" s="2">
        <f>-29.48*D103^5+96.67*D103^4-124.7*D103^3+82.34*D103^2-31.23*D103+8.713</f>
        <v>5.4454319950413215</v>
      </c>
    </row>
    <row r="107" spans="2:5" x14ac:dyDescent="0.3">
      <c r="B107" s="14" t="s">
        <v>90</v>
      </c>
      <c r="C107" s="55" t="s">
        <v>357</v>
      </c>
      <c r="D107" s="111">
        <f>ROUND((3*D45/4/D29/D50/D50*(6*D64+3)*D104),3)</f>
        <v>1.2999999999999999E-2</v>
      </c>
      <c r="E107" s="34" t="s">
        <v>253</v>
      </c>
    </row>
    <row r="108" spans="2:5" x14ac:dyDescent="0.3">
      <c r="B108" s="39" t="s">
        <v>358</v>
      </c>
      <c r="C108" s="41"/>
      <c r="D108" s="51">
        <f>3*D45/8/D29/D50/D50*((6*D64+5)*D105+(6*D64+1)*D106)</f>
        <v>1.760164756327055E-2</v>
      </c>
    </row>
    <row r="109" spans="2:5" x14ac:dyDescent="0.3">
      <c r="B109" s="37"/>
      <c r="C109" s="37"/>
      <c r="D109" s="16"/>
    </row>
    <row r="110" spans="2:5" x14ac:dyDescent="0.3">
      <c r="B110" s="37"/>
      <c r="C110" s="37"/>
      <c r="D110" s="16"/>
    </row>
    <row r="111" spans="2:5" x14ac:dyDescent="0.3">
      <c r="B111" s="37"/>
      <c r="C111" s="37"/>
      <c r="D111" s="16"/>
    </row>
  </sheetData>
  <mergeCells count="11">
    <mergeCell ref="L1:M1"/>
    <mergeCell ref="B85:B86"/>
    <mergeCell ref="B77:B80"/>
    <mergeCell ref="B31:C31"/>
    <mergeCell ref="B81:B84"/>
    <mergeCell ref="G4:H4"/>
    <mergeCell ref="B27:B28"/>
    <mergeCell ref="B23:B24"/>
    <mergeCell ref="B65:B72"/>
    <mergeCell ref="B1:D1"/>
    <mergeCell ref="G1:H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34"/>
  <sheetViews>
    <sheetView zoomScale="85" zoomScaleNormal="85" workbookViewId="0">
      <selection activeCell="B21" sqref="B21"/>
    </sheetView>
  </sheetViews>
  <sheetFormatPr defaultRowHeight="14.4" x14ac:dyDescent="0.3"/>
  <cols>
    <col min="1" max="1" width="24.44140625" bestFit="1" customWidth="1"/>
    <col min="2" max="2" width="27.5546875" customWidth="1"/>
    <col min="4" max="4" width="46" customWidth="1"/>
    <col min="6" max="6" width="45" customWidth="1"/>
    <col min="7" max="7" width="15" customWidth="1"/>
    <col min="8" max="8" width="44.5546875" customWidth="1"/>
  </cols>
  <sheetData>
    <row r="1" spans="1:10" ht="15.75" customHeight="1" thickBot="1" x14ac:dyDescent="0.35">
      <c r="A1" s="122"/>
      <c r="B1" s="84"/>
      <c r="C1" s="84"/>
      <c r="D1" s="84"/>
      <c r="E1" s="122"/>
      <c r="F1" s="142" t="s">
        <v>359</v>
      </c>
      <c r="G1" s="143"/>
      <c r="H1" s="85" t="s">
        <v>360</v>
      </c>
      <c r="I1" s="122"/>
      <c r="J1" s="122"/>
    </row>
    <row r="2" spans="1:10" x14ac:dyDescent="0.3">
      <c r="A2" s="122"/>
      <c r="B2" s="144" t="s">
        <v>361</v>
      </c>
      <c r="C2" s="143"/>
      <c r="D2" s="85"/>
      <c r="E2" s="122"/>
      <c r="F2" s="141" t="s">
        <v>362</v>
      </c>
      <c r="G2" s="135"/>
      <c r="H2" s="86"/>
      <c r="I2" s="122"/>
      <c r="J2" s="122"/>
    </row>
    <row r="3" spans="1:10" ht="46.5" customHeight="1" x14ac:dyDescent="0.3">
      <c r="A3" s="122"/>
      <c r="B3" s="87" t="s">
        <v>1</v>
      </c>
      <c r="C3" s="88">
        <v>1700</v>
      </c>
      <c r="D3" s="89" t="s">
        <v>363</v>
      </c>
      <c r="E3" s="122"/>
      <c r="F3" s="90" t="s">
        <v>103</v>
      </c>
      <c r="G3" s="88">
        <v>2000</v>
      </c>
      <c r="H3" s="89" t="s">
        <v>364</v>
      </c>
      <c r="I3" s="122"/>
      <c r="J3" s="122"/>
    </row>
    <row r="4" spans="1:10" ht="51" customHeight="1" x14ac:dyDescent="0.3">
      <c r="A4" s="122"/>
      <c r="B4" s="87" t="s">
        <v>5</v>
      </c>
      <c r="C4" s="88">
        <v>18</v>
      </c>
      <c r="D4" s="91" t="s">
        <v>365</v>
      </c>
      <c r="E4" s="122"/>
      <c r="F4" s="90" t="s">
        <v>366</v>
      </c>
      <c r="G4" s="88">
        <f>C3-100</f>
        <v>1600</v>
      </c>
      <c r="H4" s="89" t="s">
        <v>367</v>
      </c>
      <c r="I4" s="122"/>
      <c r="J4" s="122"/>
    </row>
    <row r="5" spans="1:10" x14ac:dyDescent="0.3">
      <c r="A5" s="122" t="s">
        <v>368</v>
      </c>
      <c r="B5" s="87" t="s">
        <v>369</v>
      </c>
      <c r="C5" s="88">
        <v>11000</v>
      </c>
      <c r="D5" s="91" t="s">
        <v>365</v>
      </c>
      <c r="E5" s="122"/>
      <c r="F5" s="90" t="s">
        <v>105</v>
      </c>
      <c r="G5" s="88">
        <v>50</v>
      </c>
      <c r="H5" s="91" t="s">
        <v>365</v>
      </c>
      <c r="I5" s="122"/>
      <c r="J5" s="122"/>
    </row>
    <row r="6" spans="1:10" x14ac:dyDescent="0.3">
      <c r="A6" s="122"/>
      <c r="B6" s="87" t="s">
        <v>191</v>
      </c>
      <c r="C6" s="92">
        <v>7850</v>
      </c>
      <c r="D6" s="86"/>
      <c r="E6" s="122"/>
      <c r="F6" s="90" t="s">
        <v>191</v>
      </c>
      <c r="G6" s="92">
        <v>7850</v>
      </c>
      <c r="H6" s="86"/>
      <c r="I6" s="122"/>
      <c r="J6" s="122"/>
    </row>
    <row r="7" spans="1:10" x14ac:dyDescent="0.3">
      <c r="A7" s="122"/>
      <c r="B7" s="87"/>
      <c r="C7" s="1"/>
      <c r="D7" s="86"/>
      <c r="E7" s="122"/>
      <c r="F7" s="90"/>
      <c r="G7" s="1"/>
      <c r="H7" s="86"/>
      <c r="I7" s="122"/>
      <c r="J7" s="122"/>
    </row>
    <row r="8" spans="1:10" x14ac:dyDescent="0.3">
      <c r="A8" s="122"/>
      <c r="B8" s="87" t="s">
        <v>200</v>
      </c>
      <c r="C8" s="93">
        <f>C3*TAN(3.14159/12)</f>
        <v>455.51322421749518</v>
      </c>
      <c r="D8" s="86"/>
      <c r="E8" s="122"/>
      <c r="F8" s="90" t="s">
        <v>370</v>
      </c>
      <c r="G8" s="94">
        <f>12*G3^2/4*TAN(3.14/12)/10^6</f>
        <v>3.2136833688937174</v>
      </c>
      <c r="H8" s="86"/>
      <c r="I8" s="122"/>
      <c r="J8" s="122"/>
    </row>
    <row r="9" spans="1:10" x14ac:dyDescent="0.3">
      <c r="A9" s="122"/>
      <c r="B9" s="87" t="s">
        <v>203</v>
      </c>
      <c r="C9" s="93">
        <f>C8*12</f>
        <v>5466.1586906099419</v>
      </c>
      <c r="D9" s="86"/>
      <c r="E9" s="122"/>
      <c r="F9" s="90" t="s">
        <v>371</v>
      </c>
      <c r="G9" s="94">
        <f>3.14*G4^2/4/10^6</f>
        <v>2.0095999999999998</v>
      </c>
      <c r="H9" s="86"/>
      <c r="I9" s="122"/>
      <c r="J9" s="122"/>
    </row>
    <row r="10" spans="1:10" x14ac:dyDescent="0.3">
      <c r="A10" s="122"/>
      <c r="B10" s="87" t="s">
        <v>207</v>
      </c>
      <c r="C10" s="93">
        <f>C9*C4</f>
        <v>98390.856430978951</v>
      </c>
      <c r="D10" s="86"/>
      <c r="E10" s="122"/>
      <c r="F10" s="90" t="s">
        <v>372</v>
      </c>
      <c r="G10" s="94">
        <f>G8-G9</f>
        <v>1.2040833688937176</v>
      </c>
      <c r="H10" s="86"/>
      <c r="I10" s="122"/>
      <c r="J10" s="122"/>
    </row>
    <row r="11" spans="1:10" x14ac:dyDescent="0.3">
      <c r="A11" s="122"/>
      <c r="B11" s="87" t="s">
        <v>212</v>
      </c>
      <c r="C11" s="94">
        <f>C5*C10*10^(-9)</f>
        <v>1.0822994207407686</v>
      </c>
      <c r="D11" s="86"/>
      <c r="E11" s="122"/>
      <c r="F11" s="90" t="s">
        <v>212</v>
      </c>
      <c r="G11" s="94">
        <f>G10*G5/1000</f>
        <v>6.0204168444685874E-2</v>
      </c>
      <c r="H11" s="86"/>
      <c r="I11" s="122"/>
      <c r="J11" s="122"/>
    </row>
    <row r="12" spans="1:10" x14ac:dyDescent="0.3">
      <c r="A12" s="122"/>
      <c r="B12" s="95" t="s">
        <v>373</v>
      </c>
      <c r="C12" s="96">
        <f>C6*C11</f>
        <v>8496.0504528150341</v>
      </c>
      <c r="D12" s="91" t="s">
        <v>374</v>
      </c>
      <c r="E12" s="122"/>
      <c r="F12" s="97" t="s">
        <v>106</v>
      </c>
      <c r="G12" s="96">
        <f>G6*G11</f>
        <v>472.60272229078413</v>
      </c>
      <c r="H12" s="91" t="s">
        <v>374</v>
      </c>
      <c r="I12" s="122"/>
      <c r="J12" s="122"/>
    </row>
    <row r="13" spans="1:10" x14ac:dyDescent="0.3">
      <c r="A13" s="122"/>
      <c r="B13" s="95" t="s">
        <v>375</v>
      </c>
      <c r="C13" s="96">
        <f>C12*1.1</f>
        <v>9345.6554980965375</v>
      </c>
      <c r="D13" s="91" t="s">
        <v>374</v>
      </c>
      <c r="E13" s="122"/>
      <c r="F13" s="98"/>
      <c r="G13" s="1"/>
      <c r="H13" s="86"/>
      <c r="I13" s="122"/>
      <c r="J13" s="122"/>
    </row>
    <row r="14" spans="1:10" ht="15.75" customHeight="1" thickBot="1" x14ac:dyDescent="0.35">
      <c r="A14" s="122"/>
      <c r="B14" s="99" t="s">
        <v>376</v>
      </c>
      <c r="C14" s="100">
        <f>C12*1.15</f>
        <v>9770.4580207372892</v>
      </c>
      <c r="D14" s="101" t="s">
        <v>374</v>
      </c>
      <c r="E14" s="122"/>
      <c r="F14" s="97" t="s">
        <v>377</v>
      </c>
      <c r="G14" s="1"/>
      <c r="H14" s="86"/>
      <c r="I14" s="122"/>
      <c r="J14" s="122"/>
    </row>
    <row r="15" spans="1:10" x14ac:dyDescent="0.3">
      <c r="A15" s="122"/>
      <c r="B15" s="122"/>
      <c r="C15" s="122"/>
      <c r="D15" s="122"/>
      <c r="E15" s="122"/>
      <c r="F15" s="87" t="s">
        <v>378</v>
      </c>
      <c r="G15" s="35">
        <f>C12+G12</f>
        <v>8968.6531751058174</v>
      </c>
      <c r="H15" s="91" t="s">
        <v>374</v>
      </c>
      <c r="I15" s="122"/>
      <c r="J15" s="122"/>
    </row>
    <row r="16" spans="1:10" x14ac:dyDescent="0.3">
      <c r="A16" s="122"/>
      <c r="B16" s="122"/>
      <c r="C16" s="122"/>
      <c r="D16" s="122"/>
      <c r="E16" s="122"/>
      <c r="F16" s="102" t="s">
        <v>379</v>
      </c>
      <c r="G16" s="35">
        <f>G15*1.1</f>
        <v>9865.5184926164002</v>
      </c>
      <c r="H16" s="91" t="s">
        <v>374</v>
      </c>
      <c r="I16" s="122"/>
      <c r="J16" s="122"/>
    </row>
    <row r="17" spans="1:10" ht="15.75" customHeight="1" thickBot="1" x14ac:dyDescent="0.35">
      <c r="A17" s="122"/>
      <c r="B17" s="122"/>
      <c r="C17" s="122"/>
      <c r="D17" s="122"/>
      <c r="E17" s="122"/>
      <c r="F17" s="103" t="s">
        <v>380</v>
      </c>
      <c r="G17" s="104">
        <f>G15*1.15</f>
        <v>10313.95115137169</v>
      </c>
      <c r="H17" s="101" t="s">
        <v>374</v>
      </c>
      <c r="I17" s="122"/>
      <c r="J17" s="122"/>
    </row>
    <row r="18" spans="1:10" x14ac:dyDescent="0.3">
      <c r="A18" s="122"/>
      <c r="B18" s="122"/>
      <c r="C18" s="122"/>
      <c r="D18" s="122"/>
      <c r="E18" s="122"/>
      <c r="F18" s="122"/>
      <c r="G18" s="122"/>
      <c r="H18" s="122"/>
      <c r="I18" s="122"/>
      <c r="J18" s="122"/>
    </row>
    <row r="19" spans="1:10" ht="30" customHeight="1" x14ac:dyDescent="0.3">
      <c r="A19" s="122"/>
      <c r="B19" s="122"/>
      <c r="C19" s="122"/>
      <c r="D19" s="122"/>
      <c r="E19" s="122"/>
      <c r="F19" s="28" t="s">
        <v>381</v>
      </c>
      <c r="G19" s="122"/>
      <c r="H19" s="122"/>
      <c r="I19" s="122"/>
      <c r="J19" s="122"/>
    </row>
    <row r="20" spans="1:10" x14ac:dyDescent="0.3">
      <c r="A20" s="122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 ht="30" customHeight="1" x14ac:dyDescent="0.3">
      <c r="A21" s="122"/>
      <c r="B21" s="122"/>
      <c r="C21" s="122"/>
      <c r="D21" s="105" t="s">
        <v>382</v>
      </c>
      <c r="E21" s="122"/>
      <c r="F21" s="122"/>
      <c r="G21" s="122"/>
      <c r="H21" s="122"/>
      <c r="I21" s="122"/>
      <c r="J21" s="122"/>
    </row>
    <row r="22" spans="1:10" x14ac:dyDescent="0.3">
      <c r="A22" s="122"/>
      <c r="B22" s="122"/>
      <c r="C22" s="122"/>
      <c r="D22" s="93" t="s">
        <v>383</v>
      </c>
      <c r="E22" s="122"/>
      <c r="F22" s="122"/>
      <c r="G22" s="122"/>
      <c r="H22" s="122"/>
      <c r="I22" s="122"/>
      <c r="J22" s="122"/>
    </row>
    <row r="23" spans="1:10" x14ac:dyDescent="0.3">
      <c r="A23" s="122"/>
      <c r="B23" s="122"/>
      <c r="C23" s="122"/>
      <c r="D23" s="35" t="s">
        <v>384</v>
      </c>
      <c r="E23" s="122"/>
      <c r="F23" s="122"/>
      <c r="G23" s="122"/>
      <c r="H23" s="122"/>
      <c r="I23" s="122"/>
      <c r="J23" s="122"/>
    </row>
    <row r="24" spans="1:10" x14ac:dyDescent="0.3">
      <c r="A24" s="122"/>
      <c r="B24" s="122"/>
      <c r="C24" s="122"/>
      <c r="D24" s="122"/>
      <c r="E24" s="122"/>
      <c r="F24" s="122"/>
      <c r="G24" s="122"/>
      <c r="H24" s="122"/>
      <c r="I24" s="122"/>
      <c r="J24" s="122"/>
    </row>
    <row r="25" spans="1:10" x14ac:dyDescent="0.3">
      <c r="A25" s="122"/>
      <c r="B25" s="122"/>
      <c r="C25" s="122"/>
      <c r="D25" s="122"/>
      <c r="E25" s="122"/>
      <c r="F25" s="122"/>
      <c r="G25" s="122"/>
      <c r="H25" s="122"/>
      <c r="I25" s="122"/>
      <c r="J25" s="122"/>
    </row>
    <row r="26" spans="1:10" x14ac:dyDescent="0.3">
      <c r="A26" s="122"/>
      <c r="B26" s="122"/>
      <c r="C26" s="122"/>
      <c r="D26" s="122"/>
      <c r="E26" s="122"/>
      <c r="F26" s="122"/>
      <c r="G26" s="122"/>
      <c r="H26" s="122"/>
      <c r="I26" s="122"/>
      <c r="J26" s="122"/>
    </row>
    <row r="27" spans="1:10" x14ac:dyDescent="0.3">
      <c r="A27" s="122"/>
      <c r="B27" s="122"/>
      <c r="C27" s="122"/>
      <c r="D27" s="122"/>
      <c r="E27" s="122"/>
      <c r="F27" s="122"/>
      <c r="G27" s="122"/>
      <c r="H27" s="122"/>
      <c r="I27" s="122"/>
      <c r="J27" s="122"/>
    </row>
    <row r="28" spans="1:10" x14ac:dyDescent="0.3">
      <c r="A28" s="122"/>
      <c r="B28" s="122"/>
      <c r="C28" s="122"/>
      <c r="D28" s="122"/>
      <c r="E28" s="122"/>
      <c r="F28" s="122"/>
      <c r="G28" s="122"/>
      <c r="H28" s="122"/>
      <c r="I28" s="122"/>
      <c r="J28" s="122"/>
    </row>
    <row r="29" spans="1:10" x14ac:dyDescent="0.3">
      <c r="A29" s="122"/>
      <c r="B29" s="122"/>
      <c r="C29" s="122"/>
      <c r="D29" s="122"/>
      <c r="E29" s="122"/>
      <c r="F29" s="122"/>
      <c r="G29" s="122"/>
      <c r="H29" s="122"/>
      <c r="I29" s="122"/>
      <c r="J29" s="122"/>
    </row>
    <row r="30" spans="1:10" x14ac:dyDescent="0.3">
      <c r="A30" s="122"/>
      <c r="B30" s="122"/>
      <c r="C30" s="122"/>
      <c r="D30" s="122"/>
      <c r="E30" s="122"/>
      <c r="F30" s="122"/>
      <c r="G30" s="122"/>
      <c r="H30" s="122"/>
      <c r="I30" s="122"/>
      <c r="J30" s="122"/>
    </row>
    <row r="31" spans="1:10" x14ac:dyDescent="0.3">
      <c r="A31" s="122"/>
      <c r="B31" s="122"/>
      <c r="C31" s="122"/>
      <c r="D31" s="122"/>
      <c r="E31" s="122"/>
      <c r="F31" s="122"/>
      <c r="G31" s="122"/>
      <c r="H31" s="122"/>
      <c r="I31" s="122"/>
      <c r="J31" s="122"/>
    </row>
    <row r="32" spans="1:10" x14ac:dyDescent="0.3">
      <c r="A32" s="122"/>
      <c r="B32" s="122"/>
      <c r="C32" s="122"/>
      <c r="D32" s="122"/>
      <c r="E32" s="122"/>
      <c r="F32" s="122"/>
      <c r="G32" s="122"/>
      <c r="H32" s="122"/>
      <c r="I32" s="122"/>
      <c r="J32" s="122"/>
    </row>
    <row r="33" spans="1:10" x14ac:dyDescent="0.3">
      <c r="A33" s="122"/>
      <c r="B33" s="122"/>
      <c r="C33" s="122"/>
      <c r="D33" s="122"/>
      <c r="E33" s="122"/>
      <c r="F33" s="122"/>
      <c r="G33" s="122"/>
      <c r="H33" s="122"/>
      <c r="I33" s="122"/>
      <c r="J33" s="122"/>
    </row>
    <row r="34" spans="1:10" x14ac:dyDescent="0.3">
      <c r="A34" s="122"/>
      <c r="B34" s="122"/>
      <c r="C34" s="122"/>
      <c r="D34" s="122"/>
      <c r="E34" s="122"/>
      <c r="F34" s="122"/>
      <c r="G34" s="122"/>
      <c r="H34" s="122"/>
      <c r="I34" s="122"/>
      <c r="J34" s="122"/>
    </row>
  </sheetData>
  <mergeCells count="3">
    <mergeCell ref="F2:G2"/>
    <mergeCell ref="F1:G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Интерфейс</vt:lpstr>
      <vt:lpstr>Типовые грунты</vt:lpstr>
      <vt:lpstr>Задание грунтов</vt:lpstr>
      <vt:lpstr>Расчет сваи</vt:lpstr>
      <vt:lpstr>Расчет массы фланца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Вырышев</dc:creator>
  <cp:lastModifiedBy>pc 10</cp:lastModifiedBy>
  <dcterms:created xsi:type="dcterms:W3CDTF">2006-09-28T05:33:49Z</dcterms:created>
  <dcterms:modified xsi:type="dcterms:W3CDTF">2024-02-07T14:12:24Z</dcterms:modified>
</cp:coreProperties>
</file>