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Павел\YandexDisk-ushakov2.aa\Удаленка\Общий диск\Проекты Python\Для ПО\Фундаменты\"/>
    </mc:Choice>
  </mc:AlternateContent>
  <xr:revisionPtr revIDLastSave="0" documentId="13_ncr:1_{AD8601FA-B719-4132-B5E9-89623C6298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нтерфейс" sheetId="24" r:id="rId1"/>
    <sheet name="Типовые грунты" sheetId="25" r:id="rId2"/>
    <sheet name="Задание грунтов" sheetId="23" r:id="rId3"/>
    <sheet name="Расчет сваи" sheetId="21" r:id="rId4"/>
    <sheet name="Расчет массы фланца" sheetId="2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3" l="1"/>
  <c r="H11" i="23" l="1"/>
  <c r="B3" i="23" l="1"/>
  <c r="J8" i="21"/>
  <c r="J6" i="21"/>
  <c r="K18" i="23" l="1"/>
  <c r="K15" i="23"/>
  <c r="K14" i="23"/>
  <c r="H17" i="23"/>
  <c r="D17" i="23"/>
  <c r="K17" i="23" s="1"/>
  <c r="G17" i="23"/>
  <c r="F17" i="23"/>
  <c r="E17" i="23"/>
  <c r="G8" i="26"/>
  <c r="C8" i="26"/>
  <c r="C9" i="26" s="1"/>
  <c r="C10" i="26" s="1"/>
  <c r="C11" i="26" s="1"/>
  <c r="C12" i="26" s="1"/>
  <c r="G4" i="26"/>
  <c r="G9" i="26" s="1"/>
  <c r="C14" i="26" l="1"/>
  <c r="C13" i="26"/>
  <c r="G10" i="26"/>
  <c r="G11" i="26" s="1"/>
  <c r="G12" i="26" s="1"/>
  <c r="G15" i="26" s="1"/>
  <c r="C24" i="25"/>
  <c r="G24" i="25" s="1"/>
  <c r="D16" i="21"/>
  <c r="I5" i="21"/>
  <c r="B27" i="23"/>
  <c r="C26" i="23" s="1"/>
  <c r="D93" i="21" s="1"/>
  <c r="H19" i="23"/>
  <c r="H20" i="23" s="1"/>
  <c r="G19" i="23"/>
  <c r="G20" i="23" s="1"/>
  <c r="F19" i="23"/>
  <c r="F20" i="23" s="1"/>
  <c r="E19" i="23"/>
  <c r="E20" i="23" s="1"/>
  <c r="D19" i="23"/>
  <c r="D20" i="23" s="1"/>
  <c r="G11" i="23"/>
  <c r="F11" i="23"/>
  <c r="E11" i="23"/>
  <c r="I6" i="21"/>
  <c r="I8" i="21"/>
  <c r="C28" i="23" l="1"/>
  <c r="D92" i="21" s="1"/>
  <c r="G17" i="26"/>
  <c r="G16" i="26"/>
  <c r="D24" i="25"/>
  <c r="E24" i="25"/>
  <c r="F24" i="25"/>
  <c r="D13" i="21" s="1"/>
  <c r="D15" i="21"/>
  <c r="D7" i="21" l="1"/>
  <c r="D9" i="21"/>
  <c r="D10" i="21" s="1"/>
  <c r="M4" i="21"/>
  <c r="M3" i="21"/>
  <c r="M2" i="21"/>
  <c r="I30" i="21"/>
  <c r="D51" i="21"/>
  <c r="D50" i="21"/>
  <c r="D52" i="21"/>
  <c r="I15" i="21"/>
  <c r="D34" i="21"/>
  <c r="D36" i="21"/>
  <c r="D32" i="21"/>
  <c r="J16" i="21"/>
  <c r="D37" i="21" s="1"/>
  <c r="J18" i="21"/>
  <c r="J14" i="21"/>
  <c r="I19" i="21"/>
  <c r="J19" i="21" s="1"/>
  <c r="I17" i="21"/>
  <c r="J17" i="21" s="1"/>
  <c r="I10" i="21"/>
  <c r="I9" i="21"/>
  <c r="I31" i="21" l="1"/>
  <c r="I32" i="21" s="1"/>
  <c r="J15" i="21"/>
  <c r="H24" i="21" l="1"/>
  <c r="H25" i="21" s="1"/>
  <c r="H27" i="21" s="1"/>
  <c r="M7" i="21"/>
  <c r="M8" i="21" s="1"/>
  <c r="M9" i="21" s="1"/>
  <c r="M10" i="21" s="1"/>
  <c r="M11" i="21" s="1"/>
  <c r="H26" i="21" l="1"/>
  <c r="D88" i="21"/>
  <c r="D43" i="21"/>
  <c r="D42" i="21"/>
  <c r="D45" i="21"/>
  <c r="D41" i="21"/>
  <c r="D39" i="21" l="1"/>
  <c r="D40" i="21"/>
  <c r="D23" i="21"/>
  <c r="D24" i="21" s="1"/>
  <c r="D25" i="21" s="1"/>
  <c r="D29" i="21"/>
  <c r="D22" i="21"/>
  <c r="D102" i="21"/>
  <c r="D105" i="21" s="1"/>
  <c r="D89" i="21"/>
  <c r="D103" i="21"/>
  <c r="D106" i="21" s="1"/>
  <c r="D101" i="21"/>
  <c r="D104" i="21" s="1"/>
  <c r="D46" i="21" l="1"/>
  <c r="D47" i="21" s="1"/>
  <c r="D44" i="21"/>
  <c r="D64" i="21" s="1"/>
  <c r="D107" i="21" s="1"/>
  <c r="D63" i="21"/>
  <c r="D68" i="21"/>
  <c r="D28" i="21"/>
  <c r="D26" i="21" l="1"/>
  <c r="D67" i="21" s="1"/>
  <c r="D108" i="21"/>
  <c r="D27" i="21"/>
  <c r="D71" i="21" s="1"/>
  <c r="D72" i="21" s="1"/>
  <c r="D73" i="21" s="1"/>
  <c r="D70" i="21"/>
  <c r="D66" i="21"/>
  <c r="D65" i="21"/>
  <c r="D76" i="21" l="1"/>
  <c r="D69" i="21"/>
  <c r="D85" i="21" s="1"/>
  <c r="D75" i="21"/>
  <c r="D74" i="21"/>
  <c r="D79" i="21" s="1"/>
  <c r="D82" i="21" l="1"/>
  <c r="D83" i="21"/>
  <c r="D77" i="21"/>
  <c r="D78" i="21"/>
  <c r="D86" i="21" l="1"/>
  <c r="D87" i="21" s="1"/>
  <c r="D94" i="21" s="1"/>
  <c r="D95" i="21" s="1"/>
  <c r="D84" i="21"/>
  <c r="D96" i="21" l="1"/>
  <c r="D98" i="21" s="1"/>
  <c r="D97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5" authorId="0" shapeId="0" xr:uid="{00000000-0006-0000-0300-000001000000}">
      <text>
        <r>
          <rPr>
            <sz val="9"/>
            <color indexed="81"/>
            <rFont val="Tahoma"/>
            <family val="2"/>
            <charset val="204"/>
          </rPr>
          <t>СТО ФСК ЕЭС:
-для крупнообломочных грунтов и песков средней степени водонасыщения и водонасыщенных f=0.9(tgф-0.1)
-для остальных грунтов f=0.9(tgф)</t>
        </r>
      </text>
    </comment>
    <comment ref="B92" authorId="0" shapeId="0" xr:uid="{00000000-0006-0000-0300-000002000000}">
      <text>
        <r>
          <rPr>
            <sz val="9"/>
            <color indexed="81"/>
            <rFont val="Tahoma"/>
            <family val="2"/>
            <charset val="204"/>
          </rPr>
          <t>Пески:
крупные, средние, мелкие-1
пылеватые-1.05
Супеси:
Il≤0.25   1,2
Il&gt;0.25   1.3
Суглинки:
Il≤0.25          1.15
0.25&lt;Il≤0.5    1.25
Il&gt;0.5            1.25
Глины:
Il≤0.25          1.3
0.25&lt;Il≤0.5    1.3
Il&gt;0.5            1.4</t>
        </r>
      </text>
    </comment>
    <comment ref="B93" authorId="0" shapeId="0" xr:uid="{00000000-0006-0000-0300-000003000000}">
      <text>
        <r>
          <rPr>
            <sz val="9"/>
            <color indexed="81"/>
            <rFont val="Tahoma"/>
            <family val="2"/>
            <charset val="204"/>
          </rPr>
          <t xml:space="preserve">Норм. пром.-1
Норм. анк. без разн. тяж.-1.2
Анк. угловые, конц.-1,3 </t>
        </r>
      </text>
    </comment>
  </commentList>
</comments>
</file>

<file path=xl/sharedStrings.xml><?xml version="1.0" encoding="utf-8"?>
<sst xmlns="http://schemas.openxmlformats.org/spreadsheetml/2006/main" count="523" uniqueCount="387">
  <si>
    <t>Характеристики грунта</t>
  </si>
  <si>
    <t>Удельное сцепление</t>
  </si>
  <si>
    <t>с, кПа</t>
  </si>
  <si>
    <t>Угол внутреннего трения</t>
  </si>
  <si>
    <t>φ, град</t>
  </si>
  <si>
    <t>К, кН/м4</t>
  </si>
  <si>
    <t>γ, т/м3</t>
  </si>
  <si>
    <t>Модуль деформации</t>
  </si>
  <si>
    <t>E, кПа</t>
  </si>
  <si>
    <t>Поперечный момент</t>
  </si>
  <si>
    <t>М, кНм</t>
  </si>
  <si>
    <t>Поперечная сила</t>
  </si>
  <si>
    <t>H, кН</t>
  </si>
  <si>
    <t>Вертикальная сила</t>
  </si>
  <si>
    <t>N, кН</t>
  </si>
  <si>
    <t>Геометрические характеристики сваи</t>
  </si>
  <si>
    <t>Заглубление фундамента</t>
  </si>
  <si>
    <t>L, м</t>
  </si>
  <si>
    <t>Диаметр сваи</t>
  </si>
  <si>
    <t>d, м</t>
  </si>
  <si>
    <t>Высота головы сваи</t>
  </si>
  <si>
    <t>Толщина стенки</t>
  </si>
  <si>
    <t>t, м</t>
  </si>
  <si>
    <t>Модуль упругости</t>
  </si>
  <si>
    <t>E, кН/м2</t>
  </si>
  <si>
    <t>Момент инерции</t>
  </si>
  <si>
    <t>I, м4</t>
  </si>
  <si>
    <t>bp, м</t>
  </si>
  <si>
    <t>Коэф. деф.</t>
  </si>
  <si>
    <t>αε, 1/м</t>
  </si>
  <si>
    <t>Прив. длина</t>
  </si>
  <si>
    <t>L</t>
  </si>
  <si>
    <t>e</t>
  </si>
  <si>
    <t>IL</t>
  </si>
  <si>
    <t>Вес грунта расчетный</t>
  </si>
  <si>
    <t>Вес грунта природный</t>
  </si>
  <si>
    <t>Коэффициент трения</t>
  </si>
  <si>
    <t>f</t>
  </si>
  <si>
    <t>Вес грунта</t>
  </si>
  <si>
    <t>γ, тс/м3</t>
  </si>
  <si>
    <t>Угол сдвига</t>
  </si>
  <si>
    <t>ψ, град</t>
  </si>
  <si>
    <t>рад</t>
  </si>
  <si>
    <t>E, тс/м2</t>
  </si>
  <si>
    <t>Нагрузки на сваю</t>
  </si>
  <si>
    <t>Продольный момент</t>
  </si>
  <si>
    <t>Продольная сила</t>
  </si>
  <si>
    <t>Q расч</t>
  </si>
  <si>
    <t>Уровень земли</t>
  </si>
  <si>
    <t>Высота приложения</t>
  </si>
  <si>
    <t>Н, м</t>
  </si>
  <si>
    <t>Соотношение моментов</t>
  </si>
  <si>
    <t>Коэф условий работы</t>
  </si>
  <si>
    <t>h, м</t>
  </si>
  <si>
    <t>Ширина ригеля</t>
  </si>
  <si>
    <t>а, м</t>
  </si>
  <si>
    <t>Ширина ригеля нижн</t>
  </si>
  <si>
    <t>Уровень ригеля</t>
  </si>
  <si>
    <t>Уровень ригеля нижн</t>
  </si>
  <si>
    <t>Длина ригеля</t>
  </si>
  <si>
    <t>Длина ригеля нижн</t>
  </si>
  <si>
    <t>Высота ригеля</t>
  </si>
  <si>
    <t>Высота ригеля нижн</t>
  </si>
  <si>
    <t>Расчет</t>
  </si>
  <si>
    <t>Коэф формы эпюры</t>
  </si>
  <si>
    <t>ω</t>
  </si>
  <si>
    <t>α=H/h</t>
  </si>
  <si>
    <t>α</t>
  </si>
  <si>
    <t>m</t>
  </si>
  <si>
    <t>η</t>
  </si>
  <si>
    <t>Расчетная ширина сваи</t>
  </si>
  <si>
    <t>b, м</t>
  </si>
  <si>
    <t>Пассивное давление грунта</t>
  </si>
  <si>
    <t>U</t>
  </si>
  <si>
    <t>Давление грунта на верхний ригель</t>
  </si>
  <si>
    <t>А</t>
  </si>
  <si>
    <t>Давление грунта на нижний ригель</t>
  </si>
  <si>
    <t>ε</t>
  </si>
  <si>
    <t>Коэффициенты кубического уравнения</t>
  </si>
  <si>
    <t>a</t>
  </si>
  <si>
    <t>b</t>
  </si>
  <si>
    <t>c</t>
  </si>
  <si>
    <t>d</t>
  </si>
  <si>
    <t>В</t>
  </si>
  <si>
    <t>С</t>
  </si>
  <si>
    <t>Относительная глубина центра поворота</t>
  </si>
  <si>
    <t>θ</t>
  </si>
  <si>
    <t>Нижний предел θ</t>
  </si>
  <si>
    <t>Верхний предел θ</t>
  </si>
  <si>
    <t>Несущая способность сваи</t>
  </si>
  <si>
    <t>7.10 Коэф надежности</t>
  </si>
  <si>
    <t>Расчетная предельная горизонтальная сила</t>
  </si>
  <si>
    <t>Предельный момент</t>
  </si>
  <si>
    <t>Коэф использования</t>
  </si>
  <si>
    <t>Расчет по деформациям</t>
  </si>
  <si>
    <t>ν</t>
  </si>
  <si>
    <t>β, рад</t>
  </si>
  <si>
    <t>По руководству</t>
  </si>
  <si>
    <t>ПО СП 24.13330</t>
  </si>
  <si>
    <t>Ригель</t>
  </si>
  <si>
    <t>м</t>
  </si>
  <si>
    <t>УГВ</t>
  </si>
  <si>
    <t>Усл. ширина сваи</t>
  </si>
  <si>
    <t>Коэф. Усл. Работы СП 24 В.2</t>
  </si>
  <si>
    <t>Масса двенадцатигранной трубы</t>
  </si>
  <si>
    <t>Диаметр трубы "под ключ", мм</t>
  </si>
  <si>
    <t>Толщина трубы, мм</t>
  </si>
  <si>
    <t>Длина трубы, мм</t>
  </si>
  <si>
    <t>Плотность стали, кг/м3</t>
  </si>
  <si>
    <t>Сторона 12-гранника, мм</t>
  </si>
  <si>
    <t>Длина развертки (12граней), мм</t>
  </si>
  <si>
    <t>Площадь сечения, мм2</t>
  </si>
  <si>
    <t>Объем металла, м3</t>
  </si>
  <si>
    <t>Масса трубы, кг</t>
  </si>
  <si>
    <t>Расчет сваи по прочности</t>
  </si>
  <si>
    <t>Привед. длина стержня СП 24 (7.1)</t>
  </si>
  <si>
    <t>σ</t>
  </si>
  <si>
    <t>Коэффициент исп. С345</t>
  </si>
  <si>
    <t>N, тС</t>
  </si>
  <si>
    <t>тС</t>
  </si>
  <si>
    <t>Т 7.2 Коэф условий работы СП22</t>
  </si>
  <si>
    <t>Коэффициент исп. С245</t>
  </si>
  <si>
    <t>I ПС</t>
  </si>
  <si>
    <t>II ПС</t>
  </si>
  <si>
    <t>Коэф. Пропорциональности/Постели</t>
  </si>
  <si>
    <t>Результаты расчета</t>
  </si>
  <si>
    <t>Заносится в РПЗФ</t>
  </si>
  <si>
    <t>Исходные данные (вводятся пользователем или загружаются из других модулей ПО)</t>
  </si>
  <si>
    <t>* коэффициент использования</t>
  </si>
  <si>
    <t>&gt;95%</t>
  </si>
  <si>
    <t>&lt;50%</t>
  </si>
  <si>
    <t>* угол поворота</t>
  </si>
  <si>
    <t>за 100% берется:</t>
  </si>
  <si>
    <t>80-95%</t>
  </si>
  <si>
    <t>50-65%</t>
  </si>
  <si>
    <t>65-80%</t>
  </si>
  <si>
    <t>Промежуточные расчеты (важные)</t>
  </si>
  <si>
    <t>По цветам ячеек:</t>
  </si>
  <si>
    <r>
      <t>с</t>
    </r>
    <r>
      <rPr>
        <vertAlign val="subscript"/>
        <sz val="11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, тс/м2</t>
    </r>
  </si>
  <si>
    <r>
      <t>φ</t>
    </r>
    <r>
      <rPr>
        <vertAlign val="subscript"/>
        <sz val="11"/>
        <rFont val="Calibri"/>
        <family val="2"/>
        <charset val="204"/>
      </rPr>
      <t>I</t>
    </r>
    <r>
      <rPr>
        <sz val="11"/>
        <rFont val="Calibri"/>
        <family val="2"/>
        <charset val="204"/>
      </rPr>
      <t>, град</t>
    </r>
  </si>
  <si>
    <r>
      <t>φ</t>
    </r>
    <r>
      <rPr>
        <vertAlign val="subscript"/>
        <sz val="11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, рад</t>
    </r>
  </si>
  <si>
    <r>
      <t>М</t>
    </r>
    <r>
      <rPr>
        <vertAlign val="subscript"/>
        <sz val="11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кНм</t>
    </r>
  </si>
  <si>
    <r>
      <t>М</t>
    </r>
    <r>
      <rPr>
        <vertAlign val="subscript"/>
        <sz val="11"/>
        <rFont val="Calibri"/>
        <family val="2"/>
        <charset val="204"/>
        <scheme val="minor"/>
      </rPr>
      <t>y</t>
    </r>
    <r>
      <rPr>
        <sz val="11"/>
        <rFont val="Calibri"/>
        <family val="2"/>
        <charset val="204"/>
        <scheme val="minor"/>
      </rPr>
      <t>, кНм</t>
    </r>
  </si>
  <si>
    <r>
      <t>Q</t>
    </r>
    <r>
      <rPr>
        <vertAlign val="subscript"/>
        <sz val="11"/>
        <rFont val="Calibri"/>
        <family val="2"/>
        <charset val="204"/>
        <scheme val="minor"/>
      </rPr>
      <t>y</t>
    </r>
    <r>
      <rPr>
        <sz val="11"/>
        <rFont val="Calibri"/>
        <family val="2"/>
        <charset val="204"/>
        <scheme val="minor"/>
      </rPr>
      <t>, кН</t>
    </r>
  </si>
  <si>
    <r>
      <t>Q</t>
    </r>
    <r>
      <rPr>
        <vertAlign val="subscript"/>
        <sz val="11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кН</t>
    </r>
  </si>
  <si>
    <r>
      <t>М</t>
    </r>
    <r>
      <rPr>
        <vertAlign val="subscript"/>
        <sz val="11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тС*м</t>
    </r>
  </si>
  <si>
    <r>
      <t>М</t>
    </r>
    <r>
      <rPr>
        <vertAlign val="subscript"/>
        <sz val="11"/>
        <rFont val="Calibri"/>
        <family val="2"/>
        <charset val="204"/>
        <scheme val="minor"/>
      </rPr>
      <t>y</t>
    </r>
    <r>
      <rPr>
        <sz val="11"/>
        <rFont val="Calibri"/>
        <family val="2"/>
        <charset val="204"/>
        <scheme val="minor"/>
      </rPr>
      <t>, тС*м</t>
    </r>
  </si>
  <si>
    <r>
      <t>Q</t>
    </r>
    <r>
      <rPr>
        <vertAlign val="subscript"/>
        <sz val="11"/>
        <rFont val="Calibri"/>
        <family val="2"/>
        <charset val="204"/>
        <scheme val="minor"/>
      </rPr>
      <t>y</t>
    </r>
    <r>
      <rPr>
        <sz val="11"/>
        <rFont val="Calibri"/>
        <family val="2"/>
        <charset val="204"/>
        <scheme val="minor"/>
      </rPr>
      <t>, тС</t>
    </r>
  </si>
  <si>
    <r>
      <t>Q</t>
    </r>
    <r>
      <rPr>
        <vertAlign val="subscript"/>
        <sz val="11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тС</t>
    </r>
  </si>
  <si>
    <r>
      <t>m</t>
    </r>
    <r>
      <rPr>
        <vertAlign val="subscript"/>
        <sz val="11"/>
        <rFont val="Calibri"/>
        <family val="2"/>
        <charset val="204"/>
        <scheme val="minor"/>
      </rPr>
      <t>g</t>
    </r>
  </si>
  <si>
    <r>
      <t>b</t>
    </r>
    <r>
      <rPr>
        <vertAlign val="sub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, м</t>
    </r>
  </si>
  <si>
    <r>
      <t>h</t>
    </r>
    <r>
      <rPr>
        <vertAlign val="sub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, м</t>
    </r>
  </si>
  <si>
    <r>
      <t>а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>, м</t>
    </r>
  </si>
  <si>
    <r>
      <t>У</t>
    </r>
    <r>
      <rPr>
        <vertAlign val="subscript"/>
        <sz val="11"/>
        <rFont val="Calibri"/>
        <family val="2"/>
        <charset val="204"/>
        <scheme val="minor"/>
      </rPr>
      <t>р</t>
    </r>
    <r>
      <rPr>
        <sz val="11"/>
        <rFont val="Calibri"/>
        <family val="2"/>
        <charset val="204"/>
        <scheme val="minor"/>
      </rPr>
      <t>, м</t>
    </r>
  </si>
  <si>
    <r>
      <t>У</t>
    </r>
    <r>
      <rPr>
        <vertAlign val="subscript"/>
        <sz val="11"/>
        <rFont val="Calibri"/>
        <family val="2"/>
        <charset val="204"/>
        <scheme val="minor"/>
      </rPr>
      <t>р1</t>
    </r>
    <r>
      <rPr>
        <sz val="11"/>
        <rFont val="Calibri"/>
        <family val="2"/>
        <charset val="204"/>
        <scheme val="minor"/>
      </rPr>
      <t>, м</t>
    </r>
  </si>
  <si>
    <r>
      <t>l</t>
    </r>
    <r>
      <rPr>
        <vertAlign val="subscript"/>
        <sz val="11"/>
        <rFont val="Calibri"/>
        <family val="2"/>
        <charset val="204"/>
        <scheme val="minor"/>
      </rPr>
      <t>р</t>
    </r>
    <r>
      <rPr>
        <sz val="11"/>
        <rFont val="Calibri"/>
        <family val="2"/>
        <charset val="204"/>
        <scheme val="minor"/>
      </rPr>
      <t>, м</t>
    </r>
  </si>
  <si>
    <r>
      <t>l</t>
    </r>
    <r>
      <rPr>
        <vertAlign val="subscript"/>
        <sz val="11"/>
        <rFont val="Calibri"/>
        <family val="2"/>
        <charset val="204"/>
        <scheme val="minor"/>
      </rPr>
      <t>р1</t>
    </r>
    <r>
      <rPr>
        <sz val="11"/>
        <rFont val="Calibri"/>
        <family val="2"/>
        <charset val="204"/>
        <scheme val="minor"/>
      </rPr>
      <t>, м</t>
    </r>
  </si>
  <si>
    <r>
      <t>h</t>
    </r>
    <r>
      <rPr>
        <vertAlign val="subscript"/>
        <sz val="11"/>
        <rFont val="Calibri"/>
        <family val="2"/>
        <charset val="204"/>
        <scheme val="minor"/>
      </rPr>
      <t>р</t>
    </r>
    <r>
      <rPr>
        <sz val="11"/>
        <rFont val="Calibri"/>
        <family val="2"/>
        <charset val="204"/>
        <scheme val="minor"/>
      </rPr>
      <t>, м</t>
    </r>
  </si>
  <si>
    <r>
      <t>h</t>
    </r>
    <r>
      <rPr>
        <vertAlign val="subscript"/>
        <sz val="11"/>
        <rFont val="Calibri"/>
        <family val="2"/>
        <charset val="204"/>
        <scheme val="minor"/>
      </rPr>
      <t>р1</t>
    </r>
    <r>
      <rPr>
        <sz val="11"/>
        <rFont val="Calibri"/>
        <family val="2"/>
        <charset val="204"/>
        <scheme val="minor"/>
      </rPr>
      <t>, м</t>
    </r>
  </si>
  <si>
    <r>
      <t>λ</t>
    </r>
    <r>
      <rPr>
        <vertAlign val="subscript"/>
        <sz val="11"/>
        <rFont val="Calibri"/>
        <family val="2"/>
        <charset val="204"/>
      </rPr>
      <t>d</t>
    </r>
  </si>
  <si>
    <r>
      <t>λ</t>
    </r>
    <r>
      <rPr>
        <vertAlign val="subscript"/>
        <sz val="11"/>
        <rFont val="Calibri"/>
        <family val="2"/>
        <charset val="204"/>
      </rPr>
      <t>d1</t>
    </r>
  </si>
  <si>
    <r>
      <t>m</t>
    </r>
    <r>
      <rPr>
        <vertAlign val="subscript"/>
        <sz val="11"/>
        <rFont val="Calibri"/>
        <family val="2"/>
        <charset val="204"/>
      </rPr>
      <t>c</t>
    </r>
  </si>
  <si>
    <r>
      <t>f</t>
    </r>
    <r>
      <rPr>
        <vertAlign val="subscript"/>
        <sz val="11"/>
        <rFont val="Calibri"/>
        <family val="2"/>
        <charset val="204"/>
      </rPr>
      <t>α</t>
    </r>
  </si>
  <si>
    <r>
      <t>C</t>
    </r>
    <r>
      <rPr>
        <vertAlign val="subscript"/>
        <sz val="11"/>
        <rFont val="Calibri"/>
        <family val="2"/>
        <charset val="204"/>
      </rPr>
      <t>og</t>
    </r>
  </si>
  <si>
    <r>
      <t>K</t>
    </r>
    <r>
      <rPr>
        <vertAlign val="subscript"/>
        <sz val="11"/>
        <rFont val="Calibri"/>
        <family val="2"/>
        <charset val="204"/>
      </rPr>
      <t>og</t>
    </r>
  </si>
  <si>
    <r>
      <t>A</t>
    </r>
    <r>
      <rPr>
        <vertAlign val="subscript"/>
        <sz val="11"/>
        <rFont val="Calibri"/>
        <family val="2"/>
        <charset val="204"/>
      </rPr>
      <t>1</t>
    </r>
  </si>
  <si>
    <r>
      <t>ε</t>
    </r>
    <r>
      <rPr>
        <vertAlign val="subscript"/>
        <sz val="11"/>
        <rFont val="Calibri"/>
        <family val="2"/>
        <charset val="204"/>
      </rPr>
      <t>1</t>
    </r>
  </si>
  <si>
    <r>
      <t>f</t>
    </r>
    <r>
      <rPr>
        <vertAlign val="subscript"/>
        <sz val="11"/>
        <rFont val="Calibri"/>
        <family val="2"/>
        <charset val="204"/>
      </rPr>
      <t>n</t>
    </r>
  </si>
  <si>
    <r>
      <t>γ</t>
    </r>
    <r>
      <rPr>
        <vertAlign val="subscript"/>
        <sz val="11"/>
        <rFont val="Calibri"/>
        <family val="2"/>
        <charset val="204"/>
      </rPr>
      <t>c2</t>
    </r>
  </si>
  <si>
    <r>
      <t>γ</t>
    </r>
    <r>
      <rPr>
        <vertAlign val="subscript"/>
        <sz val="11"/>
        <rFont val="Calibri"/>
        <family val="2"/>
        <charset val="204"/>
      </rPr>
      <t>n</t>
    </r>
  </si>
  <si>
    <r>
      <t>F</t>
    </r>
    <r>
      <rPr>
        <vertAlign val="subscript"/>
        <sz val="11"/>
        <rFont val="Calibri"/>
        <family val="2"/>
        <charset val="204"/>
        <scheme val="minor"/>
      </rPr>
      <t>hu</t>
    </r>
  </si>
  <si>
    <r>
      <t>M</t>
    </r>
    <r>
      <rPr>
        <vertAlign val="subscript"/>
        <sz val="11"/>
        <rFont val="Calibri"/>
        <family val="2"/>
        <charset val="204"/>
        <scheme val="minor"/>
      </rPr>
      <t>u</t>
    </r>
  </si>
  <si>
    <r>
      <t>F</t>
    </r>
    <r>
      <rPr>
        <vertAlign val="subscript"/>
        <sz val="11"/>
        <rFont val="Calibri"/>
        <family val="2"/>
        <charset val="204"/>
        <scheme val="minor"/>
      </rPr>
      <t>ult</t>
    </r>
  </si>
  <si>
    <r>
      <t>M</t>
    </r>
    <r>
      <rPr>
        <vertAlign val="subscript"/>
        <sz val="11"/>
        <rFont val="Calibri"/>
        <family val="2"/>
        <charset val="204"/>
        <scheme val="minor"/>
      </rPr>
      <t>ult</t>
    </r>
  </si>
  <si>
    <r>
      <t>b</t>
    </r>
    <r>
      <rPr>
        <vertAlign val="sub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/h</t>
    </r>
  </si>
  <si>
    <r>
      <t>t</t>
    </r>
    <r>
      <rPr>
        <vertAlign val="subscript"/>
        <sz val="11"/>
        <rFont val="Calibri"/>
        <family val="2"/>
        <charset val="204"/>
        <scheme val="minor"/>
      </rPr>
      <t>в</t>
    </r>
  </si>
  <si>
    <r>
      <t>t</t>
    </r>
    <r>
      <rPr>
        <vertAlign val="subscript"/>
        <sz val="11"/>
        <rFont val="Calibri"/>
        <family val="2"/>
        <charset val="204"/>
        <scheme val="minor"/>
      </rPr>
      <t>н</t>
    </r>
  </si>
  <si>
    <r>
      <t>ν</t>
    </r>
    <r>
      <rPr>
        <vertAlign val="subscript"/>
        <sz val="11"/>
        <rFont val="Calibri"/>
        <family val="2"/>
        <charset val="204"/>
      </rPr>
      <t>в</t>
    </r>
  </si>
  <si>
    <r>
      <t>ν</t>
    </r>
    <r>
      <rPr>
        <vertAlign val="subscript"/>
        <sz val="11"/>
        <rFont val="Calibri"/>
        <family val="2"/>
        <charset val="204"/>
      </rPr>
      <t>н</t>
    </r>
  </si>
  <si>
    <r>
      <t>с</t>
    </r>
    <r>
      <rPr>
        <vertAlign val="subscript"/>
        <sz val="11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, кПа</t>
    </r>
  </si>
  <si>
    <r>
      <t>γ</t>
    </r>
    <r>
      <rPr>
        <vertAlign val="subscript"/>
        <sz val="11"/>
        <rFont val="Calibri"/>
        <family val="2"/>
        <charset val="204"/>
      </rPr>
      <t>с</t>
    </r>
  </si>
  <si>
    <r>
      <t>L</t>
    </r>
    <r>
      <rPr>
        <vertAlign val="subscript"/>
        <sz val="11"/>
        <rFont val="Calibri"/>
        <family val="2"/>
        <charset val="204"/>
      </rPr>
      <t>0</t>
    </r>
    <r>
      <rPr>
        <sz val="11"/>
        <rFont val="Calibri"/>
        <family val="2"/>
        <charset val="204"/>
      </rPr>
      <t>, м</t>
    </r>
  </si>
  <si>
    <r>
      <t>М</t>
    </r>
    <r>
      <rPr>
        <vertAlign val="sub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, кНм</t>
    </r>
  </si>
  <si>
    <r>
      <t>H</t>
    </r>
    <r>
      <rPr>
        <vertAlign val="sub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, кН</t>
    </r>
  </si>
  <si>
    <r>
      <t>N</t>
    </r>
    <r>
      <rPr>
        <vertAlign val="sub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, кН</t>
    </r>
  </si>
  <si>
    <t>Промежуточные расчеты (менее важные) и "константы"</t>
  </si>
  <si>
    <t>Угол поворота (без ригеля)</t>
  </si>
  <si>
    <t>Наименование грунта</t>
  </si>
  <si>
    <t>Номер ИГЭ</t>
  </si>
  <si>
    <t>Отметка верха слоя, м</t>
  </si>
  <si>
    <t>Отметка низа слоя, м</t>
  </si>
  <si>
    <t>Мощность слоя, м</t>
  </si>
  <si>
    <t>Уровень грунтовых вод</t>
  </si>
  <si>
    <t>Технические характеристики:</t>
  </si>
  <si>
    <t>2а</t>
  </si>
  <si>
    <t>Глина</t>
  </si>
  <si>
    <t>Супесь</t>
  </si>
  <si>
    <t>Комментарий для ПО</t>
  </si>
  <si>
    <t>Средневзвешенные значения (пойдут в расчет сваи):</t>
  </si>
  <si>
    <t>Коэффициент пористости, e</t>
  </si>
  <si>
    <t>Вес грунта природный, т/м3</t>
  </si>
  <si>
    <r>
      <t xml:space="preserve">Угол внутреннего трения </t>
    </r>
    <r>
      <rPr>
        <sz val="11"/>
        <color theme="1"/>
        <rFont val="Calibri"/>
        <family val="2"/>
        <charset val="204"/>
      </rPr>
      <t>φI, град</t>
    </r>
  </si>
  <si>
    <t>Удельное сцепление сI, кПа</t>
  </si>
  <si>
    <t>Модуль деформации E, кПа</t>
  </si>
  <si>
    <t>более полное наименование грунта</t>
  </si>
  <si>
    <t>Грунт</t>
  </si>
  <si>
    <t>Коэффициент γc2</t>
  </si>
  <si>
    <t>Тип опоры</t>
  </si>
  <si>
    <t>Коэффициент γn</t>
  </si>
  <si>
    <t>Промежуточная</t>
  </si>
  <si>
    <t>Анкерно-угловая</t>
  </si>
  <si>
    <t>Концевая</t>
  </si>
  <si>
    <t>Песок</t>
  </si>
  <si>
    <t>Суглинок</t>
  </si>
  <si>
    <t>в ПО залить соответствующим цветом</t>
  </si>
  <si>
    <t>Комментарий внутренний</t>
  </si>
  <si>
    <t>Глубина заложения сваи, м</t>
  </si>
  <si>
    <t>Тип опоры *список*</t>
  </si>
  <si>
    <t>Тип грунта *список*</t>
  </si>
  <si>
    <t>Отчет по инженерно-геологическим изысканиям (номер тома)</t>
  </si>
  <si>
    <t>Номера скважин, принимаемых для расчета</t>
  </si>
  <si>
    <t>Пример</t>
  </si>
  <si>
    <t>ВС-196-01_ИГИ</t>
  </si>
  <si>
    <t>№31н</t>
  </si>
  <si>
    <t>Заливка результатов расчета цветом (реализовать в ПО):</t>
  </si>
  <si>
    <t>Служебная строка</t>
  </si>
  <si>
    <t>нужна для коэффициента γc2</t>
  </si>
  <si>
    <t>нет грунта</t>
  </si>
  <si>
    <t>см. ячейку: 'Задание грунтов'!C28</t>
  </si>
  <si>
    <t>см. ячейку: 'Задание грунтов'!C26</t>
  </si>
  <si>
    <t>в мм</t>
  </si>
  <si>
    <t>1 слой
D14;
2 слой
(D14*D11+E14*(B3-E9))/B3);
3 слой
(D14*D11+E14*E11+F14*(B3-F9))/B3);
4 слой
(D14*D11+E14*E11+F14*F11+G14*(B3-G9))/B3);
5 слой
(D14*D11+E14*E11+F14*F11+G14*G11+H14*(B3-H9))/B3);
Ошибка
"Предупреждение! Свая больше глубины скважины. Пожалуйста, увеличьте глубину скважины")</t>
  </si>
  <si>
    <t>будет учитываться только в задании грунтов</t>
  </si>
  <si>
    <t>рассчитывается в задании грунтов, переносится сюда</t>
  </si>
  <si>
    <t>Адрес строительства</t>
  </si>
  <si>
    <t>г. Москва, ул…...</t>
  </si>
  <si>
    <t>Дополнительные данные для РПЗФ (поля ввода в ПО):</t>
  </si>
  <si>
    <t>0.45</t>
  </si>
  <si>
    <t>0.1</t>
  </si>
  <si>
    <t>0.55</t>
  </si>
  <si>
    <t>0.65</t>
  </si>
  <si>
    <t>0.75</t>
  </si>
  <si>
    <t>0.25</t>
  </si>
  <si>
    <t>0.85</t>
  </si>
  <si>
    <t>0.95</t>
  </si>
  <si>
    <t>0.5</t>
  </si>
  <si>
    <t>1.05</t>
  </si>
  <si>
    <t>№ грунта (по СТО ФСК из 56 типов)</t>
  </si>
  <si>
    <t>Песок Крупный (e = 0,45)</t>
  </si>
  <si>
    <t>Песок Крупный (e = 0,65)</t>
  </si>
  <si>
    <t>Песок Мелкий (e = 0,45)</t>
  </si>
  <si>
    <t>Песок Мелкий (e = 0,75)</t>
  </si>
  <si>
    <t>Песок Пылеватый (e = 0,45)</t>
  </si>
  <si>
    <t>Песок Пылеватый (e = 0,75)</t>
  </si>
  <si>
    <t>Супесь (e = 0,45)</t>
  </si>
  <si>
    <t>Супесь (e = 0,65)</t>
  </si>
  <si>
    <t>Супесь (e = 0,85)</t>
  </si>
  <si>
    <t>Суглинок (e = 0,45)</t>
  </si>
  <si>
    <t>Суглинок (e = 0,65)</t>
  </si>
  <si>
    <t>Суглинок (e = 0,85)</t>
  </si>
  <si>
    <t>Суглинок (e = 1,05)</t>
  </si>
  <si>
    <t>Глина (e = 0,55)</t>
  </si>
  <si>
    <t>Глина (e = 0,75)</t>
  </si>
  <si>
    <t>Глина (e = 0,95)</t>
  </si>
  <si>
    <t>Глина (e = 1,05)</t>
  </si>
  <si>
    <t>информативно</t>
  </si>
  <si>
    <t xml:space="preserve">C, кПа </t>
  </si>
  <si>
    <t>Коэффициент пористости e</t>
  </si>
  <si>
    <t>Выбор типового грунта:</t>
  </si>
  <si>
    <t>Исходные данные есть</t>
  </si>
  <si>
    <t>Исходных данных нет</t>
  </si>
  <si>
    <t>* блок "исходных данных нет" *</t>
  </si>
  <si>
    <t>Удельное сцепление C, кПа</t>
  </si>
  <si>
    <t>Угол внутреннего трения φ, град</t>
  </si>
  <si>
    <t>Вес грунта, т/м3</t>
  </si>
  <si>
    <t>* выпадающий список *</t>
  </si>
  <si>
    <t>из ячейки: 'Типовые грунты'!B24</t>
  </si>
  <si>
    <t>* значение для информации, не редактируемое *</t>
  </si>
  <si>
    <t>* блок "исходные данные есть" *</t>
  </si>
  <si>
    <t>* если выбрано, что исходные данные есть, блок серый *</t>
  </si>
  <si>
    <t>Угол внутреннего трения φI, град</t>
  </si>
  <si>
    <t>из ячейки: 'Задание грунтов'!D7</t>
  </si>
  <si>
    <t>из ячейки: 'Задание грунтов'!D11</t>
  </si>
  <si>
    <t>из ячейки: 'Задание грунтов'!D17</t>
  </si>
  <si>
    <t>* без заполнения *</t>
  </si>
  <si>
    <t>КНОПКА "+" (максимум всего 5 столбцов, т.е. 4 новых)</t>
  </si>
  <si>
    <t>Слой №1</t>
  </si>
  <si>
    <t>в ячейку: 'Задание грунтов'!D6</t>
  </si>
  <si>
    <t>в ячейку: 'Задание грунтов'!D8</t>
  </si>
  <si>
    <t>в ячейку: 'Задание грунтов'!D9</t>
  </si>
  <si>
    <t>в ячейку: 'Задание грунтов'!D10</t>
  </si>
  <si>
    <t>* блок "Геометрические характеристики сваи" *</t>
  </si>
  <si>
    <t>Диаметр сваи "под ключ", мм</t>
  </si>
  <si>
    <t>Толщина сваи, мм</t>
  </si>
  <si>
    <t>* заполняется только один раз *</t>
  </si>
  <si>
    <t>в ячейку: 'Задание грунтов'!B23</t>
  </si>
  <si>
    <t>* уже реализовано в ПО *</t>
  </si>
  <si>
    <t>* реализовано в ПО, но в мм; сейчас в метрах и другое наименование *</t>
  </si>
  <si>
    <t>Примечание (добавить либо всплывающим окном в графе Отметка верха слоя, либо постоянной надписью): Отметку верха первого слоя принимать равной 0.0, даже если фактическая отметка первого расчетного слоя ниже (например, если сверху есть почвенный, насыпной или техногенный грунт, которые не принимаются в расчет).</t>
  </si>
  <si>
    <t>Необходимо внедрить проверку глубины заложения сваи и глубины скважины (наибольшая отметка самого нижнего слоя, заданная пользователем - независимо от количества слоев, нужно проверять наибольшую отметку нижнего слоя).
Если глубина заложения сваи больше глубины скважины, то ячейку с глубиной заложения сваи необходимо залить красным цветом, либо вывести предуреждение пользователю.</t>
  </si>
  <si>
    <t>* выпадающий список, заполняется только один раз *</t>
  </si>
  <si>
    <t>в ячейку: 'Задание грунтов'!B26</t>
  </si>
  <si>
    <t>в ячейку: 'Задание грунтов'!D13</t>
  </si>
  <si>
    <t>в ячейку: 'Задание грунтов'!D14</t>
  </si>
  <si>
    <t>в ячейку: 'Задание грунтов'!D15</t>
  </si>
  <si>
    <t>в ячейку: 'Задание грунтов'!D16</t>
  </si>
  <si>
    <t>в ячейку: 'Задание грунтов'!D18</t>
  </si>
  <si>
    <t>Тип грунта</t>
  </si>
  <si>
    <t>из ячейки: 'Задание грунтов'!C26</t>
  </si>
  <si>
    <t>из ячейки: 'Задание грунтов'!C28</t>
  </si>
  <si>
    <t>* выводится просто для информации *</t>
  </si>
  <si>
    <t>* столбец появляется после нажатия на кнопку + *</t>
  </si>
  <si>
    <t>Вес грунта расчетный, т/м3</t>
  </si>
  <si>
    <t>из ячейки: 'Задание грунтов'!K14</t>
  </si>
  <si>
    <t>из ячейки: 'Задание грунтов'!K15</t>
  </si>
  <si>
    <t>из ячейки: 'Задание грунтов'!K17</t>
  </si>
  <si>
    <t>из ячейки: 'Задание грунтов'!K18</t>
  </si>
  <si>
    <t>Средневзвешенные значения</t>
  </si>
  <si>
    <t>КНОПКА "Расчет"</t>
  </si>
  <si>
    <t>* подсказка: Отметки задаются в сторону увеличения, начиная с уровня земли (обычно 0.00 м), со знаком плюс</t>
  </si>
  <si>
    <t>При нажатии на кнопку "Расчет" программа понимает, что задание слоев завершено, можно рассчитать средневзвешенные коэффициенты, загрузить данные в эксель и произвести расчет, по итогам которого вывести результаты в окно ПО.
После нажатия кнопки «Расчет» необходимо выводить пользователю сообщение: «Внимание! Коэффициент использования фундамента желательно принимать меньше коэффициента использования опоры (секций или траверс) – см. протокол расчета или чек-лист». Либо это сообщение указывать постоянно в области, где выводится коэффициент использования сваи.</t>
  </si>
  <si>
    <t>Высота головы сваи, м (обычно 0.5)</t>
  </si>
  <si>
    <t>в ячейку: 'Расчет сваи'!I7</t>
  </si>
  <si>
    <t>* блок Результаты расчета *</t>
  </si>
  <si>
    <t>Коэффициент использования (С245)</t>
  </si>
  <si>
    <t>Коэффициент использования (С345)</t>
  </si>
  <si>
    <t>из ячейки: 'Расчет сваи'!H26</t>
  </si>
  <si>
    <t>из ячейки: 'Расчет сваи'!H27</t>
  </si>
  <si>
    <t>* в ПО залить соответствующим цветом *</t>
  </si>
  <si>
    <t>7.2 Коэф условий работы СП22 γc2</t>
  </si>
  <si>
    <t>7.10 Коэф надежности γn</t>
  </si>
  <si>
    <t>Расчет на горизонтальную нагрузку</t>
  </si>
  <si>
    <t>Коэффициент использования</t>
  </si>
  <si>
    <t>из ячейки: 'Расчет сваи'!D98</t>
  </si>
  <si>
    <t>из ячейки: 'Расчет сваи'!D107</t>
  </si>
  <si>
    <t>КНОПКА "Сохранить расчет"</t>
  </si>
  <si>
    <t>При нажатии на кнопку "Сохранить расчет" в папку с проектом сохраняется эксель именно с теми параметрами, которые ввел пользователь для конкретного проекта (т.к. исходный файл лежит в папке с шаблонами, необходимо сохранить расчет в экселе для данного проекта с конкретными параметрами сваи с целью его последующего просмотра).</t>
  </si>
  <si>
    <t>* блок Расчет массы сваи *</t>
  </si>
  <si>
    <t>Масса сваи с коэфф. 1.1, кг</t>
  </si>
  <si>
    <t>Масса сваи теретическая, кг</t>
  </si>
  <si>
    <t>Масса сваи с коэфф. 1.15, кг</t>
  </si>
  <si>
    <t>из ячейки: 'Расчет сваи'!M11</t>
  </si>
  <si>
    <t>умножить на 1.1</t>
  </si>
  <si>
    <t>умножить на 1.15</t>
  </si>
  <si>
    <t>* блок Расчет массы фланца *</t>
  </si>
  <si>
    <t>Диаметр фланца "под ключ", мм</t>
  </si>
  <si>
    <t>Диаметр круглого отверстия, мм</t>
  </si>
  <si>
    <t>Толщина фланца, мм</t>
  </si>
  <si>
    <t>Галочка "Расчет массы фланца"</t>
  </si>
  <si>
    <t>Масса фланца, кг</t>
  </si>
  <si>
    <t>* потом значения заносятся в соответствующие ячейки вкладки "Расчет сваи"</t>
  </si>
  <si>
    <t>* три поля ПО касательно фланца (правые) переносим в конец *</t>
  </si>
  <si>
    <t>Выбранный "типовой" грунт:</t>
  </si>
  <si>
    <t>*галочка* Расчет массы фланца</t>
  </si>
  <si>
    <t>доп.опция</t>
  </si>
  <si>
    <t>Масса сваи (двенадцатигранной трубы)</t>
  </si>
  <si>
    <t>Масса фланца</t>
  </si>
  <si>
    <t>взять из расчета фланца (диаметр опоры) без возможности редактирования</t>
  </si>
  <si>
    <t>взять из расчета фланца (диаметр фланца) без возможности редактирования</t>
  </si>
  <si>
    <t>вводит пользователь</t>
  </si>
  <si>
    <t>Диамер круглого отверстия, мм</t>
  </si>
  <si>
    <t>рассчитывается без возможности редактирования</t>
  </si>
  <si>
    <t>Площадь 12-гранника, м^2</t>
  </si>
  <si>
    <t>Площадь отверстия, м^2</t>
  </si>
  <si>
    <t>Площадь фланца нетто, м^2</t>
  </si>
  <si>
    <t>Масса сваи теоретическая, кг</t>
  </si>
  <si>
    <t>результат</t>
  </si>
  <si>
    <t>Масса сваи с коэфф. 1,1, кг</t>
  </si>
  <si>
    <t>Масса сваи с коэфф. 1,15, кг</t>
  </si>
  <si>
    <t>Масса сваи с учетом фланца:</t>
  </si>
  <si>
    <t>Теоретическая масса</t>
  </si>
  <si>
    <t>Масса с коэффициентом 1,1</t>
  </si>
  <si>
    <t>Масса с коэффициентом 1,15</t>
  </si>
  <si>
    <t>правый блок активируется после нажатия на галочку</t>
  </si>
  <si>
    <t>заполнить (пользователем или из ПО)
эта строка выводится в окно ПО</t>
  </si>
  <si>
    <t>промежуточный результат / не заполняется</t>
  </si>
  <si>
    <t>итоговая масса</t>
  </si>
  <si>
    <t>Песок мелкий</t>
  </si>
  <si>
    <t>изменено наименование</t>
  </si>
  <si>
    <t>Глубина заложения сваи, мм</t>
  </si>
  <si>
    <t>из ячейки 'Расчет массы фланца'!C3 в ячейку: 'Расчет сваи'!J6 (автоматически)</t>
  </si>
  <si>
    <t>из ячейки 'Расчет массы фланца'!C4 в ячейку: 'Расчет сваи'!J8 (автоматически)</t>
  </si>
  <si>
    <t>из ячейки 'Расчет массы фланца'!C5 в ячейку: 'Задание грунтов'!B3 (автоматически)</t>
  </si>
  <si>
    <t>из ячейки: 'Типовые грунты'!E24, потом в ячейку 'Расчет сваи'!D7</t>
  </si>
  <si>
    <t>из ячейки: 'Типовые грунты'!D24, потом в ячейку 'Расчет сваи'!D9</t>
  </si>
  <si>
    <t>из ячейки: 'Типовые грунты'!F24, потом в ячейку 'Расчет сваи'!D13</t>
  </si>
  <si>
    <t>из ячейки: 'Типовые грунты'!G24, потом в ячейку 'Расчет сваи'!D15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</si>
</sst>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"/>
    <numFmt numFmtId="166" formatCode="0.0"/>
    <numFmt numFmtId="167" formatCode="0.00000"/>
    <numFmt numFmtId="168" formatCode="0.000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bscript"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vertAlign val="subscript"/>
      <sz val="11"/>
      <name val="Calibri"/>
      <family val="2"/>
      <charset val="204"/>
    </font>
    <font>
      <b/>
      <sz val="2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16" fillId="0" borderId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6" fontId="0" fillId="6" borderId="1" xfId="0" applyNumberForma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2" fontId="6" fillId="6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6" fillId="6" borderId="1" xfId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2" applyFont="1" applyBorder="1" applyAlignment="1">
      <alignment horizontal="center" vertical="center" wrapText="1"/>
    </xf>
    <xf numFmtId="0" fontId="0" fillId="0" borderId="6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7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6" fontId="1" fillId="6" borderId="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6" fontId="1" fillId="6" borderId="8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6" fontId="0" fillId="6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2" fontId="0" fillId="3" borderId="1" xfId="2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165" fontId="6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74"/>
  <sheetViews>
    <sheetView tabSelected="1" topLeftCell="A12" workbookViewId="0">
      <selection activeCell="C22" sqref="C22"/>
    </sheetView>
  </sheetViews>
  <sheetFormatPr defaultColWidth="9.140625" defaultRowHeight="15" x14ac:dyDescent="0.25"/>
  <cols>
    <col min="1" max="1" width="9.140625" style="42"/>
    <col min="2" max="2" width="33.42578125" style="42" customWidth="1"/>
    <col min="3" max="3" width="39" style="42" customWidth="1"/>
    <col min="4" max="4" width="51.7109375" style="42" customWidth="1"/>
    <col min="5" max="5" width="9.140625" style="42" customWidth="1"/>
    <col min="6" max="11" width="9.140625" style="42"/>
    <col min="12" max="12" width="22.42578125" style="42" bestFit="1" customWidth="1"/>
    <col min="13" max="16384" width="9.140625" style="42"/>
  </cols>
  <sheetData>
    <row r="2" spans="2:12" x14ac:dyDescent="0.25">
      <c r="B2" s="85" t="s">
        <v>291</v>
      </c>
    </row>
    <row r="3" spans="2:12" ht="30" x14ac:dyDescent="0.25">
      <c r="B3" s="44" t="s">
        <v>292</v>
      </c>
      <c r="C3" s="122" t="s">
        <v>380</v>
      </c>
      <c r="D3" s="85" t="s">
        <v>296</v>
      </c>
      <c r="E3" s="85" t="s">
        <v>351</v>
      </c>
    </row>
    <row r="4" spans="2:12" ht="30" x14ac:dyDescent="0.25">
      <c r="B4" s="44" t="s">
        <v>293</v>
      </c>
      <c r="C4" s="122" t="s">
        <v>381</v>
      </c>
      <c r="D4" s="85" t="s">
        <v>296</v>
      </c>
    </row>
    <row r="5" spans="2:12" ht="45" x14ac:dyDescent="0.25">
      <c r="B5" s="44" t="s">
        <v>216</v>
      </c>
      <c r="C5" s="122" t="s">
        <v>382</v>
      </c>
      <c r="D5" s="85" t="s">
        <v>297</v>
      </c>
    </row>
    <row r="6" spans="2:12" x14ac:dyDescent="0.25">
      <c r="B6" s="44" t="s">
        <v>321</v>
      </c>
      <c r="C6" s="44" t="s">
        <v>322</v>
      </c>
      <c r="D6" s="88"/>
    </row>
    <row r="8" spans="2:12" x14ac:dyDescent="0.25">
      <c r="B8" s="121" t="s">
        <v>269</v>
      </c>
      <c r="C8" s="85" t="s">
        <v>275</v>
      </c>
      <c r="L8" s="120" t="s">
        <v>270</v>
      </c>
    </row>
    <row r="9" spans="2:12" x14ac:dyDescent="0.25">
      <c r="L9" s="120" t="s">
        <v>269</v>
      </c>
    </row>
    <row r="10" spans="2:12" x14ac:dyDescent="0.25">
      <c r="B10" s="85" t="s">
        <v>271</v>
      </c>
      <c r="C10" s="85" t="s">
        <v>279</v>
      </c>
      <c r="D10" s="85"/>
    </row>
    <row r="11" spans="2:12" x14ac:dyDescent="0.25">
      <c r="B11" s="44" t="s">
        <v>352</v>
      </c>
      <c r="C11" s="72" t="s">
        <v>276</v>
      </c>
      <c r="D11" s="85" t="s">
        <v>275</v>
      </c>
    </row>
    <row r="12" spans="2:12" ht="30" x14ac:dyDescent="0.25">
      <c r="B12" s="44" t="s">
        <v>272</v>
      </c>
      <c r="C12" s="122" t="s">
        <v>383</v>
      </c>
      <c r="D12" s="85" t="s">
        <v>277</v>
      </c>
      <c r="E12" s="85" t="s">
        <v>350</v>
      </c>
    </row>
    <row r="13" spans="2:12" ht="30" x14ac:dyDescent="0.25">
      <c r="B13" s="44" t="s">
        <v>273</v>
      </c>
      <c r="C13" s="122" t="s">
        <v>384</v>
      </c>
      <c r="D13" s="85" t="s">
        <v>277</v>
      </c>
      <c r="E13" s="85"/>
    </row>
    <row r="14" spans="2:12" ht="30" x14ac:dyDescent="0.25">
      <c r="B14" s="44" t="s">
        <v>274</v>
      </c>
      <c r="C14" s="122" t="s">
        <v>385</v>
      </c>
      <c r="D14" s="85" t="s">
        <v>277</v>
      </c>
      <c r="E14" s="85"/>
    </row>
    <row r="15" spans="2:12" ht="30" x14ac:dyDescent="0.25">
      <c r="B15" s="44" t="s">
        <v>203</v>
      </c>
      <c r="C15" s="122" t="s">
        <v>386</v>
      </c>
      <c r="D15" s="85" t="s">
        <v>277</v>
      </c>
      <c r="E15" s="85"/>
    </row>
    <row r="17" spans="2:6" x14ac:dyDescent="0.25">
      <c r="B17" s="85" t="s">
        <v>278</v>
      </c>
    </row>
    <row r="18" spans="2:6" x14ac:dyDescent="0.25">
      <c r="B18" s="44" t="s">
        <v>192</v>
      </c>
      <c r="C18" s="86" t="s">
        <v>295</v>
      </c>
      <c r="D18" s="85" t="s">
        <v>294</v>
      </c>
    </row>
    <row r="19" spans="2:6" x14ac:dyDescent="0.25">
      <c r="B19" s="85"/>
      <c r="C19" s="1" t="s">
        <v>286</v>
      </c>
      <c r="D19" s="44" t="s">
        <v>285</v>
      </c>
      <c r="E19" s="88"/>
    </row>
    <row r="20" spans="2:6" x14ac:dyDescent="0.25">
      <c r="B20" s="44" t="s">
        <v>188</v>
      </c>
      <c r="C20" s="86" t="s">
        <v>287</v>
      </c>
      <c r="D20" s="87" t="s">
        <v>311</v>
      </c>
    </row>
    <row r="21" spans="2:6" x14ac:dyDescent="0.25">
      <c r="B21" s="44" t="s">
        <v>307</v>
      </c>
      <c r="C21" s="86" t="s">
        <v>281</v>
      </c>
      <c r="D21" s="87" t="s">
        <v>275</v>
      </c>
    </row>
    <row r="22" spans="2:6" x14ac:dyDescent="0.25">
      <c r="B22" s="44" t="s">
        <v>187</v>
      </c>
      <c r="C22" s="86" t="s">
        <v>288</v>
      </c>
      <c r="D22" s="44"/>
    </row>
    <row r="23" spans="2:6" x14ac:dyDescent="0.25">
      <c r="B23" s="44" t="s">
        <v>189</v>
      </c>
      <c r="C23" s="86" t="s">
        <v>289</v>
      </c>
      <c r="D23" s="44"/>
      <c r="E23" s="85" t="s">
        <v>319</v>
      </c>
    </row>
    <row r="24" spans="2:6" x14ac:dyDescent="0.25">
      <c r="B24" s="44" t="s">
        <v>190</v>
      </c>
      <c r="C24" s="86" t="s">
        <v>290</v>
      </c>
      <c r="D24" s="44"/>
    </row>
    <row r="25" spans="2:6" x14ac:dyDescent="0.25">
      <c r="B25" s="44" t="s">
        <v>191</v>
      </c>
      <c r="C25" s="86" t="s">
        <v>282</v>
      </c>
      <c r="D25" s="87" t="s">
        <v>277</v>
      </c>
    </row>
    <row r="26" spans="2:6" x14ac:dyDescent="0.25">
      <c r="B26" s="44" t="s">
        <v>193</v>
      </c>
      <c r="C26" s="85" t="s">
        <v>284</v>
      </c>
      <c r="F26" s="85"/>
    </row>
    <row r="27" spans="2:6" x14ac:dyDescent="0.25">
      <c r="B27" s="44" t="s">
        <v>199</v>
      </c>
      <c r="C27" s="86" t="s">
        <v>302</v>
      </c>
      <c r="D27" s="44"/>
    </row>
    <row r="28" spans="2:6" x14ac:dyDescent="0.25">
      <c r="B28" s="44" t="s">
        <v>202</v>
      </c>
      <c r="C28" s="86" t="s">
        <v>303</v>
      </c>
      <c r="D28" s="44"/>
    </row>
    <row r="29" spans="2:6" x14ac:dyDescent="0.25">
      <c r="B29" s="44" t="s">
        <v>280</v>
      </c>
      <c r="C29" s="86" t="s">
        <v>304</v>
      </c>
      <c r="D29" s="44"/>
    </row>
    <row r="30" spans="2:6" x14ac:dyDescent="0.25">
      <c r="B30" s="44" t="s">
        <v>200</v>
      </c>
      <c r="C30" s="86" t="s">
        <v>305</v>
      </c>
      <c r="D30" s="44"/>
    </row>
    <row r="31" spans="2:6" x14ac:dyDescent="0.25">
      <c r="B31" s="44" t="s">
        <v>312</v>
      </c>
      <c r="C31" s="86" t="s">
        <v>283</v>
      </c>
      <c r="D31" s="87" t="s">
        <v>277</v>
      </c>
    </row>
    <row r="32" spans="2:6" x14ac:dyDescent="0.25">
      <c r="B32" s="44" t="s">
        <v>203</v>
      </c>
      <c r="C32" s="86" t="s">
        <v>306</v>
      </c>
      <c r="D32" s="44"/>
    </row>
    <row r="34" spans="2:4" ht="53.25" customHeight="1" x14ac:dyDescent="0.25">
      <c r="B34" s="123" t="s">
        <v>298</v>
      </c>
      <c r="C34" s="123"/>
      <c r="D34" s="123"/>
    </row>
    <row r="36" spans="2:4" ht="67.5" customHeight="1" x14ac:dyDescent="0.25">
      <c r="B36" s="123" t="s">
        <v>299</v>
      </c>
      <c r="C36" s="123"/>
      <c r="D36" s="123"/>
    </row>
    <row r="38" spans="2:4" x14ac:dyDescent="0.25">
      <c r="B38" s="44" t="s">
        <v>207</v>
      </c>
      <c r="C38" s="86" t="s">
        <v>301</v>
      </c>
      <c r="D38" s="85" t="s">
        <v>300</v>
      </c>
    </row>
    <row r="39" spans="2:4" x14ac:dyDescent="0.25">
      <c r="B39" s="44" t="s">
        <v>330</v>
      </c>
      <c r="C39" s="86" t="s">
        <v>308</v>
      </c>
      <c r="D39" s="85" t="s">
        <v>310</v>
      </c>
    </row>
    <row r="40" spans="2:4" x14ac:dyDescent="0.25">
      <c r="B40" s="44" t="s">
        <v>329</v>
      </c>
      <c r="C40" s="86" t="s">
        <v>309</v>
      </c>
      <c r="D40" s="85" t="s">
        <v>310</v>
      </c>
    </row>
    <row r="42" spans="2:4" x14ac:dyDescent="0.25">
      <c r="B42" s="44" t="s">
        <v>318</v>
      </c>
    </row>
    <row r="43" spans="2:4" x14ac:dyDescent="0.25">
      <c r="B43" s="89" t="s">
        <v>317</v>
      </c>
      <c r="C43" s="1"/>
    </row>
    <row r="44" spans="2:4" x14ac:dyDescent="0.25">
      <c r="B44" s="44" t="s">
        <v>202</v>
      </c>
      <c r="C44" s="2" t="s">
        <v>313</v>
      </c>
    </row>
    <row r="45" spans="2:4" x14ac:dyDescent="0.25">
      <c r="B45" s="44" t="s">
        <v>280</v>
      </c>
      <c r="C45" s="2" t="s">
        <v>314</v>
      </c>
    </row>
    <row r="46" spans="2:4" x14ac:dyDescent="0.25">
      <c r="B46" s="44" t="s">
        <v>312</v>
      </c>
      <c r="C46" s="2" t="s">
        <v>315</v>
      </c>
    </row>
    <row r="47" spans="2:4" x14ac:dyDescent="0.25">
      <c r="B47" s="44" t="s">
        <v>203</v>
      </c>
      <c r="C47" s="2" t="s">
        <v>316</v>
      </c>
    </row>
    <row r="49" spans="2:4" ht="83.25" customHeight="1" x14ac:dyDescent="0.25">
      <c r="B49" s="123" t="s">
        <v>320</v>
      </c>
      <c r="C49" s="123"/>
      <c r="D49" s="123"/>
    </row>
    <row r="51" spans="2:4" x14ac:dyDescent="0.25">
      <c r="B51" s="85" t="s">
        <v>323</v>
      </c>
    </row>
    <row r="52" spans="2:4" x14ac:dyDescent="0.25">
      <c r="B52" s="89" t="s">
        <v>114</v>
      </c>
      <c r="C52" s="85" t="s">
        <v>284</v>
      </c>
    </row>
    <row r="53" spans="2:4" x14ac:dyDescent="0.25">
      <c r="B53" s="44" t="s">
        <v>324</v>
      </c>
      <c r="C53" s="44" t="s">
        <v>326</v>
      </c>
      <c r="D53" s="85" t="s">
        <v>328</v>
      </c>
    </row>
    <row r="54" spans="2:4" x14ac:dyDescent="0.25">
      <c r="B54" s="44" t="s">
        <v>325</v>
      </c>
      <c r="C54" s="44" t="s">
        <v>327</v>
      </c>
      <c r="D54" s="85" t="s">
        <v>328</v>
      </c>
    </row>
    <row r="55" spans="2:4" x14ac:dyDescent="0.25">
      <c r="B55" s="89" t="s">
        <v>331</v>
      </c>
      <c r="C55" s="85" t="s">
        <v>284</v>
      </c>
    </row>
    <row r="56" spans="2:4" x14ac:dyDescent="0.25">
      <c r="B56" s="44" t="s">
        <v>332</v>
      </c>
      <c r="C56" s="44" t="s">
        <v>333</v>
      </c>
      <c r="D56" s="85" t="s">
        <v>328</v>
      </c>
    </row>
    <row r="57" spans="2:4" x14ac:dyDescent="0.25">
      <c r="B57" s="89" t="s">
        <v>94</v>
      </c>
      <c r="C57" s="85" t="s">
        <v>284</v>
      </c>
    </row>
    <row r="58" spans="2:4" x14ac:dyDescent="0.25">
      <c r="B58" s="44" t="s">
        <v>186</v>
      </c>
      <c r="C58" s="44" t="s">
        <v>334</v>
      </c>
      <c r="D58" s="85" t="s">
        <v>328</v>
      </c>
    </row>
    <row r="60" spans="2:4" x14ac:dyDescent="0.25">
      <c r="B60" s="44" t="s">
        <v>335</v>
      </c>
    </row>
    <row r="62" spans="2:4" ht="56.25" customHeight="1" x14ac:dyDescent="0.25">
      <c r="B62" s="123" t="s">
        <v>336</v>
      </c>
      <c r="C62" s="123"/>
      <c r="D62" s="123"/>
    </row>
    <row r="64" spans="2:4" x14ac:dyDescent="0.25">
      <c r="B64" s="85" t="s">
        <v>337</v>
      </c>
    </row>
    <row r="65" spans="2:4" x14ac:dyDescent="0.25">
      <c r="B65" s="44" t="s">
        <v>339</v>
      </c>
      <c r="C65" s="44" t="s">
        <v>341</v>
      </c>
      <c r="D65" s="85" t="s">
        <v>296</v>
      </c>
    </row>
    <row r="66" spans="2:4" x14ac:dyDescent="0.25">
      <c r="B66" s="44" t="s">
        <v>338</v>
      </c>
      <c r="C66" s="44" t="s">
        <v>342</v>
      </c>
      <c r="D66" s="85" t="s">
        <v>296</v>
      </c>
    </row>
    <row r="67" spans="2:4" x14ac:dyDescent="0.25">
      <c r="B67" s="44" t="s">
        <v>340</v>
      </c>
      <c r="C67" s="44" t="s">
        <v>343</v>
      </c>
      <c r="D67" s="85" t="s">
        <v>296</v>
      </c>
    </row>
    <row r="69" spans="2:4" x14ac:dyDescent="0.25">
      <c r="B69" s="85" t="s">
        <v>344</v>
      </c>
    </row>
    <row r="70" spans="2:4" x14ac:dyDescent="0.25">
      <c r="B70" s="90" t="s">
        <v>348</v>
      </c>
    </row>
    <row r="71" spans="2:4" x14ac:dyDescent="0.25">
      <c r="B71" s="44" t="s">
        <v>345</v>
      </c>
      <c r="C71" s="44"/>
      <c r="D71" s="85" t="s">
        <v>296</v>
      </c>
    </row>
    <row r="72" spans="2:4" x14ac:dyDescent="0.25">
      <c r="B72" s="44" t="s">
        <v>346</v>
      </c>
      <c r="C72" s="44"/>
      <c r="D72" s="85" t="s">
        <v>296</v>
      </c>
    </row>
    <row r="73" spans="2:4" x14ac:dyDescent="0.25">
      <c r="B73" s="44" t="s">
        <v>347</v>
      </c>
      <c r="C73" s="44"/>
      <c r="D73" s="85" t="s">
        <v>296</v>
      </c>
    </row>
    <row r="74" spans="2:4" x14ac:dyDescent="0.25">
      <c r="B74" s="44" t="s">
        <v>349</v>
      </c>
      <c r="C74" s="44"/>
      <c r="D74" s="85" t="s">
        <v>296</v>
      </c>
    </row>
  </sheetData>
  <mergeCells count="4">
    <mergeCell ref="B34:D34"/>
    <mergeCell ref="B36:D36"/>
    <mergeCell ref="B49:D49"/>
    <mergeCell ref="B62:D62"/>
  </mergeCells>
  <dataValidations count="1">
    <dataValidation type="list" allowBlank="1" showInputMessage="1" showErrorMessage="1" sqref="B8" xr:uid="{00000000-0002-0000-0000-000000000000}">
      <formula1>$L$8:$L$9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I24"/>
  <sheetViews>
    <sheetView zoomScale="90" zoomScaleNormal="90" workbookViewId="0">
      <selection activeCell="B24" sqref="B24"/>
    </sheetView>
  </sheetViews>
  <sheetFormatPr defaultColWidth="9.140625" defaultRowHeight="15" x14ac:dyDescent="0.25"/>
  <cols>
    <col min="1" max="1" width="9.140625" style="1"/>
    <col min="2" max="2" width="33.28515625" style="1" customWidth="1"/>
    <col min="3" max="3" width="17" style="1" bestFit="1" customWidth="1"/>
    <col min="4" max="7" width="9.140625" style="1"/>
    <col min="8" max="9" width="14.7109375" style="1" bestFit="1" customWidth="1"/>
    <col min="10" max="16384" width="9.140625" style="1"/>
  </cols>
  <sheetData>
    <row r="2" spans="2:9" ht="36.75" customHeight="1" x14ac:dyDescent="0.25">
      <c r="B2" s="73" t="s">
        <v>187</v>
      </c>
      <c r="C2" s="77" t="s">
        <v>247</v>
      </c>
      <c r="D2" s="73" t="s">
        <v>4</v>
      </c>
      <c r="E2" s="73" t="s">
        <v>266</v>
      </c>
      <c r="F2" s="73" t="s">
        <v>6</v>
      </c>
      <c r="G2" s="73" t="s">
        <v>8</v>
      </c>
      <c r="H2" s="77" t="s">
        <v>33</v>
      </c>
      <c r="I2" s="77" t="s">
        <v>267</v>
      </c>
    </row>
    <row r="3" spans="2:9" x14ac:dyDescent="0.25">
      <c r="B3" s="73" t="s">
        <v>248</v>
      </c>
      <c r="C3" s="78">
        <v>1</v>
      </c>
      <c r="D3" s="76">
        <v>43</v>
      </c>
      <c r="E3" s="76">
        <v>2</v>
      </c>
      <c r="F3" s="75">
        <v>2</v>
      </c>
      <c r="G3" s="76">
        <v>50000</v>
      </c>
      <c r="H3" s="116">
        <v>1</v>
      </c>
      <c r="I3" s="116" t="s">
        <v>237</v>
      </c>
    </row>
    <row r="4" spans="2:9" x14ac:dyDescent="0.25">
      <c r="B4" s="73" t="s">
        <v>249</v>
      </c>
      <c r="C4" s="78">
        <v>6</v>
      </c>
      <c r="D4" s="76">
        <v>35</v>
      </c>
      <c r="E4" s="76">
        <v>1</v>
      </c>
      <c r="F4" s="75">
        <v>1.85</v>
      </c>
      <c r="G4" s="76">
        <v>30000</v>
      </c>
      <c r="H4" s="116">
        <v>1</v>
      </c>
      <c r="I4" s="116" t="s">
        <v>240</v>
      </c>
    </row>
    <row r="5" spans="2:9" x14ac:dyDescent="0.25">
      <c r="B5" s="73" t="s">
        <v>250</v>
      </c>
      <c r="C5" s="78">
        <v>7</v>
      </c>
      <c r="D5" s="76">
        <v>38</v>
      </c>
      <c r="E5" s="76">
        <v>6</v>
      </c>
      <c r="F5" s="75">
        <v>1.85</v>
      </c>
      <c r="G5" s="76">
        <v>48000</v>
      </c>
      <c r="H5" s="116">
        <v>1</v>
      </c>
      <c r="I5" s="116" t="s">
        <v>237</v>
      </c>
    </row>
    <row r="6" spans="2:9" x14ac:dyDescent="0.25">
      <c r="B6" s="73" t="s">
        <v>251</v>
      </c>
      <c r="C6" s="78">
        <v>10</v>
      </c>
      <c r="D6" s="76">
        <v>28</v>
      </c>
      <c r="E6" s="76">
        <v>0</v>
      </c>
      <c r="F6" s="75">
        <v>1.8</v>
      </c>
      <c r="G6" s="76">
        <v>18000</v>
      </c>
      <c r="H6" s="116">
        <v>1</v>
      </c>
      <c r="I6" s="116" t="s">
        <v>241</v>
      </c>
    </row>
    <row r="7" spans="2:9" x14ac:dyDescent="0.25">
      <c r="B7" s="73" t="s">
        <v>252</v>
      </c>
      <c r="C7" s="78">
        <v>11</v>
      </c>
      <c r="D7" s="76">
        <v>36</v>
      </c>
      <c r="E7" s="76">
        <v>8</v>
      </c>
      <c r="F7" s="75">
        <v>1.8</v>
      </c>
      <c r="G7" s="76">
        <v>39000</v>
      </c>
      <c r="H7" s="116">
        <v>1</v>
      </c>
      <c r="I7" s="116" t="s">
        <v>237</v>
      </c>
    </row>
    <row r="8" spans="2:9" x14ac:dyDescent="0.25">
      <c r="B8" s="73" t="s">
        <v>253</v>
      </c>
      <c r="C8" s="78">
        <v>14</v>
      </c>
      <c r="D8" s="76">
        <v>26</v>
      </c>
      <c r="E8" s="76">
        <v>2</v>
      </c>
      <c r="F8" s="75">
        <v>1.75</v>
      </c>
      <c r="G8" s="76">
        <v>11000</v>
      </c>
      <c r="H8" s="116">
        <v>1</v>
      </c>
      <c r="I8" s="116" t="s">
        <v>241</v>
      </c>
    </row>
    <row r="9" spans="2:9" x14ac:dyDescent="0.25">
      <c r="B9" s="73" t="s">
        <v>254</v>
      </c>
      <c r="C9" s="78">
        <v>15</v>
      </c>
      <c r="D9" s="76">
        <v>30</v>
      </c>
      <c r="E9" s="76">
        <v>21</v>
      </c>
      <c r="F9" s="75">
        <v>2</v>
      </c>
      <c r="G9" s="76">
        <v>32000</v>
      </c>
      <c r="H9" s="116">
        <v>0</v>
      </c>
      <c r="I9" s="116" t="s">
        <v>237</v>
      </c>
    </row>
    <row r="10" spans="2:9" x14ac:dyDescent="0.25">
      <c r="B10" s="73" t="s">
        <v>255</v>
      </c>
      <c r="C10" s="78">
        <v>17</v>
      </c>
      <c r="D10" s="76">
        <v>27</v>
      </c>
      <c r="E10" s="76">
        <v>15</v>
      </c>
      <c r="F10" s="75">
        <v>1.9</v>
      </c>
      <c r="G10" s="76">
        <v>16000</v>
      </c>
      <c r="H10" s="116" t="s">
        <v>242</v>
      </c>
      <c r="I10" s="116" t="s">
        <v>240</v>
      </c>
    </row>
    <row r="11" spans="2:9" x14ac:dyDescent="0.25">
      <c r="B11" s="73" t="s">
        <v>256</v>
      </c>
      <c r="C11" s="78">
        <v>23</v>
      </c>
      <c r="D11" s="76">
        <v>18</v>
      </c>
      <c r="E11" s="76">
        <v>9</v>
      </c>
      <c r="F11" s="75">
        <v>1.7</v>
      </c>
      <c r="G11" s="76">
        <v>9000</v>
      </c>
      <c r="H11" s="116">
        <v>1</v>
      </c>
      <c r="I11" s="116" t="s">
        <v>243</v>
      </c>
    </row>
    <row r="12" spans="2:9" x14ac:dyDescent="0.25">
      <c r="B12" s="73" t="s">
        <v>257</v>
      </c>
      <c r="C12" s="78">
        <v>24</v>
      </c>
      <c r="D12" s="76">
        <v>26</v>
      </c>
      <c r="E12" s="76">
        <v>47</v>
      </c>
      <c r="F12" s="75">
        <v>2</v>
      </c>
      <c r="G12" s="76">
        <v>34000</v>
      </c>
      <c r="H12" s="116">
        <v>0</v>
      </c>
      <c r="I12" s="116" t="s">
        <v>237</v>
      </c>
    </row>
    <row r="13" spans="2:9" x14ac:dyDescent="0.25">
      <c r="B13" s="73" t="s">
        <v>258</v>
      </c>
      <c r="C13" s="78">
        <v>26</v>
      </c>
      <c r="D13" s="76">
        <v>24</v>
      </c>
      <c r="E13" s="76">
        <v>31</v>
      </c>
      <c r="F13" s="75">
        <v>1.9</v>
      </c>
      <c r="G13" s="76">
        <v>22000</v>
      </c>
      <c r="H13" s="116" t="s">
        <v>238</v>
      </c>
      <c r="I13" s="116" t="s">
        <v>240</v>
      </c>
    </row>
    <row r="14" spans="2:9" x14ac:dyDescent="0.25">
      <c r="B14" s="73" t="s">
        <v>259</v>
      </c>
      <c r="C14" s="78">
        <v>34</v>
      </c>
      <c r="D14" s="76">
        <v>19</v>
      </c>
      <c r="E14" s="76">
        <v>18</v>
      </c>
      <c r="F14" s="75">
        <v>1.8</v>
      </c>
      <c r="G14" s="76">
        <v>11000</v>
      </c>
      <c r="H14" s="116" t="s">
        <v>245</v>
      </c>
      <c r="I14" s="116" t="s">
        <v>243</v>
      </c>
    </row>
    <row r="15" spans="2:9" x14ac:dyDescent="0.25">
      <c r="B15" s="73" t="s">
        <v>260</v>
      </c>
      <c r="C15" s="78">
        <v>40</v>
      </c>
      <c r="D15" s="76">
        <v>12</v>
      </c>
      <c r="E15" s="76">
        <v>12</v>
      </c>
      <c r="F15" s="75">
        <v>1.75</v>
      </c>
      <c r="G15" s="76">
        <v>5000</v>
      </c>
      <c r="H15" s="116" t="s">
        <v>241</v>
      </c>
      <c r="I15" s="116" t="s">
        <v>246</v>
      </c>
    </row>
    <row r="16" spans="2:9" x14ac:dyDescent="0.25">
      <c r="B16" s="73" t="s">
        <v>261</v>
      </c>
      <c r="C16" s="78">
        <v>41</v>
      </c>
      <c r="D16" s="76">
        <v>21</v>
      </c>
      <c r="E16" s="76">
        <v>81</v>
      </c>
      <c r="F16" s="75">
        <v>1.8</v>
      </c>
      <c r="G16" s="76">
        <v>28000</v>
      </c>
      <c r="H16" s="116" t="s">
        <v>242</v>
      </c>
      <c r="I16" s="116" t="s">
        <v>239</v>
      </c>
    </row>
    <row r="17" spans="2:9" x14ac:dyDescent="0.25">
      <c r="B17" s="73" t="s">
        <v>262</v>
      </c>
      <c r="C17" s="78">
        <v>43</v>
      </c>
      <c r="D17" s="76">
        <v>19</v>
      </c>
      <c r="E17" s="76">
        <v>54</v>
      </c>
      <c r="F17" s="75">
        <v>1.8</v>
      </c>
      <c r="G17" s="76">
        <v>21000</v>
      </c>
      <c r="H17" s="116">
        <v>0.25</v>
      </c>
      <c r="I17" s="116">
        <v>0.75</v>
      </c>
    </row>
    <row r="18" spans="2:9" x14ac:dyDescent="0.25">
      <c r="B18" s="73" t="s">
        <v>263</v>
      </c>
      <c r="C18" s="78">
        <v>50</v>
      </c>
      <c r="D18" s="76">
        <v>14</v>
      </c>
      <c r="E18" s="76">
        <v>37</v>
      </c>
      <c r="F18" s="75">
        <v>1.7</v>
      </c>
      <c r="G18" s="76">
        <v>12000</v>
      </c>
      <c r="H18" s="116" t="s">
        <v>245</v>
      </c>
      <c r="I18" s="116" t="s">
        <v>244</v>
      </c>
    </row>
    <row r="19" spans="2:9" x14ac:dyDescent="0.25">
      <c r="B19" s="73" t="s">
        <v>264</v>
      </c>
      <c r="C19" s="78">
        <v>56</v>
      </c>
      <c r="D19" s="76">
        <v>7</v>
      </c>
      <c r="E19" s="76">
        <v>29</v>
      </c>
      <c r="F19" s="75">
        <v>1.65</v>
      </c>
      <c r="G19" s="76">
        <v>7000</v>
      </c>
      <c r="H19" s="116" t="s">
        <v>241</v>
      </c>
      <c r="I19" s="116" t="s">
        <v>246</v>
      </c>
    </row>
    <row r="20" spans="2:9" x14ac:dyDescent="0.25">
      <c r="C20" s="1" t="s">
        <v>265</v>
      </c>
      <c r="H20" s="1" t="s">
        <v>265</v>
      </c>
      <c r="I20" s="1" t="s">
        <v>265</v>
      </c>
    </row>
    <row r="21" spans="2:9" x14ac:dyDescent="0.25">
      <c r="B21" s="74"/>
    </row>
    <row r="22" spans="2:9" ht="15.75" thickBot="1" x14ac:dyDescent="0.3">
      <c r="B22" s="74"/>
    </row>
    <row r="23" spans="2:9" x14ac:dyDescent="0.25">
      <c r="B23" s="79" t="s">
        <v>268</v>
      </c>
      <c r="C23" s="80"/>
      <c r="D23" s="81" t="s">
        <v>4</v>
      </c>
      <c r="E23" s="81" t="s">
        <v>266</v>
      </c>
      <c r="F23" s="81" t="s">
        <v>6</v>
      </c>
      <c r="G23" s="82" t="s">
        <v>8</v>
      </c>
    </row>
    <row r="24" spans="2:9" ht="15.75" thickBot="1" x14ac:dyDescent="0.3">
      <c r="B24" s="83" t="s">
        <v>252</v>
      </c>
      <c r="C24" s="84">
        <f>MATCH(B24,B3:B19,0)</f>
        <v>5</v>
      </c>
      <c r="D24" s="114">
        <f ca="1">OFFSET($B$2,$C$24,2)</f>
        <v>36</v>
      </c>
      <c r="E24" s="117">
        <f ca="1">OFFSET($B$2,$C$24,3)</f>
        <v>8</v>
      </c>
      <c r="F24" s="113">
        <f ca="1">OFFSET($B$2,$C$24,4)</f>
        <v>1.8</v>
      </c>
      <c r="G24" s="115">
        <f ca="1">OFFSET($B$2,$C$24,5)</f>
        <v>39000</v>
      </c>
    </row>
  </sheetData>
  <dataValidations count="1">
    <dataValidation type="list" allowBlank="1" showInputMessage="1" showErrorMessage="1" sqref="B24" xr:uid="{00000000-0002-0000-0100-000000000000}">
      <formula1>$B$3:$B$19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Q30"/>
  <sheetViews>
    <sheetView zoomScale="80" zoomScaleNormal="80" workbookViewId="0">
      <selection activeCell="E7" sqref="E7"/>
    </sheetView>
  </sheetViews>
  <sheetFormatPr defaultColWidth="9.140625" defaultRowHeight="15" x14ac:dyDescent="0.25"/>
  <cols>
    <col min="1" max="1" width="9.140625" style="1"/>
    <col min="2" max="2" width="35.28515625" style="1" customWidth="1"/>
    <col min="3" max="3" width="41.140625" style="1" customWidth="1"/>
    <col min="4" max="4" width="18" style="1" customWidth="1"/>
    <col min="5" max="5" width="19.7109375" style="1" customWidth="1"/>
    <col min="6" max="6" width="22.28515625" style="1" customWidth="1"/>
    <col min="7" max="7" width="19" style="1" customWidth="1"/>
    <col min="8" max="8" width="20" style="1" customWidth="1"/>
    <col min="9" max="9" width="9.140625" style="1" customWidth="1"/>
    <col min="10" max="10" width="28.5703125" style="1" customWidth="1"/>
    <col min="11" max="11" width="28.85546875" style="1" bestFit="1" customWidth="1"/>
    <col min="12" max="12" width="9.140625" style="1"/>
    <col min="13" max="13" width="10.42578125" style="1" bestFit="1" customWidth="1"/>
    <col min="14" max="14" width="16.85546875" style="1" bestFit="1" customWidth="1"/>
    <col min="15" max="15" width="9.140625" style="1"/>
    <col min="16" max="16" width="16.85546875" style="1" bestFit="1" customWidth="1"/>
    <col min="17" max="17" width="16.140625" style="1" bestFit="1" customWidth="1"/>
    <col min="18" max="16384" width="9.140625" style="1"/>
  </cols>
  <sheetData>
    <row r="2" spans="2:17" x14ac:dyDescent="0.25">
      <c r="B2" s="2" t="s">
        <v>216</v>
      </c>
    </row>
    <row r="3" spans="2:17" x14ac:dyDescent="0.25">
      <c r="B3" s="9">
        <f>'Расчет массы фланца'!C5/1000</f>
        <v>10</v>
      </c>
    </row>
    <row r="5" spans="2:17" x14ac:dyDescent="0.25">
      <c r="B5" s="33"/>
      <c r="C5" s="33" t="s">
        <v>197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M5" s="2" t="s">
        <v>205</v>
      </c>
      <c r="N5" s="2" t="s">
        <v>206</v>
      </c>
      <c r="P5" s="2" t="s">
        <v>207</v>
      </c>
      <c r="Q5" s="2" t="s">
        <v>208</v>
      </c>
    </row>
    <row r="6" spans="2:17" x14ac:dyDescent="0.25">
      <c r="B6" s="33" t="s">
        <v>188</v>
      </c>
      <c r="C6" s="33"/>
      <c r="D6" s="2" t="s">
        <v>194</v>
      </c>
      <c r="E6" s="2">
        <v>0</v>
      </c>
      <c r="F6" s="2">
        <v>0</v>
      </c>
      <c r="G6" s="2">
        <v>0</v>
      </c>
      <c r="H6" s="2">
        <v>0</v>
      </c>
      <c r="M6" s="2" t="s">
        <v>212</v>
      </c>
      <c r="N6" s="2">
        <v>1</v>
      </c>
      <c r="P6" s="2" t="s">
        <v>209</v>
      </c>
      <c r="Q6" s="2">
        <v>1</v>
      </c>
    </row>
    <row r="7" spans="2:17" x14ac:dyDescent="0.25">
      <c r="B7" s="33" t="s">
        <v>218</v>
      </c>
      <c r="C7" s="33"/>
      <c r="D7" s="2" t="s">
        <v>212</v>
      </c>
      <c r="E7" s="2" t="s">
        <v>213</v>
      </c>
      <c r="F7" s="2" t="s">
        <v>227</v>
      </c>
      <c r="G7" s="2" t="s">
        <v>227</v>
      </c>
      <c r="H7" s="2" t="s">
        <v>227</v>
      </c>
      <c r="M7" s="2" t="s">
        <v>196</v>
      </c>
      <c r="N7" s="2">
        <v>1.2</v>
      </c>
      <c r="P7" s="2" t="s">
        <v>210</v>
      </c>
      <c r="Q7" s="2">
        <v>1.3</v>
      </c>
    </row>
    <row r="8" spans="2:17" s="32" customFormat="1" ht="15" customHeight="1" x14ac:dyDescent="0.25">
      <c r="B8" s="33" t="s">
        <v>187</v>
      </c>
      <c r="C8" s="33" t="s">
        <v>204</v>
      </c>
      <c r="D8" s="33" t="s">
        <v>377</v>
      </c>
      <c r="E8" s="33" t="s">
        <v>205</v>
      </c>
      <c r="F8" s="33" t="s">
        <v>205</v>
      </c>
      <c r="G8" s="33" t="s">
        <v>205</v>
      </c>
      <c r="H8" s="33" t="s">
        <v>205</v>
      </c>
      <c r="M8" s="33" t="s">
        <v>213</v>
      </c>
      <c r="N8" s="33">
        <v>1.25</v>
      </c>
      <c r="P8" s="33" t="s">
        <v>211</v>
      </c>
      <c r="Q8" s="33">
        <v>1.3</v>
      </c>
    </row>
    <row r="9" spans="2:17" x14ac:dyDescent="0.25">
      <c r="B9" s="33" t="s">
        <v>189</v>
      </c>
      <c r="C9" s="33"/>
      <c r="D9" s="9">
        <v>0</v>
      </c>
      <c r="E9" s="9">
        <v>5</v>
      </c>
      <c r="F9" s="9">
        <v>0</v>
      </c>
      <c r="G9" s="9">
        <v>0</v>
      </c>
      <c r="H9" s="9">
        <v>0</v>
      </c>
      <c r="M9" s="2" t="s">
        <v>195</v>
      </c>
      <c r="N9" s="2">
        <v>1.3</v>
      </c>
    </row>
    <row r="10" spans="2:17" x14ac:dyDescent="0.25">
      <c r="B10" s="33" t="s">
        <v>190</v>
      </c>
      <c r="C10" s="33"/>
      <c r="D10" s="9">
        <v>5</v>
      </c>
      <c r="E10" s="9">
        <v>15</v>
      </c>
      <c r="F10" s="9">
        <v>0</v>
      </c>
      <c r="G10" s="9">
        <v>0</v>
      </c>
      <c r="H10" s="9">
        <v>0</v>
      </c>
      <c r="M10" s="2" t="s">
        <v>227</v>
      </c>
      <c r="N10" s="2">
        <v>0</v>
      </c>
    </row>
    <row r="11" spans="2:17" ht="30" x14ac:dyDescent="0.25">
      <c r="B11" s="33" t="s">
        <v>191</v>
      </c>
      <c r="C11" s="33"/>
      <c r="D11" s="62">
        <f>D10-D9</f>
        <v>5</v>
      </c>
      <c r="E11" s="62">
        <f>IF(E7="нет грунта","данный слой отсутствует",E10-E9)</f>
        <v>10</v>
      </c>
      <c r="F11" s="62" t="str">
        <f t="shared" ref="F11:G11" si="0">IF(F7="нет грунта","данный слой отсутствует",F10-F9)</f>
        <v>данный слой отсутствует</v>
      </c>
      <c r="G11" s="62" t="str">
        <f t="shared" si="0"/>
        <v>данный слой отсутствует</v>
      </c>
      <c r="H11" s="63" t="str">
        <f>IF(H7="нет грунта","данный слой отсутствует",H10-H9)</f>
        <v>данный слой отсутствует</v>
      </c>
    </row>
    <row r="12" spans="2:17" x14ac:dyDescent="0.25">
      <c r="B12" s="35" t="s">
        <v>193</v>
      </c>
      <c r="C12" s="36"/>
      <c r="D12" s="44"/>
      <c r="E12" s="44"/>
      <c r="F12" s="44"/>
      <c r="G12" s="44"/>
      <c r="H12" s="44"/>
      <c r="J12" s="124" t="s">
        <v>198</v>
      </c>
      <c r="K12" s="124"/>
    </row>
    <row r="13" spans="2:17" x14ac:dyDescent="0.25">
      <c r="B13" s="33" t="s">
        <v>199</v>
      </c>
      <c r="C13" s="33"/>
      <c r="D13" s="2">
        <v>0.56999999999999995</v>
      </c>
      <c r="E13" s="2">
        <v>0</v>
      </c>
      <c r="F13" s="2">
        <v>0</v>
      </c>
      <c r="G13" s="2">
        <v>0</v>
      </c>
      <c r="H13" s="2">
        <v>0</v>
      </c>
    </row>
    <row r="14" spans="2:17" x14ac:dyDescent="0.25">
      <c r="B14" s="2" t="s">
        <v>202</v>
      </c>
      <c r="C14" s="2"/>
      <c r="D14" s="2">
        <v>2</v>
      </c>
      <c r="E14" s="2">
        <v>0</v>
      </c>
      <c r="F14" s="2">
        <v>0</v>
      </c>
      <c r="G14" s="2">
        <v>0</v>
      </c>
      <c r="H14" s="2">
        <v>0</v>
      </c>
      <c r="J14" s="2" t="s">
        <v>1</v>
      </c>
      <c r="K14" s="40">
        <f>ROUND(IF($B$3&lt;=$D$10,
D14,
IF($B$3&lt;=$E$10,
(D14*$D$11+E14*($B$3-$E$9))/$B$3,
IF($B$3&lt;=$F$10,
(D14*$D$11+E14*$E$11+F14*($B$3-$F$9))/$B$3,
IF($B$3&lt;=$G$10,
(D14*$D$11+E14*$E$11+F14*$F$11+G14*($B$3-$G$9))/$B$3,
IF($B$3&lt;=$H$10,
(D14*$D$11+E14*$E$11+F14*$F$11+G14*$G$11+H14*($B$3-$H$9))/$B$3,
1))))),1)</f>
        <v>1</v>
      </c>
    </row>
    <row r="15" spans="2:17" x14ac:dyDescent="0.25">
      <c r="B15" s="2" t="s">
        <v>201</v>
      </c>
      <c r="C15" s="2"/>
      <c r="D15" s="2">
        <v>27</v>
      </c>
      <c r="E15" s="2">
        <v>0</v>
      </c>
      <c r="F15" s="2">
        <v>0</v>
      </c>
      <c r="G15" s="2">
        <v>0</v>
      </c>
      <c r="H15" s="2">
        <v>0</v>
      </c>
      <c r="J15" s="2" t="s">
        <v>3</v>
      </c>
      <c r="K15" s="40">
        <f>ROUND(IF($B$3&lt;=$D$10,
D15,
IF($B$3&lt;=$E$10,
(D15*$D$11+E15*($B$3-$E$9))/$B$3,
IF($B$3&lt;=$F$10,
(D15*$D$11+E15*$E$11+F15*($B$3-$F$9))/$B$3,
IF($B$3&lt;=$G$10,
(D15*$D$11+E15*$E$11+F15*$F$11+G15*($B$3-$G$9))/$B$3,
IF($B$3&lt;=$H$10,
(D15*$D$11+E15*$E$11+F15*$F$11+G15*$G$11+H15*($B$3-$H$9))/$B$3,
1))))),1)</f>
        <v>13.5</v>
      </c>
    </row>
    <row r="16" spans="2:17" x14ac:dyDescent="0.25">
      <c r="B16" s="2" t="s">
        <v>200</v>
      </c>
      <c r="C16" s="2"/>
      <c r="D16" s="9">
        <v>1.82</v>
      </c>
      <c r="E16" s="9">
        <v>0</v>
      </c>
      <c r="F16" s="9">
        <v>0</v>
      </c>
      <c r="G16" s="9">
        <v>0</v>
      </c>
      <c r="H16" s="9">
        <v>0</v>
      </c>
    </row>
    <row r="17" spans="2:11" x14ac:dyDescent="0.25">
      <c r="B17" s="16" t="s">
        <v>312</v>
      </c>
      <c r="C17" s="2"/>
      <c r="D17" s="34">
        <f>ROUND(IF($B$23&lt;$B$3,(2.72-1)/(1+D13)*($B$3-$B$23)/$B$3+D16*$B$23/$B$3,D16),2)</f>
        <v>1.46</v>
      </c>
      <c r="E17" s="34">
        <f>ROUND(IF($B$23&lt;$B$3,(2.72-1)/(1+E13)*($B$3-$B$23)/$B$3+E16*$B$23/$B$3,E16),2)</f>
        <v>0.86</v>
      </c>
      <c r="F17" s="34">
        <f>ROUND(IF($B$23&lt;$B$3,(2.72-1)/(1+F13)*($B$3-$B$23)/$B$3+F16*$B$23/$B$3,F16),2)</f>
        <v>0.86</v>
      </c>
      <c r="G17" s="34">
        <f>ROUND(IF($B$23&lt;$B$3,(2.72-1)/(1+G13)*($B$3-$B$23)/$B$3+G16*$B$23/$B$3,G16),2)</f>
        <v>0.86</v>
      </c>
      <c r="H17" s="34">
        <f>ROUND(IF($B$23&lt;$B$3,(2.72-1)/(1+H13)*($B$3-$B$23)/$B$3+H16*$B$23/$B$3,H16),2)</f>
        <v>0.86</v>
      </c>
      <c r="J17" s="2" t="s">
        <v>34</v>
      </c>
      <c r="K17" s="65">
        <f>ROUND(IF($B$3&lt;=$D$10,
D17,
IF($B$3&lt;=$E$10,
(D17*$D$11+E17*($B$3-$E$9))/$B$3,
IF($B$3&lt;=$F$10,
(D17*$D$11+E17*$E$11+F17*($B$3-$F$9))/$B$3,
IF($B$3&lt;=$G$10,
(D17*$D$11+E17*$E$11+F17*$F$11+G17*($B$3-$G$9))/$B$3,
IF($B$3&lt;=$H$10,
(D17*$D$11+E17*$E$11+F17*$F$11+G17*$G$11+H17*($B$3-$H$9))/$B$3,
1))))),2)</f>
        <v>1.1599999999999999</v>
      </c>
    </row>
    <row r="18" spans="2:11" x14ac:dyDescent="0.25">
      <c r="B18" s="2" t="s">
        <v>203</v>
      </c>
      <c r="C18" s="2"/>
      <c r="D18" s="2">
        <v>33000</v>
      </c>
      <c r="E18" s="2">
        <v>0</v>
      </c>
      <c r="F18" s="2">
        <v>0</v>
      </c>
      <c r="G18" s="2">
        <v>0</v>
      </c>
      <c r="H18" s="2">
        <v>0</v>
      </c>
      <c r="J18" s="2" t="s">
        <v>7</v>
      </c>
      <c r="K18" s="66">
        <f>ROUND(IF($B$3&lt;=$D$10,
D18,
IF($B$3&lt;=$E$10,
(D18*$D$11+E18*($B$3-$E$9))/$B$3,
IF($B$3&lt;=$F$10,
(D18*$D$11+E18*$E$11+F18*($B$3-$F$9))/$B$3,
IF($B$3&lt;=$G$10,
(D18*$D$11+E18*$E$11+F18*$F$11+G18*($B$3-$G$9))/$B$3,
IF($B$3&lt;=$H$10,
(D18*$D$11+E18*$E$11+F18*$F$11+G18*$G$11+H18*($B$3-$H$9))/$B$3,
1))))),0)</f>
        <v>16500</v>
      </c>
    </row>
    <row r="19" spans="2:11" x14ac:dyDescent="0.25">
      <c r="B19" s="62" t="s">
        <v>225</v>
      </c>
      <c r="C19" s="62" t="s">
        <v>226</v>
      </c>
      <c r="D19" s="62">
        <f>MATCH(D7,$M$6:$M$10,0)</f>
        <v>1</v>
      </c>
      <c r="E19" s="62">
        <f>MATCH(E7,$M$6:$M$10,0)</f>
        <v>3</v>
      </c>
      <c r="F19" s="62">
        <f>MATCH(F7,$M$6:$M$10,0)</f>
        <v>5</v>
      </c>
      <c r="G19" s="62">
        <f>MATCH(G7,$M$6:$M$10,0)</f>
        <v>5</v>
      </c>
      <c r="H19" s="62">
        <f>MATCH(H7,$M$6:$M$10,0)</f>
        <v>5</v>
      </c>
    </row>
    <row r="20" spans="2:11" x14ac:dyDescent="0.25">
      <c r="B20" s="62" t="s">
        <v>206</v>
      </c>
      <c r="C20" s="62"/>
      <c r="D20" s="63">
        <f ca="1">OFFSET($N$5,D19,0)</f>
        <v>1</v>
      </c>
      <c r="E20" s="63">
        <f ca="1">OFFSET($N$5,E19,0)</f>
        <v>1.25</v>
      </c>
      <c r="F20" s="63">
        <f ca="1">OFFSET($N$5,F19,0)</f>
        <v>0</v>
      </c>
      <c r="G20" s="63">
        <f ca="1">OFFSET($N$5,G19,0)</f>
        <v>0</v>
      </c>
      <c r="H20" s="63">
        <f ca="1">OFFSET($N$5,H19,0)</f>
        <v>0</v>
      </c>
    </row>
    <row r="22" spans="2:11" x14ac:dyDescent="0.25">
      <c r="B22" s="2" t="s">
        <v>192</v>
      </c>
    </row>
    <row r="23" spans="2:11" x14ac:dyDescent="0.25">
      <c r="B23" s="2">
        <v>5</v>
      </c>
    </row>
    <row r="25" spans="2:11" x14ac:dyDescent="0.25">
      <c r="B25" s="2" t="s">
        <v>217</v>
      </c>
      <c r="C25" s="2" t="s">
        <v>208</v>
      </c>
    </row>
    <row r="26" spans="2:11" x14ac:dyDescent="0.25">
      <c r="B26" s="2" t="s">
        <v>211</v>
      </c>
      <c r="C26" s="9">
        <f ca="1">OFFSET(Q5,B27,0)</f>
        <v>1.3</v>
      </c>
      <c r="K26" s="32"/>
    </row>
    <row r="27" spans="2:11" x14ac:dyDescent="0.25">
      <c r="B27" s="70">
        <f>MATCH(B26,P6:P8,0)</f>
        <v>3</v>
      </c>
      <c r="C27" s="2" t="s">
        <v>206</v>
      </c>
    </row>
    <row r="28" spans="2:11" x14ac:dyDescent="0.25">
      <c r="C28" s="69">
        <f ca="1">IF(B3&lt;=D10,
D20,
IF(B3&lt;=E10,
_xlfn.MINIFS(D20:E20,D20:E20,"&gt;0"),
IF(B3&lt;=F10,
_xlfn.MINIFS(D20:F20,D20:F20,"&gt;0"),
IF(B3&lt;=G10,
_xlfn.MINIFS(D20:G20,D20:G20,"&gt;0"),
IF(B3&lt;=H10,
_xlfn.MINIFS(D20:H20,D20:H20,"&gt;0"),
"0,00001")))))</f>
        <v>1</v>
      </c>
      <c r="D28" s="118"/>
    </row>
    <row r="30" spans="2:11" ht="270" x14ac:dyDescent="0.25">
      <c r="J30" s="64" t="s">
        <v>231</v>
      </c>
    </row>
  </sheetData>
  <mergeCells count="1">
    <mergeCell ref="J12:K12"/>
  </mergeCells>
  <dataValidations count="2">
    <dataValidation type="list" allowBlank="1" showInputMessage="1" showErrorMessage="1" sqref="D7:H7" xr:uid="{00000000-0002-0000-0200-000000000000}">
      <formula1>$M$6:$M$10</formula1>
    </dataValidation>
    <dataValidation type="list" allowBlank="1" showInputMessage="1" showErrorMessage="1" sqref="B26" xr:uid="{00000000-0002-0000-0200-000001000000}">
      <formula1>$P$6:$P$8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X111"/>
  <sheetViews>
    <sheetView topLeftCell="A82" zoomScale="80" zoomScaleNormal="80" workbookViewId="0">
      <selection activeCell="G100" sqref="G100"/>
    </sheetView>
  </sheetViews>
  <sheetFormatPr defaultColWidth="9.140625" defaultRowHeight="15" x14ac:dyDescent="0.25"/>
  <cols>
    <col min="1" max="1" width="11.28515625" style="42" customWidth="1"/>
    <col min="2" max="2" width="30.42578125" style="42" customWidth="1"/>
    <col min="3" max="3" width="10.7109375" style="42" customWidth="1"/>
    <col min="4" max="4" width="10.7109375" style="1" customWidth="1"/>
    <col min="5" max="5" width="43.5703125" style="38" customWidth="1"/>
    <col min="6" max="6" width="11.28515625" style="42" customWidth="1"/>
    <col min="7" max="7" width="28.7109375" style="42" customWidth="1"/>
    <col min="8" max="8" width="12.7109375" style="42" customWidth="1"/>
    <col min="9" max="11" width="10" style="42" customWidth="1"/>
    <col min="12" max="12" width="33.140625" style="42" bestFit="1" customWidth="1"/>
    <col min="13" max="13" width="12" style="42" customWidth="1"/>
    <col min="14" max="17" width="10.7109375" style="42" customWidth="1"/>
    <col min="18" max="18" width="59.140625" style="42" bestFit="1" customWidth="1"/>
    <col min="19" max="19" width="18.42578125" style="42" customWidth="1"/>
    <col min="20" max="20" width="10.7109375" style="42" customWidth="1"/>
    <col min="21" max="23" width="9.140625" style="42"/>
    <col min="24" max="24" width="17.7109375" style="42" bestFit="1" customWidth="1"/>
    <col min="25" max="16384" width="9.140625" style="42"/>
  </cols>
  <sheetData>
    <row r="1" spans="2:24" ht="26.25" x14ac:dyDescent="0.25">
      <c r="B1" s="126" t="s">
        <v>97</v>
      </c>
      <c r="C1" s="126"/>
      <c r="D1" s="126"/>
      <c r="G1" s="125" t="s">
        <v>98</v>
      </c>
      <c r="H1" s="125"/>
      <c r="I1" s="43"/>
      <c r="J1" s="43"/>
      <c r="K1" s="43"/>
      <c r="L1" s="128" t="s">
        <v>104</v>
      </c>
      <c r="M1" s="128"/>
      <c r="N1" s="1"/>
    </row>
    <row r="2" spans="2:24" x14ac:dyDescent="0.25">
      <c r="B2" s="18" t="s">
        <v>0</v>
      </c>
      <c r="C2" s="18"/>
      <c r="D2" s="16"/>
      <c r="G2" s="43"/>
      <c r="H2" s="43"/>
      <c r="I2" s="43"/>
      <c r="J2" s="43"/>
      <c r="K2" s="43"/>
      <c r="L2" s="15" t="s">
        <v>105</v>
      </c>
      <c r="M2" s="28">
        <f>I6*1000</f>
        <v>1670</v>
      </c>
      <c r="N2" s="1"/>
    </row>
    <row r="3" spans="2:24" x14ac:dyDescent="0.25">
      <c r="B3" s="16"/>
      <c r="C3" s="16"/>
      <c r="D3" s="16"/>
      <c r="E3" s="71" t="s">
        <v>215</v>
      </c>
      <c r="G3" s="43"/>
      <c r="H3" s="43"/>
      <c r="I3" s="43"/>
      <c r="J3" s="43"/>
      <c r="K3" s="43"/>
      <c r="L3" s="15" t="s">
        <v>106</v>
      </c>
      <c r="M3" s="28">
        <f>I8*1000</f>
        <v>10</v>
      </c>
      <c r="N3" s="1"/>
      <c r="R3" s="44" t="s">
        <v>224</v>
      </c>
      <c r="S3" s="12" t="s">
        <v>129</v>
      </c>
      <c r="T3" s="2" t="s">
        <v>133</v>
      </c>
      <c r="U3" s="2" t="s">
        <v>135</v>
      </c>
      <c r="V3" s="2" t="s">
        <v>134</v>
      </c>
      <c r="W3" s="2" t="s">
        <v>130</v>
      </c>
      <c r="X3" s="2" t="s">
        <v>132</v>
      </c>
    </row>
    <row r="4" spans="2:24" x14ac:dyDescent="0.25">
      <c r="B4" s="18" t="s">
        <v>33</v>
      </c>
      <c r="C4" s="18"/>
      <c r="D4" s="4">
        <v>0</v>
      </c>
      <c r="G4" s="127" t="s">
        <v>15</v>
      </c>
      <c r="H4" s="127"/>
      <c r="I4" s="16"/>
      <c r="J4" s="20" t="s">
        <v>230</v>
      </c>
      <c r="K4" s="43"/>
      <c r="L4" s="15" t="s">
        <v>107</v>
      </c>
      <c r="M4" s="28">
        <f>(I5+I7)*1000</f>
        <v>10500</v>
      </c>
      <c r="N4" s="1"/>
      <c r="R4" s="44" t="s">
        <v>128</v>
      </c>
      <c r="S4" s="13"/>
      <c r="T4" s="5"/>
      <c r="U4" s="6"/>
      <c r="V4" s="7"/>
      <c r="W4" s="8"/>
      <c r="X4" s="9">
        <v>1</v>
      </c>
    </row>
    <row r="5" spans="2:24" x14ac:dyDescent="0.25">
      <c r="B5" s="18" t="s">
        <v>32</v>
      </c>
      <c r="C5" s="18"/>
      <c r="D5" s="67"/>
      <c r="E5" s="38" t="s">
        <v>232</v>
      </c>
      <c r="G5" s="45" t="s">
        <v>16</v>
      </c>
      <c r="H5" s="46" t="s">
        <v>17</v>
      </c>
      <c r="I5" s="21">
        <f>'Задание грунтов'!B3</f>
        <v>10</v>
      </c>
      <c r="J5" s="20"/>
      <c r="K5" s="43"/>
      <c r="L5" s="15" t="s">
        <v>108</v>
      </c>
      <c r="M5" s="4">
        <v>7850</v>
      </c>
      <c r="N5" s="1"/>
      <c r="R5" s="44" t="s">
        <v>131</v>
      </c>
      <c r="S5" s="13"/>
      <c r="T5" s="5"/>
      <c r="U5" s="6"/>
      <c r="V5" s="7"/>
      <c r="W5" s="8"/>
      <c r="X5" s="14">
        <v>1E-3</v>
      </c>
    </row>
    <row r="6" spans="2:24" ht="15" customHeight="1" x14ac:dyDescent="0.25">
      <c r="B6" s="16" t="s">
        <v>1</v>
      </c>
      <c r="C6" s="45" t="s">
        <v>2</v>
      </c>
      <c r="D6" s="16"/>
      <c r="G6" s="45" t="s">
        <v>18</v>
      </c>
      <c r="H6" s="46" t="s">
        <v>19</v>
      </c>
      <c r="I6" s="28">
        <f>J6/1000</f>
        <v>1.67</v>
      </c>
      <c r="J6" s="21">
        <f>'Расчет массы фланца'!C3</f>
        <v>1670</v>
      </c>
      <c r="K6" s="43"/>
      <c r="L6" s="15"/>
      <c r="M6" s="16"/>
      <c r="N6" s="1"/>
    </row>
    <row r="7" spans="2:24" ht="30" x14ac:dyDescent="0.25">
      <c r="B7" s="16"/>
      <c r="C7" s="46" t="s">
        <v>179</v>
      </c>
      <c r="D7" s="31">
        <f>IF(Интерфейс!B8 = "Исходных данных нет",'Типовые грунты'!E24,'Задание грунтов'!K14)</f>
        <v>1</v>
      </c>
      <c r="E7" s="38" t="s">
        <v>233</v>
      </c>
      <c r="G7" s="45" t="s">
        <v>20</v>
      </c>
      <c r="H7" s="47" t="s">
        <v>181</v>
      </c>
      <c r="I7" s="21">
        <v>0.5</v>
      </c>
      <c r="J7" s="20"/>
      <c r="K7" s="43"/>
      <c r="L7" s="15" t="s">
        <v>109</v>
      </c>
      <c r="M7" s="26">
        <f>M2*TAN(3.14159/12)</f>
        <v>447.47475555483351</v>
      </c>
      <c r="N7" s="1"/>
    </row>
    <row r="8" spans="2:24" ht="15" customHeight="1" x14ac:dyDescent="0.25">
      <c r="B8" s="37" t="s">
        <v>3</v>
      </c>
      <c r="C8" s="47" t="s">
        <v>4</v>
      </c>
      <c r="D8" s="16"/>
      <c r="G8" s="45" t="s">
        <v>21</v>
      </c>
      <c r="H8" s="45" t="s">
        <v>22</v>
      </c>
      <c r="I8" s="28">
        <f>J8/1000</f>
        <v>0.01</v>
      </c>
      <c r="J8" s="21">
        <f>'Расчет массы фланца'!C4</f>
        <v>10</v>
      </c>
      <c r="K8" s="43"/>
      <c r="L8" s="15" t="s">
        <v>110</v>
      </c>
      <c r="M8" s="26">
        <f>M7*12</f>
        <v>5369.6970666580019</v>
      </c>
      <c r="N8" s="1"/>
    </row>
    <row r="9" spans="2:24" ht="30" x14ac:dyDescent="0.25">
      <c r="B9" s="37"/>
      <c r="C9" s="60" t="s">
        <v>139</v>
      </c>
      <c r="D9" s="31">
        <f>IF(Интерфейс!B8 = "Исходных данных нет",'Типовые грунты'!D24,'Задание грунтов'!K15)</f>
        <v>13.5</v>
      </c>
      <c r="E9" s="38" t="s">
        <v>233</v>
      </c>
      <c r="G9" s="45" t="s">
        <v>23</v>
      </c>
      <c r="H9" s="45" t="s">
        <v>24</v>
      </c>
      <c r="I9" s="24">
        <f>206000000</f>
        <v>206000000</v>
      </c>
      <c r="J9" s="20"/>
      <c r="K9" s="43"/>
      <c r="L9" s="15" t="s">
        <v>111</v>
      </c>
      <c r="M9" s="26">
        <f>M8*M3</f>
        <v>53696.970666580019</v>
      </c>
      <c r="N9" s="1"/>
      <c r="R9" s="2" t="s">
        <v>137</v>
      </c>
    </row>
    <row r="10" spans="2:24" ht="30" x14ac:dyDescent="0.25">
      <c r="B10" s="37"/>
      <c r="C10" s="45" t="s">
        <v>140</v>
      </c>
      <c r="D10" s="29">
        <f>RADIANS(D9)</f>
        <v>0.23561944901923448</v>
      </c>
      <c r="G10" s="45" t="s">
        <v>25</v>
      </c>
      <c r="H10" s="45" t="s">
        <v>26</v>
      </c>
      <c r="I10" s="30">
        <f>PI()/64*(I6^4-(I6-2*I8)^4)</f>
        <v>1.7963870266657141E-2</v>
      </c>
      <c r="J10" s="20"/>
      <c r="K10" s="43"/>
      <c r="L10" s="15" t="s">
        <v>112</v>
      </c>
      <c r="M10" s="27">
        <f>M4*M9*10^(-9)</f>
        <v>0.56381819199909022</v>
      </c>
      <c r="N10" s="1"/>
      <c r="R10" s="48" t="s">
        <v>127</v>
      </c>
    </row>
    <row r="11" spans="2:24" x14ac:dyDescent="0.25">
      <c r="B11" s="45" t="s">
        <v>124</v>
      </c>
      <c r="C11" s="45" t="s">
        <v>5</v>
      </c>
      <c r="D11" s="23">
        <v>14000</v>
      </c>
      <c r="G11" s="43"/>
      <c r="H11" s="43"/>
      <c r="I11" s="43"/>
      <c r="J11" s="43"/>
      <c r="K11" s="43"/>
      <c r="L11" s="19" t="s">
        <v>113</v>
      </c>
      <c r="M11" s="25">
        <f>M5*M10</f>
        <v>4425.9728071928585</v>
      </c>
      <c r="N11" s="1"/>
      <c r="R11" s="49" t="s">
        <v>136</v>
      </c>
    </row>
    <row r="12" spans="2:24" x14ac:dyDescent="0.25">
      <c r="B12" s="45" t="s">
        <v>35</v>
      </c>
      <c r="C12" s="47" t="s">
        <v>6</v>
      </c>
      <c r="D12" s="29"/>
      <c r="E12" s="38" t="s">
        <v>232</v>
      </c>
      <c r="G12" s="43"/>
      <c r="H12" s="43"/>
      <c r="I12" s="43"/>
      <c r="J12" s="43"/>
      <c r="K12" s="43"/>
      <c r="L12" s="20"/>
      <c r="M12" s="20"/>
      <c r="N12" s="1"/>
      <c r="R12" s="50" t="s">
        <v>185</v>
      </c>
    </row>
    <row r="13" spans="2:24" ht="30" x14ac:dyDescent="0.25">
      <c r="B13" s="45" t="s">
        <v>34</v>
      </c>
      <c r="C13" s="60" t="s">
        <v>6</v>
      </c>
      <c r="D13" s="22">
        <f>IF(Интерфейс!B8 = "Исходных данных нет",'Типовые грунты'!F24,'Задание грунтов'!K17)</f>
        <v>1.1599999999999999</v>
      </c>
      <c r="E13" s="38" t="s">
        <v>233</v>
      </c>
      <c r="G13" s="43"/>
      <c r="H13" s="43"/>
      <c r="I13" s="41" t="s">
        <v>122</v>
      </c>
      <c r="J13" s="41" t="s">
        <v>123</v>
      </c>
      <c r="K13" s="43"/>
      <c r="L13" s="43"/>
      <c r="M13" s="43"/>
      <c r="R13" s="51" t="s">
        <v>125</v>
      </c>
    </row>
    <row r="14" spans="2:24" ht="18" x14ac:dyDescent="0.25">
      <c r="B14" s="45" t="s">
        <v>103</v>
      </c>
      <c r="C14" s="47" t="s">
        <v>180</v>
      </c>
      <c r="D14" s="4">
        <v>3</v>
      </c>
      <c r="G14" s="45" t="s">
        <v>9</v>
      </c>
      <c r="H14" s="46" t="s">
        <v>10</v>
      </c>
      <c r="I14" s="21">
        <v>1775</v>
      </c>
      <c r="J14" s="31">
        <f>I14*1.1/1.3</f>
        <v>1501.9230769230771</v>
      </c>
      <c r="K14" s="43"/>
      <c r="L14" s="43"/>
      <c r="M14" s="43"/>
      <c r="R14" s="52" t="s">
        <v>126</v>
      </c>
    </row>
    <row r="15" spans="2:24" ht="30" x14ac:dyDescent="0.25">
      <c r="B15" s="45" t="s">
        <v>7</v>
      </c>
      <c r="C15" s="60" t="s">
        <v>8</v>
      </c>
      <c r="D15" s="68">
        <f>IF(Интерфейс!B8 = "Исходных данных нет",'Типовые грунты'!G24,'Задание грунтов'!K18)</f>
        <v>16500</v>
      </c>
      <c r="E15" s="38" t="s">
        <v>233</v>
      </c>
      <c r="G15" s="45"/>
      <c r="H15" s="45" t="s">
        <v>182</v>
      </c>
      <c r="I15" s="4">
        <f>I14+I16*I7</f>
        <v>1819.5</v>
      </c>
      <c r="J15" s="26">
        <f t="shared" ref="J15:J19" si="0">I15*1.1/1.3</f>
        <v>1539.5769230769233</v>
      </c>
      <c r="K15" s="43"/>
      <c r="L15" s="43"/>
      <c r="M15" s="43"/>
    </row>
    <row r="16" spans="2:24" x14ac:dyDescent="0.25">
      <c r="B16" s="45" t="s">
        <v>101</v>
      </c>
      <c r="C16" s="47" t="s">
        <v>100</v>
      </c>
      <c r="D16" s="28">
        <f>'Задание грунтов'!B23</f>
        <v>5</v>
      </c>
      <c r="E16" s="38" t="s">
        <v>232</v>
      </c>
      <c r="G16" s="45" t="s">
        <v>11</v>
      </c>
      <c r="H16" s="46" t="s">
        <v>12</v>
      </c>
      <c r="I16" s="21">
        <v>89</v>
      </c>
      <c r="J16" s="31">
        <f t="shared" si="0"/>
        <v>75.307692307692307</v>
      </c>
      <c r="K16" s="43"/>
      <c r="L16" s="43"/>
      <c r="M16" s="43"/>
    </row>
    <row r="17" spans="2:19" ht="18" x14ac:dyDescent="0.25">
      <c r="G17" s="45"/>
      <c r="H17" s="45" t="s">
        <v>183</v>
      </c>
      <c r="I17" s="4">
        <f>I16</f>
        <v>89</v>
      </c>
      <c r="J17" s="26">
        <f t="shared" si="0"/>
        <v>75.307692307692307</v>
      </c>
      <c r="K17" s="43"/>
      <c r="L17" s="43"/>
      <c r="M17" s="43"/>
    </row>
    <row r="18" spans="2:19" x14ac:dyDescent="0.25">
      <c r="G18" s="45" t="s">
        <v>13</v>
      </c>
      <c r="H18" s="46" t="s">
        <v>14</v>
      </c>
      <c r="I18" s="21">
        <v>274</v>
      </c>
      <c r="J18" s="31">
        <f t="shared" si="0"/>
        <v>231.84615384615387</v>
      </c>
      <c r="K18" s="43"/>
      <c r="L18" s="43"/>
      <c r="M18" s="43"/>
    </row>
    <row r="19" spans="2:19" ht="18" x14ac:dyDescent="0.25">
      <c r="G19" s="45"/>
      <c r="H19" s="45" t="s">
        <v>184</v>
      </c>
      <c r="I19" s="4">
        <f>I18</f>
        <v>274</v>
      </c>
      <c r="J19" s="26">
        <f t="shared" si="0"/>
        <v>231.84615384615387</v>
      </c>
      <c r="K19" s="43"/>
      <c r="L19" s="43"/>
      <c r="M19" s="43"/>
    </row>
    <row r="20" spans="2:19" x14ac:dyDescent="0.25">
      <c r="G20" s="43"/>
      <c r="H20" s="43"/>
      <c r="I20" s="43"/>
      <c r="J20" s="43"/>
      <c r="K20" s="43"/>
      <c r="L20" s="43"/>
      <c r="M20" s="43"/>
    </row>
    <row r="21" spans="2:19" x14ac:dyDescent="0.25">
      <c r="B21" s="11" t="s">
        <v>0</v>
      </c>
      <c r="C21" s="11"/>
      <c r="D21" s="10"/>
      <c r="G21" s="43"/>
      <c r="H21" s="43"/>
      <c r="I21" s="43"/>
      <c r="J21" s="43"/>
      <c r="K21" s="43"/>
      <c r="L21" s="43"/>
      <c r="M21" s="43"/>
    </row>
    <row r="22" spans="2:19" ht="18" x14ac:dyDescent="0.25">
      <c r="B22" s="45" t="s">
        <v>1</v>
      </c>
      <c r="C22" s="46" t="s">
        <v>138</v>
      </c>
      <c r="D22" s="27">
        <f>D7/9.8</f>
        <v>0.1020408163265306</v>
      </c>
      <c r="G22" s="43"/>
      <c r="H22" s="43"/>
      <c r="I22" s="43"/>
      <c r="J22" s="43"/>
      <c r="K22" s="43"/>
      <c r="L22" s="43"/>
      <c r="M22" s="43"/>
      <c r="R22" s="72" t="s">
        <v>236</v>
      </c>
      <c r="S22" s="44" t="s">
        <v>221</v>
      </c>
    </row>
    <row r="23" spans="2:19" ht="30" x14ac:dyDescent="0.25">
      <c r="B23" s="129" t="s">
        <v>3</v>
      </c>
      <c r="C23" s="45" t="s">
        <v>139</v>
      </c>
      <c r="D23" s="3">
        <f>D9</f>
        <v>13.5</v>
      </c>
      <c r="G23" s="17" t="s">
        <v>114</v>
      </c>
      <c r="H23" s="45"/>
      <c r="I23" s="43"/>
      <c r="J23" s="43"/>
      <c r="K23" s="43"/>
      <c r="L23" s="43"/>
      <c r="M23" s="43"/>
      <c r="R23" s="72" t="s">
        <v>219</v>
      </c>
      <c r="S23" s="44" t="s">
        <v>222</v>
      </c>
    </row>
    <row r="24" spans="2:19" ht="18" x14ac:dyDescent="0.25">
      <c r="B24" s="129"/>
      <c r="C24" s="45" t="s">
        <v>140</v>
      </c>
      <c r="D24" s="3">
        <f>RADIANS(D23)</f>
        <v>0.23561944901923448</v>
      </c>
      <c r="G24" s="45" t="s">
        <v>115</v>
      </c>
      <c r="H24" s="3">
        <f>I7+2/I31</f>
        <v>6.7456812088895637</v>
      </c>
      <c r="I24" s="43"/>
      <c r="J24" s="43"/>
      <c r="K24" s="43"/>
      <c r="L24" s="43"/>
      <c r="M24" s="43"/>
      <c r="R24" s="72" t="s">
        <v>220</v>
      </c>
      <c r="S24" s="44" t="s">
        <v>223</v>
      </c>
    </row>
    <row r="25" spans="2:19" x14ac:dyDescent="0.25">
      <c r="B25" s="45" t="s">
        <v>36</v>
      </c>
      <c r="C25" s="46" t="s">
        <v>37</v>
      </c>
      <c r="D25" s="29">
        <f>0.9*((TAN(D24)-0.1))</f>
        <v>0.12607088317210444</v>
      </c>
      <c r="G25" s="45" t="s">
        <v>116</v>
      </c>
      <c r="H25" s="3">
        <f>(I15+I16*H24)/I10*I6/2/1000</f>
        <v>112.48064971773117</v>
      </c>
      <c r="I25" s="43"/>
      <c r="J25" s="43"/>
      <c r="K25" s="43"/>
      <c r="L25" s="43"/>
      <c r="M25" s="43"/>
      <c r="R25" s="72" t="s">
        <v>234</v>
      </c>
      <c r="S25" s="44" t="s">
        <v>235</v>
      </c>
    </row>
    <row r="26" spans="2:19" x14ac:dyDescent="0.25">
      <c r="B26" s="45" t="s">
        <v>38</v>
      </c>
      <c r="C26" s="47" t="s">
        <v>39</v>
      </c>
      <c r="D26" s="3">
        <f>D13</f>
        <v>1.1599999999999999</v>
      </c>
      <c r="G26" s="17" t="s">
        <v>121</v>
      </c>
      <c r="H26" s="54">
        <f>H25/235</f>
        <v>0.47864106262864325</v>
      </c>
      <c r="I26" s="43" t="s">
        <v>214</v>
      </c>
      <c r="J26" s="43"/>
      <c r="K26" s="43"/>
      <c r="L26" s="43"/>
      <c r="M26" s="43"/>
      <c r="R26" s="53"/>
    </row>
    <row r="27" spans="2:19" x14ac:dyDescent="0.25">
      <c r="B27" s="131" t="s">
        <v>40</v>
      </c>
      <c r="C27" s="47" t="s">
        <v>41</v>
      </c>
      <c r="D27" s="3">
        <f>DEGREES(D28)</f>
        <v>14.051494762337441</v>
      </c>
      <c r="G27" s="17" t="s">
        <v>117</v>
      </c>
      <c r="H27" s="54">
        <f>H25/335</f>
        <v>0.3357631334857647</v>
      </c>
      <c r="I27" s="43" t="s">
        <v>214</v>
      </c>
      <c r="J27" s="43"/>
      <c r="K27" s="43"/>
      <c r="L27" s="43"/>
      <c r="M27" s="43"/>
      <c r="R27" s="53"/>
    </row>
    <row r="28" spans="2:19" x14ac:dyDescent="0.25">
      <c r="B28" s="131"/>
      <c r="C28" s="60" t="s">
        <v>42</v>
      </c>
      <c r="D28" s="3">
        <f>ATAN(TAN(D24)+D22/10)</f>
        <v>0.24524484842952646</v>
      </c>
      <c r="G28" s="43"/>
      <c r="H28" s="43"/>
      <c r="I28" s="43"/>
      <c r="J28" s="43"/>
      <c r="K28" s="43"/>
      <c r="L28" s="43"/>
      <c r="M28" s="43"/>
      <c r="R28" s="53"/>
    </row>
    <row r="29" spans="2:19" x14ac:dyDescent="0.25">
      <c r="B29" s="45" t="s">
        <v>7</v>
      </c>
      <c r="C29" s="60" t="s">
        <v>43</v>
      </c>
      <c r="D29" s="3">
        <f>D15/9.8</f>
        <v>1683.6734693877549</v>
      </c>
      <c r="G29" s="43"/>
      <c r="H29" s="43"/>
      <c r="I29" s="20"/>
      <c r="J29" s="43"/>
      <c r="K29" s="43"/>
      <c r="L29" s="43"/>
      <c r="M29" s="43"/>
      <c r="R29" s="53"/>
    </row>
    <row r="30" spans="2:19" x14ac:dyDescent="0.25">
      <c r="B30" s="45"/>
      <c r="C30" s="45"/>
      <c r="D30" s="16"/>
      <c r="G30" s="47" t="s">
        <v>102</v>
      </c>
      <c r="H30" s="46" t="s">
        <v>27</v>
      </c>
      <c r="I30" s="28">
        <f>IF(I6&gt;0.8,(I6+1),(1.5*I6+0.5))</f>
        <v>2.67</v>
      </c>
      <c r="J30" s="43"/>
      <c r="K30" s="43"/>
      <c r="L30" s="43"/>
      <c r="M30" s="43"/>
      <c r="R30" s="53"/>
    </row>
    <row r="31" spans="2:19" x14ac:dyDescent="0.25">
      <c r="B31" s="127" t="s">
        <v>44</v>
      </c>
      <c r="C31" s="127"/>
      <c r="D31" s="16"/>
      <c r="G31" s="47" t="s">
        <v>28</v>
      </c>
      <c r="H31" s="47" t="s">
        <v>29</v>
      </c>
      <c r="I31" s="27">
        <f>(D11*I30/D14/I9/I10)^0.2</f>
        <v>0.32022127500733988</v>
      </c>
      <c r="J31" s="43"/>
      <c r="K31" s="43"/>
      <c r="L31" s="43"/>
      <c r="M31" s="43"/>
      <c r="R31" s="53"/>
    </row>
    <row r="32" spans="2:19" ht="18" x14ac:dyDescent="0.25">
      <c r="B32" s="45" t="s">
        <v>9</v>
      </c>
      <c r="C32" s="45" t="s">
        <v>141</v>
      </c>
      <c r="D32" s="4">
        <f>I14</f>
        <v>1775</v>
      </c>
      <c r="G32" s="45" t="s">
        <v>30</v>
      </c>
      <c r="H32" s="55" t="s">
        <v>31</v>
      </c>
      <c r="I32" s="27">
        <f>I5*I31</f>
        <v>3.2022127500733988</v>
      </c>
      <c r="J32" s="43"/>
      <c r="K32" s="43"/>
      <c r="L32" s="43"/>
      <c r="M32" s="43"/>
      <c r="R32" s="53"/>
    </row>
    <row r="33" spans="2:18" ht="18" x14ac:dyDescent="0.25">
      <c r="B33" s="45" t="s">
        <v>45</v>
      </c>
      <c r="C33" s="45" t="s">
        <v>142</v>
      </c>
      <c r="D33" s="4">
        <v>0</v>
      </c>
      <c r="G33" s="43"/>
      <c r="H33" s="43"/>
      <c r="I33" s="43"/>
      <c r="J33" s="43"/>
      <c r="K33" s="43"/>
      <c r="L33" s="43"/>
      <c r="M33" s="43"/>
      <c r="R33" s="53"/>
    </row>
    <row r="34" spans="2:18" ht="18" x14ac:dyDescent="0.25">
      <c r="B34" s="45" t="s">
        <v>11</v>
      </c>
      <c r="C34" s="45" t="s">
        <v>143</v>
      </c>
      <c r="D34" s="4">
        <f t="shared" ref="D34:D36" si="1">I16</f>
        <v>89</v>
      </c>
      <c r="R34" s="53"/>
    </row>
    <row r="35" spans="2:18" ht="18" x14ac:dyDescent="0.25">
      <c r="B35" s="45" t="s">
        <v>46</v>
      </c>
      <c r="C35" s="45" t="s">
        <v>144</v>
      </c>
      <c r="D35" s="4">
        <v>0</v>
      </c>
      <c r="R35" s="53"/>
    </row>
    <row r="36" spans="2:18" x14ac:dyDescent="0.25">
      <c r="B36" s="45" t="s">
        <v>13</v>
      </c>
      <c r="C36" s="45" t="s">
        <v>14</v>
      </c>
      <c r="D36" s="4">
        <f t="shared" si="1"/>
        <v>274</v>
      </c>
      <c r="R36" s="53"/>
    </row>
    <row r="37" spans="2:18" x14ac:dyDescent="0.25">
      <c r="B37" s="45" t="s">
        <v>47</v>
      </c>
      <c r="C37" s="45"/>
      <c r="D37" s="3">
        <f>J16</f>
        <v>75.307692307692307</v>
      </c>
      <c r="R37" s="53"/>
    </row>
    <row r="38" spans="2:18" x14ac:dyDescent="0.25">
      <c r="B38" s="17" t="s">
        <v>48</v>
      </c>
      <c r="C38" s="45"/>
      <c r="D38" s="16"/>
      <c r="R38" s="53"/>
    </row>
    <row r="39" spans="2:18" ht="18" x14ac:dyDescent="0.25">
      <c r="B39" s="45" t="s">
        <v>9</v>
      </c>
      <c r="C39" s="46" t="s">
        <v>145</v>
      </c>
      <c r="D39" s="3">
        <f>D32/9.8+D41*D52</f>
        <v>185.66326530612244</v>
      </c>
      <c r="R39" s="53"/>
    </row>
    <row r="40" spans="2:18" ht="18" x14ac:dyDescent="0.25">
      <c r="B40" s="45" t="s">
        <v>45</v>
      </c>
      <c r="C40" s="45" t="s">
        <v>146</v>
      </c>
      <c r="D40" s="3">
        <f>D33/9.8+D42*D52</f>
        <v>0</v>
      </c>
      <c r="R40" s="53"/>
    </row>
    <row r="41" spans="2:18" ht="18" x14ac:dyDescent="0.25">
      <c r="B41" s="45" t="s">
        <v>11</v>
      </c>
      <c r="C41" s="46" t="s">
        <v>147</v>
      </c>
      <c r="D41" s="3">
        <f t="shared" ref="D41:D43" si="2">D34/9.8</f>
        <v>9.0816326530612237</v>
      </c>
      <c r="R41" s="53"/>
    </row>
    <row r="42" spans="2:18" ht="18" x14ac:dyDescent="0.25">
      <c r="B42" s="45" t="s">
        <v>46</v>
      </c>
      <c r="C42" s="45" t="s">
        <v>148</v>
      </c>
      <c r="D42" s="3">
        <f t="shared" si="2"/>
        <v>0</v>
      </c>
      <c r="R42" s="53"/>
    </row>
    <row r="43" spans="2:18" x14ac:dyDescent="0.25">
      <c r="B43" s="45" t="s">
        <v>13</v>
      </c>
      <c r="C43" s="46" t="s">
        <v>118</v>
      </c>
      <c r="D43" s="3">
        <f t="shared" si="2"/>
        <v>27.959183673469386</v>
      </c>
      <c r="R43" s="53"/>
    </row>
    <row r="44" spans="2:18" x14ac:dyDescent="0.25">
      <c r="B44" s="45" t="s">
        <v>49</v>
      </c>
      <c r="C44" s="46" t="s">
        <v>50</v>
      </c>
      <c r="D44" s="3">
        <f>D39/D41</f>
        <v>20.443820224719101</v>
      </c>
      <c r="R44" s="53"/>
    </row>
    <row r="45" spans="2:18" x14ac:dyDescent="0.25">
      <c r="B45" s="45" t="s">
        <v>47</v>
      </c>
      <c r="C45" s="46" t="s">
        <v>119</v>
      </c>
      <c r="D45" s="3">
        <f>D37/9.8</f>
        <v>7.6844583987441126</v>
      </c>
    </row>
    <row r="46" spans="2:18" x14ac:dyDescent="0.25">
      <c r="B46" s="45" t="s">
        <v>51</v>
      </c>
      <c r="C46" s="45"/>
      <c r="D46" s="3">
        <f>MIN(D39:D40)/MAX(D39:D40)</f>
        <v>0</v>
      </c>
    </row>
    <row r="47" spans="2:18" ht="18" x14ac:dyDescent="0.25">
      <c r="B47" s="45" t="s">
        <v>52</v>
      </c>
      <c r="C47" s="45" t="s">
        <v>149</v>
      </c>
      <c r="D47" s="3">
        <f xml:space="preserve"> -0.277*D46^3+0.854*D46^2-0.866*D46+1</f>
        <v>1</v>
      </c>
    </row>
    <row r="48" spans="2:18" x14ac:dyDescent="0.25">
      <c r="B48" s="45"/>
      <c r="C48" s="45"/>
      <c r="D48" s="16"/>
    </row>
    <row r="49" spans="2:4" x14ac:dyDescent="0.25">
      <c r="B49" s="17" t="s">
        <v>15</v>
      </c>
      <c r="C49" s="17"/>
      <c r="D49" s="18"/>
    </row>
    <row r="50" spans="2:4" ht="15" customHeight="1" x14ac:dyDescent="0.25">
      <c r="B50" s="45" t="s">
        <v>16</v>
      </c>
      <c r="C50" s="46" t="s">
        <v>53</v>
      </c>
      <c r="D50" s="3">
        <f>I5</f>
        <v>10</v>
      </c>
    </row>
    <row r="51" spans="2:4" ht="18" x14ac:dyDescent="0.25">
      <c r="B51" s="45" t="s">
        <v>18</v>
      </c>
      <c r="C51" s="46" t="s">
        <v>150</v>
      </c>
      <c r="D51" s="3">
        <f>I6</f>
        <v>1.67</v>
      </c>
    </row>
    <row r="52" spans="2:4" ht="18" x14ac:dyDescent="0.25">
      <c r="B52" s="45" t="s">
        <v>20</v>
      </c>
      <c r="C52" s="45" t="s">
        <v>151</v>
      </c>
      <c r="D52" s="3">
        <f>I7</f>
        <v>0.5</v>
      </c>
    </row>
    <row r="53" spans="2:4" x14ac:dyDescent="0.25">
      <c r="B53" s="45" t="s">
        <v>54</v>
      </c>
      <c r="C53" s="45" t="s">
        <v>55</v>
      </c>
      <c r="D53" s="3">
        <v>0</v>
      </c>
    </row>
    <row r="54" spans="2:4" ht="18" x14ac:dyDescent="0.25">
      <c r="B54" s="45" t="s">
        <v>56</v>
      </c>
      <c r="C54" s="45" t="s">
        <v>152</v>
      </c>
      <c r="D54" s="3"/>
    </row>
    <row r="55" spans="2:4" ht="18" x14ac:dyDescent="0.25">
      <c r="B55" s="45" t="s">
        <v>57</v>
      </c>
      <c r="C55" s="45" t="s">
        <v>153</v>
      </c>
      <c r="D55" s="3">
        <v>0</v>
      </c>
    </row>
    <row r="56" spans="2:4" ht="18" x14ac:dyDescent="0.25">
      <c r="B56" s="45" t="s">
        <v>58</v>
      </c>
      <c r="C56" s="45" t="s">
        <v>154</v>
      </c>
      <c r="D56" s="3"/>
    </row>
    <row r="57" spans="2:4" ht="18" x14ac:dyDescent="0.25">
      <c r="B57" s="45" t="s">
        <v>59</v>
      </c>
      <c r="C57" s="45" t="s">
        <v>155</v>
      </c>
      <c r="D57" s="3">
        <v>1</v>
      </c>
    </row>
    <row r="58" spans="2:4" ht="18" x14ac:dyDescent="0.25">
      <c r="B58" s="45" t="s">
        <v>60</v>
      </c>
      <c r="C58" s="45" t="s">
        <v>156</v>
      </c>
      <c r="D58" s="3">
        <v>1</v>
      </c>
    </row>
    <row r="59" spans="2:4" ht="18" x14ac:dyDescent="0.25">
      <c r="B59" s="45" t="s">
        <v>61</v>
      </c>
      <c r="C59" s="45" t="s">
        <v>157</v>
      </c>
      <c r="D59" s="3">
        <v>0</v>
      </c>
    </row>
    <row r="60" spans="2:4" ht="18" x14ac:dyDescent="0.25">
      <c r="B60" s="45" t="s">
        <v>62</v>
      </c>
      <c r="C60" s="45" t="s">
        <v>158</v>
      </c>
      <c r="D60" s="3"/>
    </row>
    <row r="61" spans="2:4" x14ac:dyDescent="0.25">
      <c r="B61" s="45"/>
      <c r="C61" s="47"/>
      <c r="D61" s="16"/>
    </row>
    <row r="62" spans="2:4" x14ac:dyDescent="0.25">
      <c r="B62" s="17" t="s">
        <v>63</v>
      </c>
      <c r="C62" s="17"/>
      <c r="D62" s="18"/>
    </row>
    <row r="63" spans="2:4" x14ac:dyDescent="0.25">
      <c r="B63" s="45" t="s">
        <v>64</v>
      </c>
      <c r="C63" s="60" t="s">
        <v>65</v>
      </c>
      <c r="D63" s="27">
        <f>1-0.03*D22</f>
        <v>0.99693877551020404</v>
      </c>
    </row>
    <row r="64" spans="2:4" x14ac:dyDescent="0.25">
      <c r="B64" s="47" t="s">
        <v>66</v>
      </c>
      <c r="C64" s="60" t="s">
        <v>67</v>
      </c>
      <c r="D64" s="27">
        <f>D44/D50</f>
        <v>2.0443820224719103</v>
      </c>
    </row>
    <row r="65" spans="2:4" ht="15" customHeight="1" x14ac:dyDescent="0.25">
      <c r="B65" s="130"/>
      <c r="C65" s="60" t="s">
        <v>159</v>
      </c>
      <c r="D65" s="27">
        <f>(D51/2+D53)*D25/D50</f>
        <v>1.052691874487072E-2</v>
      </c>
    </row>
    <row r="66" spans="2:4" ht="18" x14ac:dyDescent="0.25">
      <c r="B66" s="130"/>
      <c r="C66" s="60" t="s">
        <v>160</v>
      </c>
      <c r="D66" s="27">
        <f>(D51/2+D54)*D25/D50</f>
        <v>1.052691874487072E-2</v>
      </c>
    </row>
    <row r="67" spans="2:4" x14ac:dyDescent="0.25">
      <c r="B67" s="130"/>
      <c r="C67" s="60" t="s">
        <v>68</v>
      </c>
      <c r="D67" s="27">
        <f>D26*TAN(RADIANS(45+D23/2))^2</f>
        <v>1.8665292134556906</v>
      </c>
    </row>
    <row r="68" spans="2:4" ht="14.25" customHeight="1" x14ac:dyDescent="0.25">
      <c r="B68" s="130"/>
      <c r="C68" s="60" t="s">
        <v>161</v>
      </c>
      <c r="D68" s="27">
        <f>2*D22*TAN(RADIANS(45+D23/2))</f>
        <v>0.25887631688680091</v>
      </c>
    </row>
    <row r="69" spans="2:4" x14ac:dyDescent="0.25">
      <c r="B69" s="130"/>
      <c r="C69" s="60" t="s">
        <v>69</v>
      </c>
      <c r="D69" s="27">
        <f>D68/D67/D50</f>
        <v>1.38693954008637E-2</v>
      </c>
    </row>
    <row r="70" spans="2:4" ht="18" x14ac:dyDescent="0.25">
      <c r="B70" s="130"/>
      <c r="C70" s="60" t="s">
        <v>162</v>
      </c>
      <c r="D70" s="56">
        <f>D25*D51/2/D50</f>
        <v>1.052691874487072E-2</v>
      </c>
    </row>
    <row r="71" spans="2:4" ht="18" x14ac:dyDescent="0.25">
      <c r="B71" s="130"/>
      <c r="C71" s="60" t="s">
        <v>163</v>
      </c>
      <c r="D71" s="27">
        <f>2/3*TAN(D28/5)/TAN(RADIANS(45-D27/2))</f>
        <v>4.1925628757355449E-2</v>
      </c>
    </row>
    <row r="72" spans="2:4" ht="18" x14ac:dyDescent="0.25">
      <c r="B72" s="130"/>
      <c r="C72" s="60" t="s">
        <v>164</v>
      </c>
      <c r="D72" s="27">
        <f>1+D71*D50/D51</f>
        <v>1.2510516692057212</v>
      </c>
    </row>
    <row r="73" spans="2:4" x14ac:dyDescent="0.25">
      <c r="B73" s="45" t="s">
        <v>70</v>
      </c>
      <c r="C73" s="60" t="s">
        <v>71</v>
      </c>
      <c r="D73" s="27">
        <f>D51*D72</f>
        <v>2.0892562875735545</v>
      </c>
    </row>
    <row r="74" spans="2:4" x14ac:dyDescent="0.25">
      <c r="B74" s="45" t="s">
        <v>72</v>
      </c>
      <c r="C74" s="60" t="s">
        <v>73</v>
      </c>
      <c r="D74" s="26">
        <f>D67*D73*D50*D50/2</f>
        <v>194.98289475760114</v>
      </c>
    </row>
    <row r="75" spans="2:4" x14ac:dyDescent="0.25">
      <c r="B75" s="45" t="s">
        <v>74</v>
      </c>
      <c r="C75" s="60" t="s">
        <v>75</v>
      </c>
      <c r="D75" s="27">
        <f>(D57-D51)*D59*(D68+D67*D55)*(1+0.3/D57)*0.71</f>
        <v>0</v>
      </c>
    </row>
    <row r="76" spans="2:4" ht="15" customHeight="1" x14ac:dyDescent="0.25">
      <c r="B76" s="45" t="s">
        <v>76</v>
      </c>
      <c r="C76" s="60" t="s">
        <v>165</v>
      </c>
      <c r="D76" s="27">
        <f>(D58-D51)*D60*(D68+D67*(D50-D56))*(1+0.3/D58)</f>
        <v>0</v>
      </c>
    </row>
    <row r="77" spans="2:4" x14ac:dyDescent="0.25">
      <c r="B77" s="130"/>
      <c r="C77" s="60" t="s">
        <v>77</v>
      </c>
      <c r="D77" s="27">
        <f>D75/D74</f>
        <v>0</v>
      </c>
    </row>
    <row r="78" spans="2:4" ht="15" customHeight="1" x14ac:dyDescent="0.25">
      <c r="B78" s="130"/>
      <c r="C78" s="60" t="s">
        <v>166</v>
      </c>
      <c r="D78" s="57">
        <f>D76/D74</f>
        <v>0</v>
      </c>
    </row>
    <row r="79" spans="2:4" ht="18" x14ac:dyDescent="0.25">
      <c r="B79" s="130"/>
      <c r="C79" s="60" t="s">
        <v>167</v>
      </c>
      <c r="D79" s="24">
        <f>D25*D43/D74</f>
        <v>1.8077683085315654E-2</v>
      </c>
    </row>
    <row r="80" spans="2:4" x14ac:dyDescent="0.25">
      <c r="B80" s="130"/>
      <c r="C80" s="45"/>
      <c r="D80" s="58"/>
    </row>
    <row r="81" spans="2:13" ht="15" customHeight="1" x14ac:dyDescent="0.25">
      <c r="B81" s="129" t="s">
        <v>78</v>
      </c>
      <c r="C81" s="45" t="s">
        <v>79</v>
      </c>
      <c r="D81" s="3">
        <v>1</v>
      </c>
    </row>
    <row r="82" spans="2:13" x14ac:dyDescent="0.25">
      <c r="B82" s="129"/>
      <c r="C82" s="45" t="s">
        <v>80</v>
      </c>
      <c r="D82" s="3">
        <f>3/2*(D64+D69)</f>
        <v>3.087377126809161</v>
      </c>
    </row>
    <row r="83" spans="2:13" x14ac:dyDescent="0.25">
      <c r="B83" s="129"/>
      <c r="C83" s="45" t="s">
        <v>81</v>
      </c>
      <c r="D83" s="3">
        <f>3*D64*D69</f>
        <v>8.5063027860241017E-2</v>
      </c>
    </row>
    <row r="84" spans="2:13" x14ac:dyDescent="0.25">
      <c r="B84" s="129"/>
      <c r="C84" s="45" t="s">
        <v>82</v>
      </c>
      <c r="D84" s="3">
        <f>-(1/4*((2*D69+1)*(3*D64+3*D70+2)-D69)+3/4*D79*(1+D64)-3/4*(D77*(D64+D55/D50-D65)-D78*(D64-D56/D50+D66+1)))</f>
        <v>-2.1356107994356517</v>
      </c>
    </row>
    <row r="85" spans="2:13" x14ac:dyDescent="0.25">
      <c r="B85" s="130"/>
      <c r="C85" s="46" t="s">
        <v>83</v>
      </c>
      <c r="D85" s="27">
        <f>(3*D64*D69-0.5625)/(3/2*(D64+D69)+1.5)</f>
        <v>-0.10407624203154398</v>
      </c>
    </row>
    <row r="86" spans="2:13" x14ac:dyDescent="0.25">
      <c r="B86" s="130"/>
      <c r="C86" s="46" t="s">
        <v>84</v>
      </c>
      <c r="D86" s="27">
        <f>(-1/4*(((2*D69+1)*(3*D64+3*D70+2)-D69)-3*(D77*(D64+D55/D50-D65)-D78*(D64-D56/D50+D66+1))+3*D79*(1+D64))+0.03125)/(3/2*(D64+D69)+1.5)</f>
        <v>-0.45872853730239982</v>
      </c>
    </row>
    <row r="87" spans="2:13" x14ac:dyDescent="0.25">
      <c r="B87" s="45" t="s">
        <v>85</v>
      </c>
      <c r="C87" s="60" t="s">
        <v>86</v>
      </c>
      <c r="D87" s="56">
        <f>-D85/2+SQRT((D85/2)^2-D86)</f>
        <v>0.73132929815651182</v>
      </c>
    </row>
    <row r="88" spans="2:13" x14ac:dyDescent="0.25">
      <c r="B88" s="45" t="s">
        <v>87</v>
      </c>
      <c r="C88" s="45"/>
      <c r="D88" s="3">
        <f>D55/D50</f>
        <v>0</v>
      </c>
    </row>
    <row r="89" spans="2:13" x14ac:dyDescent="0.25">
      <c r="B89" s="45" t="s">
        <v>88</v>
      </c>
      <c r="C89" s="45"/>
      <c r="D89" s="3">
        <f>1-D56/D50</f>
        <v>1</v>
      </c>
    </row>
    <row r="90" spans="2:13" x14ac:dyDescent="0.25">
      <c r="B90" s="17"/>
      <c r="C90" s="17"/>
      <c r="D90" s="18"/>
    </row>
    <row r="91" spans="2:13" x14ac:dyDescent="0.25">
      <c r="B91" s="17" t="s">
        <v>89</v>
      </c>
      <c r="C91" s="17"/>
      <c r="D91" s="18"/>
      <c r="E91" s="42"/>
    </row>
    <row r="92" spans="2:13" ht="18" x14ac:dyDescent="0.25">
      <c r="B92" s="45" t="s">
        <v>120</v>
      </c>
      <c r="C92" s="60" t="s">
        <v>168</v>
      </c>
      <c r="D92" s="29">
        <f ca="1">'Задание грунтов'!C28</f>
        <v>1</v>
      </c>
      <c r="E92" s="42" t="s">
        <v>228</v>
      </c>
    </row>
    <row r="93" spans="2:13" ht="18" x14ac:dyDescent="0.25">
      <c r="B93" s="45" t="s">
        <v>90</v>
      </c>
      <c r="C93" s="60" t="s">
        <v>169</v>
      </c>
      <c r="D93" s="29">
        <f ca="1">'Задание грунтов'!C26</f>
        <v>1.3</v>
      </c>
      <c r="E93" s="42" t="s">
        <v>229</v>
      </c>
      <c r="M93" s="1"/>
    </row>
    <row r="94" spans="2:13" ht="18" x14ac:dyDescent="0.25">
      <c r="B94" s="45"/>
      <c r="C94" s="46" t="s">
        <v>170</v>
      </c>
      <c r="D94" s="3">
        <f>D63/(D64+D87)*(D74*(2/3*(D87^3+3*D69*(D87^2-D87+1/2)-3/2*D87+1)+(2*D69+1)*D70)+D25*D43*(1-D87)+D75*(D87-D55/D50+D65)+D76*(1-D87-D56/D50+D66))*D47</f>
        <v>15.420583247545521</v>
      </c>
    </row>
    <row r="95" spans="2:13" ht="18" x14ac:dyDescent="0.25">
      <c r="B95" s="45"/>
      <c r="C95" s="45" t="s">
        <v>171</v>
      </c>
      <c r="D95" s="3">
        <f>D94*D44</f>
        <v>315.25563167313567</v>
      </c>
    </row>
    <row r="96" spans="2:13" ht="18" x14ac:dyDescent="0.25">
      <c r="B96" s="45" t="s">
        <v>91</v>
      </c>
      <c r="C96" s="46" t="s">
        <v>172</v>
      </c>
      <c r="D96" s="3">
        <f ca="1">D94*D92/D93</f>
        <v>11.861987113496554</v>
      </c>
    </row>
    <row r="97" spans="2:5" ht="18" x14ac:dyDescent="0.25">
      <c r="B97" s="45" t="s">
        <v>92</v>
      </c>
      <c r="C97" s="45" t="s">
        <v>173</v>
      </c>
      <c r="D97" s="3">
        <f ca="1">D96*D44</f>
        <v>242.50433205625819</v>
      </c>
    </row>
    <row r="98" spans="2:5" x14ac:dyDescent="0.25">
      <c r="B98" s="17" t="s">
        <v>93</v>
      </c>
      <c r="C98" s="61"/>
      <c r="D98" s="59">
        <f ca="1">D41/D96</f>
        <v>0.76560803566614521</v>
      </c>
      <c r="E98" s="39" t="s">
        <v>214</v>
      </c>
    </row>
    <row r="99" spans="2:5" x14ac:dyDescent="0.25">
      <c r="B99" s="45"/>
      <c r="C99" s="45"/>
      <c r="D99" s="16"/>
    </row>
    <row r="100" spans="2:5" x14ac:dyDescent="0.25">
      <c r="B100" s="17" t="s">
        <v>94</v>
      </c>
      <c r="C100" s="17"/>
      <c r="D100" s="18"/>
    </row>
    <row r="101" spans="2:5" ht="18" x14ac:dyDescent="0.25">
      <c r="B101" s="45"/>
      <c r="C101" s="45" t="s">
        <v>174</v>
      </c>
      <c r="D101" s="3">
        <f>D51/D50</f>
        <v>0.16699999999999998</v>
      </c>
    </row>
    <row r="102" spans="2:5" ht="18" x14ac:dyDescent="0.25">
      <c r="B102" s="45"/>
      <c r="C102" s="45" t="s">
        <v>175</v>
      </c>
      <c r="D102" s="3">
        <f>3*D57*D59/D50/D50</f>
        <v>0</v>
      </c>
    </row>
    <row r="103" spans="2:5" ht="18" x14ac:dyDescent="0.25">
      <c r="B103" s="45"/>
      <c r="C103" s="45" t="s">
        <v>176</v>
      </c>
      <c r="D103" s="3">
        <f>D51/D50</f>
        <v>0.16699999999999998</v>
      </c>
    </row>
    <row r="104" spans="2:5" x14ac:dyDescent="0.25">
      <c r="B104" s="45"/>
      <c r="C104" s="60" t="s">
        <v>95</v>
      </c>
      <c r="D104" s="3">
        <f>-29.48*D101^5+96.67*D101^4-124.7*D101^3+82.34*D101^2-31.23*D101+8.713</f>
        <v>5.2845449785153749</v>
      </c>
    </row>
    <row r="105" spans="2:5" ht="18" x14ac:dyDescent="0.25">
      <c r="B105" s="45"/>
      <c r="C105" s="47" t="s">
        <v>177</v>
      </c>
      <c r="D105" s="3">
        <f>-29.48*D102^5+96.67*D102^4-124.7*D102^3+82.34*D102^2-31.23*D102+8.713</f>
        <v>8.7129999999999992</v>
      </c>
    </row>
    <row r="106" spans="2:5" ht="18" x14ac:dyDescent="0.25">
      <c r="B106" s="45"/>
      <c r="C106" s="47" t="s">
        <v>178</v>
      </c>
      <c r="D106" s="3">
        <f>-29.48*D103^5+96.67*D103^4-124.7*D103^3+82.34*D103^2-31.23*D103+8.713</f>
        <v>5.2845449785153749</v>
      </c>
    </row>
    <row r="107" spans="2:5" x14ac:dyDescent="0.25">
      <c r="B107" s="17" t="s">
        <v>186</v>
      </c>
      <c r="C107" s="61" t="s">
        <v>96</v>
      </c>
      <c r="D107" s="119">
        <f>ROUND((3*D45/4/D29/D50/D50*(6*D64+3)*D104),3)</f>
        <v>3.0000000000000001E-3</v>
      </c>
      <c r="E107" s="39" t="s">
        <v>214</v>
      </c>
    </row>
    <row r="108" spans="2:5" x14ac:dyDescent="0.25">
      <c r="B108" s="45" t="s">
        <v>99</v>
      </c>
      <c r="C108" s="47"/>
      <c r="D108" s="57">
        <f>3*D45/8/D29/D50/D50*((6*D64+5)*D105+(6*D64+1)*D106)</f>
        <v>3.7747556454102121E-3</v>
      </c>
    </row>
    <row r="109" spans="2:5" x14ac:dyDescent="0.25">
      <c r="B109" s="43"/>
      <c r="C109" s="43"/>
      <c r="D109" s="20"/>
    </row>
    <row r="110" spans="2:5" x14ac:dyDescent="0.25">
      <c r="B110" s="43"/>
      <c r="C110" s="43"/>
      <c r="D110" s="20"/>
    </row>
    <row r="111" spans="2:5" x14ac:dyDescent="0.25">
      <c r="B111" s="43"/>
      <c r="C111" s="43"/>
      <c r="D111" s="20"/>
    </row>
  </sheetData>
  <dataConsolidate/>
  <mergeCells count="11">
    <mergeCell ref="B85:B86"/>
    <mergeCell ref="B65:B72"/>
    <mergeCell ref="B77:B80"/>
    <mergeCell ref="B81:B84"/>
    <mergeCell ref="B27:B28"/>
    <mergeCell ref="B31:C31"/>
    <mergeCell ref="G1:H1"/>
    <mergeCell ref="B1:D1"/>
    <mergeCell ref="G4:H4"/>
    <mergeCell ref="L1:M1"/>
    <mergeCell ref="B23:B24"/>
  </mergeCells>
  <pageMargins left="0.7" right="0.7" top="0.75" bottom="0.75" header="0.3" footer="0.3"/>
  <pageSetup paperSize="9" orientation="portrait" horizontalDpi="180" verticalDpi="18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4"/>
  <sheetViews>
    <sheetView zoomScale="85" zoomScaleNormal="85" workbookViewId="0">
      <selection activeCell="C6" sqref="C6"/>
    </sheetView>
  </sheetViews>
  <sheetFormatPr defaultRowHeight="15" x14ac:dyDescent="0.25"/>
  <cols>
    <col min="1" max="1" width="24.42578125" bestFit="1" customWidth="1"/>
    <col min="2" max="2" width="27.5703125" customWidth="1"/>
    <col min="4" max="4" width="46" customWidth="1"/>
    <col min="6" max="6" width="45" customWidth="1"/>
    <col min="7" max="7" width="15" customWidth="1"/>
    <col min="8" max="8" width="44.5703125" customWidth="1"/>
  </cols>
  <sheetData>
    <row r="1" spans="1:10" ht="15.75" thickBot="1" x14ac:dyDescent="0.3">
      <c r="A1" s="1"/>
      <c r="B1" s="91"/>
      <c r="C1" s="91"/>
      <c r="D1" s="91"/>
      <c r="E1" s="1"/>
      <c r="F1" s="132" t="s">
        <v>353</v>
      </c>
      <c r="G1" s="133"/>
      <c r="H1" s="92" t="s">
        <v>354</v>
      </c>
      <c r="I1" s="1"/>
      <c r="J1" s="1"/>
    </row>
    <row r="2" spans="1:10" x14ac:dyDescent="0.25">
      <c r="A2" s="1"/>
      <c r="B2" s="134" t="s">
        <v>355</v>
      </c>
      <c r="C2" s="133"/>
      <c r="D2" s="92"/>
      <c r="E2" s="1"/>
      <c r="F2" s="135" t="s">
        <v>356</v>
      </c>
      <c r="G2" s="136"/>
      <c r="H2" s="93"/>
      <c r="I2" s="1"/>
      <c r="J2" s="1"/>
    </row>
    <row r="3" spans="1:10" ht="46.5" customHeight="1" x14ac:dyDescent="0.25">
      <c r="A3" s="1"/>
      <c r="B3" s="94" t="s">
        <v>292</v>
      </c>
      <c r="C3" s="95">
        <v>1670</v>
      </c>
      <c r="D3" s="96" t="s">
        <v>357</v>
      </c>
      <c r="E3" s="1"/>
      <c r="F3" s="97" t="s">
        <v>345</v>
      </c>
      <c r="G3" s="95">
        <v>2000</v>
      </c>
      <c r="H3" s="96" t="s">
        <v>358</v>
      </c>
      <c r="I3" s="1"/>
      <c r="J3" s="1"/>
    </row>
    <row r="4" spans="1:10" ht="51" customHeight="1" x14ac:dyDescent="0.25">
      <c r="A4" s="1"/>
      <c r="B4" s="94" t="s">
        <v>293</v>
      </c>
      <c r="C4" s="95">
        <v>10</v>
      </c>
      <c r="D4" s="98" t="s">
        <v>359</v>
      </c>
      <c r="E4" s="1"/>
      <c r="F4" s="97" t="s">
        <v>360</v>
      </c>
      <c r="G4" s="95">
        <f>C3-100</f>
        <v>1570</v>
      </c>
      <c r="H4" s="96" t="s">
        <v>361</v>
      </c>
      <c r="I4" s="1"/>
      <c r="J4" s="1"/>
    </row>
    <row r="5" spans="1:10" x14ac:dyDescent="0.25">
      <c r="A5" s="1" t="s">
        <v>378</v>
      </c>
      <c r="B5" s="94" t="s">
        <v>379</v>
      </c>
      <c r="C5" s="95">
        <v>10000</v>
      </c>
      <c r="D5" s="98" t="s">
        <v>359</v>
      </c>
      <c r="E5" s="1"/>
      <c r="F5" s="97" t="s">
        <v>347</v>
      </c>
      <c r="G5" s="95">
        <v>50</v>
      </c>
      <c r="H5" s="98" t="s">
        <v>359</v>
      </c>
      <c r="I5" s="1"/>
      <c r="J5" s="1"/>
    </row>
    <row r="6" spans="1:10" x14ac:dyDescent="0.25">
      <c r="A6" s="1"/>
      <c r="B6" s="94" t="s">
        <v>108</v>
      </c>
      <c r="C6" s="99">
        <v>7850</v>
      </c>
      <c r="D6" s="93"/>
      <c r="E6" s="1"/>
      <c r="F6" s="97" t="s">
        <v>108</v>
      </c>
      <c r="G6" s="99">
        <v>7850</v>
      </c>
      <c r="H6" s="93"/>
      <c r="I6" s="1"/>
      <c r="J6" s="1"/>
    </row>
    <row r="7" spans="1:10" x14ac:dyDescent="0.25">
      <c r="A7" s="1"/>
      <c r="B7" s="94"/>
      <c r="C7" s="2"/>
      <c r="D7" s="93"/>
      <c r="E7" s="1"/>
      <c r="F7" s="97"/>
      <c r="G7" s="2"/>
      <c r="H7" s="93"/>
      <c r="I7" s="1"/>
      <c r="J7" s="1"/>
    </row>
    <row r="8" spans="1:10" x14ac:dyDescent="0.25">
      <c r="A8" s="1"/>
      <c r="B8" s="94" t="s">
        <v>109</v>
      </c>
      <c r="C8" s="100">
        <f>C3*TAN(3.14159/12)</f>
        <v>447.47475555483351</v>
      </c>
      <c r="D8" s="93"/>
      <c r="E8" s="1"/>
      <c r="F8" s="97" t="s">
        <v>362</v>
      </c>
      <c r="G8" s="101">
        <f>12*G3^2/4*TAN(3.14/12)/10^6</f>
        <v>3.2136833688937174</v>
      </c>
      <c r="H8" s="93"/>
      <c r="I8" s="1"/>
      <c r="J8" s="1"/>
    </row>
    <row r="9" spans="1:10" x14ac:dyDescent="0.25">
      <c r="A9" s="1"/>
      <c r="B9" s="94" t="s">
        <v>110</v>
      </c>
      <c r="C9" s="100">
        <f>C8*12</f>
        <v>5369.6970666580019</v>
      </c>
      <c r="D9" s="93"/>
      <c r="E9" s="1"/>
      <c r="F9" s="97" t="s">
        <v>363</v>
      </c>
      <c r="G9" s="101">
        <f>3.14*G4^2/4/10^6</f>
        <v>1.9349464999999999</v>
      </c>
      <c r="H9" s="93"/>
      <c r="I9" s="1"/>
      <c r="J9" s="1"/>
    </row>
    <row r="10" spans="1:10" x14ac:dyDescent="0.25">
      <c r="A10" s="1"/>
      <c r="B10" s="94" t="s">
        <v>111</v>
      </c>
      <c r="C10" s="100">
        <f>C9*C4</f>
        <v>53696.970666580019</v>
      </c>
      <c r="D10" s="93"/>
      <c r="E10" s="1"/>
      <c r="F10" s="97" t="s">
        <v>364</v>
      </c>
      <c r="G10" s="101">
        <f>G8-G9</f>
        <v>1.2787368688937175</v>
      </c>
      <c r="H10" s="93"/>
      <c r="I10" s="1"/>
      <c r="J10" s="1"/>
    </row>
    <row r="11" spans="1:10" x14ac:dyDescent="0.25">
      <c r="A11" s="1"/>
      <c r="B11" s="94" t="s">
        <v>112</v>
      </c>
      <c r="C11" s="101">
        <f>C5*C10*10^(-9)</f>
        <v>0.53696970666580024</v>
      </c>
      <c r="D11" s="93"/>
      <c r="E11" s="1"/>
      <c r="F11" s="97" t="s">
        <v>112</v>
      </c>
      <c r="G11" s="101">
        <f>G10*G5/1000</f>
        <v>6.3936843444685879E-2</v>
      </c>
      <c r="H11" s="93"/>
      <c r="I11" s="1"/>
      <c r="J11" s="1"/>
    </row>
    <row r="12" spans="1:10" x14ac:dyDescent="0.25">
      <c r="A12" s="1"/>
      <c r="B12" s="102" t="s">
        <v>365</v>
      </c>
      <c r="C12" s="103">
        <f>C6*C11</f>
        <v>4215.2121973265321</v>
      </c>
      <c r="D12" s="98" t="s">
        <v>366</v>
      </c>
      <c r="E12" s="1"/>
      <c r="F12" s="104" t="s">
        <v>349</v>
      </c>
      <c r="G12" s="103">
        <f>G6*G11</f>
        <v>501.90422104078414</v>
      </c>
      <c r="H12" s="98" t="s">
        <v>366</v>
      </c>
      <c r="I12" s="1"/>
      <c r="J12" s="1"/>
    </row>
    <row r="13" spans="1:10" x14ac:dyDescent="0.25">
      <c r="A13" s="1"/>
      <c r="B13" s="102" t="s">
        <v>367</v>
      </c>
      <c r="C13" s="103">
        <f>C12*1.1</f>
        <v>4636.7334170591857</v>
      </c>
      <c r="D13" s="98" t="s">
        <v>366</v>
      </c>
      <c r="E13" s="1"/>
      <c r="F13" s="105"/>
      <c r="G13" s="2"/>
      <c r="H13" s="93"/>
      <c r="I13" s="1"/>
      <c r="J13" s="1"/>
    </row>
    <row r="14" spans="1:10" ht="15.75" thickBot="1" x14ac:dyDescent="0.3">
      <c r="A14" s="1"/>
      <c r="B14" s="106" t="s">
        <v>368</v>
      </c>
      <c r="C14" s="107">
        <f>C12*1.15</f>
        <v>4847.4940269255112</v>
      </c>
      <c r="D14" s="108" t="s">
        <v>366</v>
      </c>
      <c r="E14" s="1"/>
      <c r="F14" s="104" t="s">
        <v>369</v>
      </c>
      <c r="G14" s="2"/>
      <c r="H14" s="93"/>
      <c r="I14" s="1"/>
      <c r="J14" s="1"/>
    </row>
    <row r="15" spans="1:10" x14ac:dyDescent="0.25">
      <c r="A15" s="1"/>
      <c r="B15" s="1"/>
      <c r="C15" s="1"/>
      <c r="D15" s="1"/>
      <c r="E15" s="1"/>
      <c r="F15" s="94" t="s">
        <v>370</v>
      </c>
      <c r="G15" s="40">
        <f>C12+G12</f>
        <v>4717.1164183673163</v>
      </c>
      <c r="H15" s="98" t="s">
        <v>366</v>
      </c>
      <c r="I15" s="1"/>
      <c r="J15" s="1"/>
    </row>
    <row r="16" spans="1:10" x14ac:dyDescent="0.25">
      <c r="A16" s="1"/>
      <c r="B16" s="1"/>
      <c r="C16" s="1"/>
      <c r="D16" s="1"/>
      <c r="E16" s="1"/>
      <c r="F16" s="109" t="s">
        <v>371</v>
      </c>
      <c r="G16" s="40">
        <f>G15*1.1</f>
        <v>5188.8280602040486</v>
      </c>
      <c r="H16" s="98" t="s">
        <v>366</v>
      </c>
      <c r="I16" s="1"/>
      <c r="J16" s="1"/>
    </row>
    <row r="17" spans="1:10" ht="15.75" thickBot="1" x14ac:dyDescent="0.3">
      <c r="A17" s="1"/>
      <c r="B17" s="1"/>
      <c r="C17" s="1"/>
      <c r="D17" s="1"/>
      <c r="E17" s="1"/>
      <c r="F17" s="110" t="s">
        <v>372</v>
      </c>
      <c r="G17" s="111">
        <f>G15*1.15</f>
        <v>5424.6838811224134</v>
      </c>
      <c r="H17" s="108" t="s">
        <v>366</v>
      </c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30" x14ac:dyDescent="0.25">
      <c r="A19" s="1"/>
      <c r="B19" s="1"/>
      <c r="C19" s="1"/>
      <c r="D19" s="1"/>
      <c r="E19" s="1"/>
      <c r="F19" s="32" t="s">
        <v>373</v>
      </c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30" x14ac:dyDescent="0.25">
      <c r="A21" s="1"/>
      <c r="B21" s="1"/>
      <c r="C21" s="1"/>
      <c r="D21" s="112" t="s">
        <v>374</v>
      </c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00" t="s">
        <v>375</v>
      </c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40" t="s">
        <v>376</v>
      </c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3">
    <mergeCell ref="F1:G1"/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Интерфейс</vt:lpstr>
      <vt:lpstr>Типовые грунты</vt:lpstr>
      <vt:lpstr>Задание грунтов</vt:lpstr>
      <vt:lpstr>Расчет сваи</vt:lpstr>
      <vt:lpstr>Расчет массы фланца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Вырышев</dc:creator>
  <cp:lastModifiedBy>Павел</cp:lastModifiedBy>
  <dcterms:created xsi:type="dcterms:W3CDTF">2006-09-28T05:33:49Z</dcterms:created>
  <dcterms:modified xsi:type="dcterms:W3CDTF">2023-06-01T08:21:18Z</dcterms:modified>
</cp:coreProperties>
</file>