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ораторные работы\Семестр 6\ЛБ11.3\"/>
    </mc:Choice>
  </mc:AlternateContent>
  <xr:revisionPtr revIDLastSave="0" documentId="13_ncr:1_{36CF2ECD-2EB8-468C-9F89-BB9F553A575F}" xr6:coauthVersionLast="36" xr6:coauthVersionMax="36" xr10:uidLastSave="{00000000-0000-0000-0000-000000000000}"/>
  <bookViews>
    <workbookView xWindow="0" yWindow="0" windowWidth="17256" windowHeight="5556" xr2:uid="{09DB969C-45FA-4934-A708-0D7028E06CFD}"/>
  </bookViews>
  <sheets>
    <sheet name="ВАХ диода" sheetId="1" r:id="rId1"/>
    <sheet name="Нагревание" sheetId="2" r:id="rId2"/>
    <sheet name="Обратный ток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3" l="1"/>
  <c r="D27" i="3"/>
  <c r="E27" i="3"/>
  <c r="B27" i="3"/>
  <c r="C26" i="3"/>
  <c r="D26" i="3"/>
  <c r="E26" i="3"/>
  <c r="B26" i="3"/>
  <c r="C25" i="3"/>
  <c r="D25" i="3"/>
  <c r="E25" i="3"/>
  <c r="B25" i="3"/>
  <c r="C24" i="3"/>
  <c r="D24" i="3"/>
  <c r="E24" i="3"/>
  <c r="B24" i="3"/>
  <c r="C20" i="3"/>
  <c r="D20" i="3"/>
  <c r="E20" i="3"/>
  <c r="B20" i="3"/>
  <c r="M15" i="3"/>
  <c r="L15" i="3"/>
  <c r="N14" i="3"/>
  <c r="N16" i="3" s="1"/>
  <c r="M14" i="3"/>
  <c r="M16" i="3" s="1"/>
  <c r="L14" i="3"/>
  <c r="L16" i="3" s="1"/>
  <c r="K14" i="3"/>
  <c r="K16" i="3" s="1"/>
  <c r="J14" i="3"/>
  <c r="J16" i="3" s="1"/>
  <c r="N13" i="3"/>
  <c r="N15" i="3" s="1"/>
  <c r="M13" i="3"/>
  <c r="L13" i="3"/>
  <c r="K13" i="3"/>
  <c r="K15" i="3" s="1"/>
  <c r="J13" i="3"/>
  <c r="J15" i="3" s="1"/>
  <c r="M7" i="3"/>
  <c r="L7" i="3"/>
  <c r="N6" i="3"/>
  <c r="N8" i="3" s="1"/>
  <c r="M6" i="3"/>
  <c r="M8" i="3" s="1"/>
  <c r="L6" i="3"/>
  <c r="L8" i="3" s="1"/>
  <c r="K6" i="3"/>
  <c r="K8" i="3" s="1"/>
  <c r="J6" i="3"/>
  <c r="J8" i="3" s="1"/>
  <c r="N5" i="3"/>
  <c r="N7" i="3" s="1"/>
  <c r="M5" i="3"/>
  <c r="L5" i="3"/>
  <c r="K5" i="3"/>
  <c r="K7" i="3" s="1"/>
  <c r="J5" i="3"/>
  <c r="J7" i="3" s="1"/>
  <c r="B15" i="3"/>
  <c r="B14" i="3"/>
  <c r="B16" i="3" s="1"/>
  <c r="B13" i="3"/>
  <c r="F16" i="3"/>
  <c r="E16" i="3"/>
  <c r="E15" i="3"/>
  <c r="C15" i="3"/>
  <c r="F14" i="3"/>
  <c r="E14" i="3"/>
  <c r="D14" i="3"/>
  <c r="D16" i="3" s="1"/>
  <c r="C14" i="3"/>
  <c r="C16" i="3" s="1"/>
  <c r="F13" i="3"/>
  <c r="F15" i="3" s="1"/>
  <c r="E13" i="3"/>
  <c r="D13" i="3"/>
  <c r="D15" i="3" s="1"/>
  <c r="C13" i="3"/>
  <c r="C8" i="3"/>
  <c r="D8" i="3"/>
  <c r="E8" i="3"/>
  <c r="F8" i="3"/>
  <c r="B8" i="3"/>
  <c r="C7" i="3"/>
  <c r="D7" i="3"/>
  <c r="E7" i="3"/>
  <c r="F7" i="3"/>
  <c r="B7" i="3"/>
  <c r="B10" i="1"/>
  <c r="C6" i="3"/>
  <c r="D6" i="3"/>
  <c r="E6" i="3"/>
  <c r="F6" i="3"/>
  <c r="B6" i="3"/>
  <c r="B5" i="3"/>
  <c r="B8" i="1"/>
  <c r="C5" i="3"/>
  <c r="D5" i="3"/>
  <c r="E5" i="3"/>
  <c r="F5" i="3"/>
  <c r="B9" i="1"/>
  <c r="B11" i="1" s="1"/>
  <c r="H11" i="1"/>
  <c r="C9" i="1"/>
  <c r="C11" i="1" s="1"/>
  <c r="D9" i="1"/>
  <c r="D11" i="1" s="1"/>
  <c r="E9" i="1"/>
  <c r="F9" i="1"/>
  <c r="F11" i="1" s="1"/>
  <c r="G9" i="1"/>
  <c r="G11" i="1" s="1"/>
  <c r="H9" i="1"/>
  <c r="I9" i="1"/>
  <c r="J9" i="1"/>
  <c r="K9" i="1"/>
  <c r="K11" i="1" s="1"/>
  <c r="L9" i="1"/>
  <c r="L11" i="1" s="1"/>
  <c r="M9" i="1"/>
  <c r="N9" i="1"/>
  <c r="O9" i="1"/>
  <c r="O11" i="1" s="1"/>
  <c r="E11" i="1"/>
  <c r="I11" i="1"/>
  <c r="J11" i="1"/>
  <c r="M11" i="1"/>
  <c r="N11" i="1"/>
  <c r="H10" i="1"/>
  <c r="I10" i="1"/>
  <c r="J10" i="1"/>
  <c r="K10" i="1"/>
  <c r="L10" i="1"/>
  <c r="M10" i="1"/>
  <c r="N10" i="1"/>
  <c r="O10" i="1"/>
  <c r="C10" i="1"/>
  <c r="D10" i="1"/>
  <c r="E10" i="1"/>
  <c r="F10" i="1"/>
  <c r="G10" i="1"/>
  <c r="Q13" i="2"/>
  <c r="R15" i="2"/>
  <c r="S15" i="2"/>
  <c r="T15" i="2"/>
  <c r="U15" i="2"/>
  <c r="V15" i="2"/>
  <c r="W15" i="2"/>
  <c r="X15" i="2"/>
  <c r="Y15" i="2"/>
  <c r="Q15" i="2"/>
  <c r="R13" i="2"/>
  <c r="S13" i="2"/>
  <c r="T13" i="2"/>
  <c r="U13" i="2"/>
  <c r="V13" i="2"/>
  <c r="W13" i="2"/>
  <c r="X13" i="2"/>
  <c r="Y13" i="2"/>
  <c r="R14" i="2"/>
  <c r="S14" i="2"/>
  <c r="T14" i="2"/>
  <c r="U14" i="2"/>
  <c r="V14" i="2"/>
  <c r="W14" i="2"/>
  <c r="X14" i="2"/>
  <c r="Y14" i="2"/>
  <c r="Q14" i="2"/>
  <c r="C13" i="2"/>
  <c r="D13" i="2"/>
  <c r="E13" i="2"/>
  <c r="F13" i="2"/>
  <c r="G13" i="2"/>
  <c r="H13" i="2"/>
  <c r="I13" i="2"/>
  <c r="J13" i="2"/>
  <c r="K13" i="2"/>
  <c r="L13" i="2"/>
  <c r="M13" i="2"/>
  <c r="B13" i="2"/>
  <c r="C15" i="2"/>
  <c r="D15" i="2"/>
  <c r="E15" i="2"/>
  <c r="F15" i="2"/>
  <c r="G15" i="2"/>
  <c r="H15" i="2"/>
  <c r="I15" i="2"/>
  <c r="J15" i="2"/>
  <c r="K15" i="2"/>
  <c r="L15" i="2"/>
  <c r="M15" i="2"/>
  <c r="B15" i="2"/>
  <c r="C14" i="2"/>
  <c r="D14" i="2"/>
  <c r="E14" i="2"/>
  <c r="F14" i="2"/>
  <c r="G14" i="2"/>
  <c r="H14" i="2"/>
  <c r="I14" i="2"/>
  <c r="J14" i="2"/>
  <c r="K14" i="2"/>
  <c r="L14" i="2"/>
  <c r="M14" i="2"/>
  <c r="B14" i="2"/>
  <c r="B10" i="2"/>
  <c r="Q10" i="2"/>
  <c r="R12" i="2" l="1"/>
  <c r="S12" i="2"/>
  <c r="T12" i="2"/>
  <c r="U12" i="2"/>
  <c r="V12" i="2"/>
  <c r="W12" i="2"/>
  <c r="X12" i="2"/>
  <c r="Y12" i="2"/>
  <c r="Q12" i="2"/>
  <c r="R8" i="2"/>
  <c r="S8" i="2"/>
  <c r="T8" i="2"/>
  <c r="U8" i="2"/>
  <c r="V8" i="2"/>
  <c r="W8" i="2"/>
  <c r="X8" i="2"/>
  <c r="Y8" i="2"/>
  <c r="R10" i="2"/>
  <c r="S10" i="2"/>
  <c r="T10" i="2"/>
  <c r="U10" i="2"/>
  <c r="V10" i="2"/>
  <c r="W10" i="2"/>
  <c r="X10" i="2"/>
  <c r="Y10" i="2"/>
  <c r="Q8" i="2"/>
  <c r="C12" i="2"/>
  <c r="D12" i="2"/>
  <c r="E12" i="2"/>
  <c r="F12" i="2"/>
  <c r="G12" i="2"/>
  <c r="H12" i="2"/>
  <c r="I12" i="2"/>
  <c r="J12" i="2"/>
  <c r="K12" i="2"/>
  <c r="L12" i="2"/>
  <c r="M12" i="2"/>
  <c r="C10" i="2"/>
  <c r="D10" i="2"/>
  <c r="E10" i="2"/>
  <c r="F10" i="2"/>
  <c r="G10" i="2"/>
  <c r="H10" i="2"/>
  <c r="I10" i="2"/>
  <c r="J10" i="2"/>
  <c r="K10" i="2"/>
  <c r="L10" i="2"/>
  <c r="M10" i="2"/>
  <c r="B12" i="2"/>
  <c r="C8" i="2"/>
  <c r="D8" i="2"/>
  <c r="E8" i="2"/>
  <c r="F8" i="2"/>
  <c r="G8" i="2"/>
  <c r="H8" i="2"/>
  <c r="I8" i="2"/>
  <c r="J8" i="2"/>
  <c r="K8" i="2"/>
  <c r="L8" i="2"/>
  <c r="M8" i="2"/>
  <c r="B8" i="2"/>
  <c r="O8" i="1"/>
  <c r="M8" i="1"/>
  <c r="N8" i="1"/>
  <c r="H8" i="1"/>
  <c r="I8" i="1"/>
  <c r="J8" i="1"/>
  <c r="K8" i="1"/>
  <c r="L8" i="1"/>
  <c r="C8" i="1"/>
  <c r="D8" i="1"/>
  <c r="E8" i="1"/>
  <c r="F8" i="1"/>
  <c r="G8" i="1"/>
</calcChain>
</file>

<file path=xl/sharedStrings.xml><?xml version="1.0" encoding="utf-8"?>
<sst xmlns="http://schemas.openxmlformats.org/spreadsheetml/2006/main" count="74" uniqueCount="45">
  <si>
    <t>мВ</t>
  </si>
  <si>
    <t>500 Ом</t>
  </si>
  <si>
    <t>баланс</t>
  </si>
  <si>
    <t>R, Ом</t>
  </si>
  <si>
    <t>U_0, В</t>
  </si>
  <si>
    <t>R_m, Ом</t>
  </si>
  <si>
    <t>U_d, В</t>
  </si>
  <si>
    <t>U, мВ</t>
  </si>
  <si>
    <t>T = 23 C</t>
  </si>
  <si>
    <t>U_0</t>
  </si>
  <si>
    <t>0.62 мВ</t>
  </si>
  <si>
    <t>Rd, Ом</t>
  </si>
  <si>
    <t>T, C</t>
  </si>
  <si>
    <t>lnR</t>
  </si>
  <si>
    <t>0,75 мВ</t>
  </si>
  <si>
    <t>1,36 мВ</t>
  </si>
  <si>
    <t>1.56 мВ</t>
  </si>
  <si>
    <t>Нагревание</t>
  </si>
  <si>
    <t>Охлаждение</t>
  </si>
  <si>
    <t>delta U, мВ</t>
  </si>
  <si>
    <t>delta R, Ом</t>
  </si>
  <si>
    <t>delta Rd, Ом</t>
  </si>
  <si>
    <t>delta T, С</t>
  </si>
  <si>
    <t>1/T * 10^3</t>
  </si>
  <si>
    <t>delta 1/T * 10^3</t>
  </si>
  <si>
    <t>lnR/R_0</t>
  </si>
  <si>
    <t>delta lnR/R_0</t>
  </si>
  <si>
    <t>1/T 10^3</t>
  </si>
  <si>
    <t>T, K</t>
  </si>
  <si>
    <t>delta T, K</t>
  </si>
  <si>
    <t>delta U_d, В</t>
  </si>
  <si>
    <t>I_d * 10^3, А</t>
  </si>
  <si>
    <t>delta I_d * 10^3</t>
  </si>
  <si>
    <t>R_м, Ом</t>
  </si>
  <si>
    <t>I_d, мА</t>
  </si>
  <si>
    <t>delta I_d, мА</t>
  </si>
  <si>
    <t>U_терм</t>
  </si>
  <si>
    <t>T, К</t>
  </si>
  <si>
    <t>delta T, К</t>
  </si>
  <si>
    <t>I_0, мА</t>
  </si>
  <si>
    <t>delta I_0, мА</t>
  </si>
  <si>
    <t>1/T * 10^3, К</t>
  </si>
  <si>
    <t>delta 1/T * 10^3, К</t>
  </si>
  <si>
    <t>ln I_0/I_1</t>
  </si>
  <si>
    <t>delta ln I_0/I_1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</si>
</sst>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3" borderId="1" xfId="0" applyFont="1" applyFill="1" applyBorder="1"/>
    <xf numFmtId="2" fontId="0" fillId="0" borderId="1" xfId="0" applyNumberFormat="1" applyBorder="1"/>
    <xf numFmtId="4" fontId="0" fillId="0" borderId="1" xfId="0" applyNumberFormat="1" applyBorder="1"/>
    <xf numFmtId="164" fontId="0" fillId="0" borderId="1" xfId="0" applyNumberFormat="1" applyBorder="1"/>
    <xf numFmtId="0" fontId="2" fillId="2" borderId="0" xfId="0" applyFont="1" applyFill="1"/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3159667541557303E-2"/>
          <c:y val="0.17634259259259263"/>
          <c:w val="0.9097292213473315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'ВАХ диода'!$B$8:$O$8</c:f>
              <c:numCache>
                <c:formatCode>0.00</c:formatCode>
                <c:ptCount val="14"/>
                <c:pt idx="0">
                  <c:v>20.606060606060606</c:v>
                </c:pt>
                <c:pt idx="1">
                  <c:v>17.476769120800572</c:v>
                </c:pt>
                <c:pt idx="2">
                  <c:v>14.166075230660041</c:v>
                </c:pt>
                <c:pt idx="3">
                  <c:v>10.7475317348378</c:v>
                </c:pt>
                <c:pt idx="4">
                  <c:v>7.2549019607843137</c:v>
                </c:pt>
                <c:pt idx="5">
                  <c:v>3.671766342141864</c:v>
                </c:pt>
                <c:pt idx="6">
                  <c:v>0</c:v>
                </c:pt>
                <c:pt idx="7">
                  <c:v>-3.8844086021505375</c:v>
                </c:pt>
                <c:pt idx="8">
                  <c:v>-7.931034482758621</c:v>
                </c:pt>
                <c:pt idx="9">
                  <c:v>-12.027649769585253</c:v>
                </c:pt>
                <c:pt idx="10">
                  <c:v>-16.424870466321245</c:v>
                </c:pt>
                <c:pt idx="11">
                  <c:v>-21.25710675931775</c:v>
                </c:pt>
                <c:pt idx="12">
                  <c:v>-26.065879428216284</c:v>
                </c:pt>
                <c:pt idx="13">
                  <c:v>-31.087354917532071</c:v>
                </c:pt>
              </c:numCache>
            </c:numRef>
          </c:xVal>
          <c:yVal>
            <c:numRef>
              <c:f>'ВАХ диода'!$B$10:$O$10</c:f>
              <c:numCache>
                <c:formatCode>0.00</c:formatCode>
                <c:ptCount val="14"/>
                <c:pt idx="0">
                  <c:v>4.329004329004329</c:v>
                </c:pt>
                <c:pt idx="1">
                  <c:v>3.5739814152966409</c:v>
                </c:pt>
                <c:pt idx="2">
                  <c:v>2.8388928317955999</c:v>
                </c:pt>
                <c:pt idx="3">
                  <c:v>2.1156558533145278</c:v>
                </c:pt>
                <c:pt idx="4">
                  <c:v>1.4005602240896358</c:v>
                </c:pt>
                <c:pt idx="5">
                  <c:v>0.69541029207232263</c:v>
                </c:pt>
                <c:pt idx="6">
                  <c:v>0</c:v>
                </c:pt>
                <c:pt idx="7">
                  <c:v>-0.67204301075268813</c:v>
                </c:pt>
                <c:pt idx="8">
                  <c:v>-1.3262599469496021</c:v>
                </c:pt>
                <c:pt idx="9">
                  <c:v>-1.9749835418038184</c:v>
                </c:pt>
                <c:pt idx="10">
                  <c:v>-2.5906735751295336</c:v>
                </c:pt>
                <c:pt idx="11">
                  <c:v>-3.1585596967782692</c:v>
                </c:pt>
                <c:pt idx="12">
                  <c:v>-3.7290242386575514</c:v>
                </c:pt>
                <c:pt idx="13">
                  <c:v>-4.2761148442272452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E-435C-AB43-4113215C8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005839"/>
        <c:axId val="1157040799"/>
      </c:scatterChart>
      <c:valAx>
        <c:axId val="115700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040799"/>
        <c:crosses val="autoZero"/>
        <c:crossBetween val="midCat"/>
      </c:valAx>
      <c:valAx>
        <c:axId val="115704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00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17</xdr:row>
      <xdr:rowOff>114300</xdr:rowOff>
    </xdr:from>
    <xdr:to>
      <xdr:col>17</xdr:col>
      <xdr:colOff>152400</xdr:colOff>
      <xdr:row>34</xdr:row>
      <xdr:rowOff>15240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4D3A8D0-D700-4366-B8A0-6C6A0E11E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E9FC-C8F8-4B20-BD63-81BA8B605127}">
  <dimension ref="A1:O11"/>
  <sheetViews>
    <sheetView tabSelected="1" workbookViewId="0">
      <selection activeCell="K3" sqref="K3"/>
    </sheetView>
  </sheetViews>
  <sheetFormatPr defaultRowHeight="14.4" x14ac:dyDescent="0.3"/>
  <cols>
    <col min="1" max="1" width="13.77734375" customWidth="1"/>
  </cols>
  <sheetData>
    <row r="1" spans="1:15" x14ac:dyDescent="0.3">
      <c r="A1">
        <v>-0.23</v>
      </c>
      <c r="B1" t="s">
        <v>0</v>
      </c>
    </row>
    <row r="2" spans="1:15" x14ac:dyDescent="0.3">
      <c r="A2">
        <v>-0.03</v>
      </c>
      <c r="B2" t="s">
        <v>0</v>
      </c>
    </row>
    <row r="4" spans="1:15" x14ac:dyDescent="0.3">
      <c r="A4" t="s">
        <v>1</v>
      </c>
      <c r="B4" t="s">
        <v>2</v>
      </c>
    </row>
    <row r="6" spans="1:15" x14ac:dyDescent="0.3">
      <c r="A6" t="s">
        <v>4</v>
      </c>
      <c r="B6">
        <v>60</v>
      </c>
      <c r="C6">
        <v>50</v>
      </c>
      <c r="D6">
        <v>40</v>
      </c>
      <c r="E6">
        <v>30</v>
      </c>
      <c r="F6">
        <v>20</v>
      </c>
      <c r="G6">
        <v>10</v>
      </c>
      <c r="H6">
        <v>0</v>
      </c>
      <c r="I6">
        <v>-10</v>
      </c>
      <c r="J6">
        <v>-20</v>
      </c>
      <c r="K6">
        <v>-30</v>
      </c>
      <c r="L6">
        <v>-40</v>
      </c>
      <c r="M6">
        <v>-50</v>
      </c>
      <c r="N6">
        <v>-60</v>
      </c>
      <c r="O6">
        <v>-70</v>
      </c>
    </row>
    <row r="7" spans="1:15" x14ac:dyDescent="0.3">
      <c r="A7" t="s">
        <v>5</v>
      </c>
      <c r="B7">
        <v>476</v>
      </c>
      <c r="C7">
        <v>489</v>
      </c>
      <c r="D7">
        <v>499</v>
      </c>
      <c r="E7">
        <v>508</v>
      </c>
      <c r="F7">
        <v>518</v>
      </c>
      <c r="G7">
        <v>528</v>
      </c>
      <c r="H7">
        <v>0</v>
      </c>
      <c r="I7">
        <v>578</v>
      </c>
      <c r="J7">
        <v>598</v>
      </c>
      <c r="K7">
        <v>609</v>
      </c>
      <c r="L7">
        <v>634</v>
      </c>
      <c r="M7">
        <v>673</v>
      </c>
      <c r="N7">
        <v>699</v>
      </c>
      <c r="O7">
        <v>727</v>
      </c>
    </row>
    <row r="8" spans="1:15" x14ac:dyDescent="0.3">
      <c r="A8" t="s">
        <v>6</v>
      </c>
      <c r="B8" s="1">
        <f>B7 / (910 + B7) * B6</f>
        <v>20.606060606060606</v>
      </c>
      <c r="C8" s="1">
        <f t="shared" ref="C8:G8" si="0">C7 / (910 + C7) * C6</f>
        <v>17.476769120800572</v>
      </c>
      <c r="D8" s="1">
        <f t="shared" si="0"/>
        <v>14.166075230660041</v>
      </c>
      <c r="E8" s="1">
        <f t="shared" si="0"/>
        <v>10.7475317348378</v>
      </c>
      <c r="F8" s="1">
        <f t="shared" si="0"/>
        <v>7.2549019607843137</v>
      </c>
      <c r="G8" s="1">
        <f t="shared" si="0"/>
        <v>3.671766342141864</v>
      </c>
      <c r="H8" s="1">
        <f t="shared" ref="H8" si="1">H7 / (910 + H7) * H6</f>
        <v>0</v>
      </c>
      <c r="I8" s="1">
        <f t="shared" ref="I8" si="2">I7 / (910 + I7) * I6</f>
        <v>-3.8844086021505375</v>
      </c>
      <c r="J8" s="1">
        <f t="shared" ref="J8" si="3">J7 / (910 + J7) * J6</f>
        <v>-7.931034482758621</v>
      </c>
      <c r="K8" s="1">
        <f t="shared" ref="K8" si="4">K7 / (910 + K7) * K6</f>
        <v>-12.027649769585253</v>
      </c>
      <c r="L8" s="1">
        <f t="shared" ref="L8" si="5">L7 / (910 + L7) * L6</f>
        <v>-16.424870466321245</v>
      </c>
      <c r="M8" s="1">
        <f t="shared" ref="M8" si="6">M7 / (910 + M7) * M6</f>
        <v>-21.25710675931775</v>
      </c>
      <c r="N8" s="1">
        <f t="shared" ref="N8:O8" si="7">N7 / (910 + N7) * N6</f>
        <v>-26.065879428216284</v>
      </c>
      <c r="O8" s="1">
        <f t="shared" si="7"/>
        <v>-31.087354917532071</v>
      </c>
    </row>
    <row r="9" spans="1:15" x14ac:dyDescent="0.3">
      <c r="A9" t="s">
        <v>30</v>
      </c>
      <c r="B9" s="1">
        <f>SQRT(B6^2*(1/(910+B7)-B7/(910+B7)^2)^2*1+(B7/(910+B7))^2*1)</f>
        <v>0.34460847536226336</v>
      </c>
      <c r="C9" s="1">
        <f t="shared" ref="C9:O9" si="8">SQRT(C6^2*(1/(910+C7)-C7/(910+C7)^2)^2*1+(C7/(910+C7))^2*1)</f>
        <v>0.35030762066846638</v>
      </c>
      <c r="D9" s="1">
        <f t="shared" si="8"/>
        <v>0.35462617575011512</v>
      </c>
      <c r="E9" s="1">
        <f t="shared" si="8"/>
        <v>0.35850824365571649</v>
      </c>
      <c r="F9" s="1">
        <f t="shared" si="8"/>
        <v>0.36285488043016539</v>
      </c>
      <c r="G9" s="1">
        <f t="shared" si="8"/>
        <v>0.36720300521504273</v>
      </c>
      <c r="H9" s="1">
        <f t="shared" si="8"/>
        <v>0</v>
      </c>
      <c r="I9" s="1">
        <f t="shared" si="8"/>
        <v>0.38846260244090303</v>
      </c>
      <c r="J9" s="1">
        <f t="shared" si="8"/>
        <v>0.39663247800973289</v>
      </c>
      <c r="K9" s="1">
        <f t="shared" si="8"/>
        <v>0.40109620508909866</v>
      </c>
      <c r="L9" s="1">
        <f t="shared" si="8"/>
        <v>0.41090554805766394</v>
      </c>
      <c r="M9" s="1">
        <f t="shared" si="8"/>
        <v>0.42552969352286335</v>
      </c>
      <c r="N9" s="1">
        <f t="shared" si="8"/>
        <v>0.43494295182637638</v>
      </c>
      <c r="O9" s="1">
        <f t="shared" si="8"/>
        <v>0.44474077828250658</v>
      </c>
    </row>
    <row r="10" spans="1:15" x14ac:dyDescent="0.3">
      <c r="A10" t="s">
        <v>31</v>
      </c>
      <c r="B10" s="1">
        <f t="shared" ref="B10:O10" si="9" xml:space="preserve"> (B6 - B8) / 9100 * 1000</f>
        <v>4.329004329004329</v>
      </c>
      <c r="C10" s="1">
        <f t="shared" si="9"/>
        <v>3.5739814152966409</v>
      </c>
      <c r="D10" s="1">
        <f t="shared" si="9"/>
        <v>2.8388928317955999</v>
      </c>
      <c r="E10" s="1">
        <f t="shared" si="9"/>
        <v>2.1156558533145278</v>
      </c>
      <c r="F10" s="1">
        <f t="shared" si="9"/>
        <v>1.4005602240896358</v>
      </c>
      <c r="G10" s="1">
        <f t="shared" si="9"/>
        <v>0.69541029207232263</v>
      </c>
      <c r="H10" s="1">
        <f t="shared" si="9"/>
        <v>0</v>
      </c>
      <c r="I10" s="1">
        <f t="shared" si="9"/>
        <v>-0.67204301075268813</v>
      </c>
      <c r="J10" s="1">
        <f t="shared" si="9"/>
        <v>-1.3262599469496021</v>
      </c>
      <c r="K10" s="1">
        <f t="shared" si="9"/>
        <v>-1.9749835418038184</v>
      </c>
      <c r="L10" s="1">
        <f t="shared" si="9"/>
        <v>-2.5906735751295336</v>
      </c>
      <c r="M10" s="1">
        <f t="shared" si="9"/>
        <v>-3.1585596967782692</v>
      </c>
      <c r="N10" s="1">
        <f t="shared" si="9"/>
        <v>-3.7290242386575514</v>
      </c>
      <c r="O10" s="1">
        <f t="shared" si="9"/>
        <v>-4.2761148442272452</v>
      </c>
    </row>
    <row r="11" spans="1:15" x14ac:dyDescent="0.3">
      <c r="A11" t="s">
        <v>32</v>
      </c>
      <c r="B11" s="1">
        <f>SQRT(B9^2 + 1) /9100 * 1000</f>
        <v>0.11623210486488814</v>
      </c>
      <c r="C11" s="1">
        <f t="shared" ref="C11:O11" si="10">SQRT(C9^2 + 1) /9100 * 1000</f>
        <v>0.11643765576051837</v>
      </c>
      <c r="D11" s="1">
        <f t="shared" si="10"/>
        <v>0.1165954119685</v>
      </c>
      <c r="E11" s="1">
        <f t="shared" si="10"/>
        <v>0.11673868799517684</v>
      </c>
      <c r="F11" s="1">
        <f t="shared" si="10"/>
        <v>0.11690074893456009</v>
      </c>
      <c r="G11" s="1">
        <f t="shared" si="10"/>
        <v>0.11706459083854767</v>
      </c>
      <c r="H11" s="1">
        <f>SQRT(H9^2 + 1) /9100 * 1000</f>
        <v>0.10989010989010989</v>
      </c>
      <c r="I11" s="1">
        <f t="shared" si="10"/>
        <v>0.11789028164425003</v>
      </c>
      <c r="J11" s="1">
        <f t="shared" si="10"/>
        <v>0.11821833393799069</v>
      </c>
      <c r="K11" s="1">
        <f t="shared" si="10"/>
        <v>0.1184000618140313</v>
      </c>
      <c r="L11" s="1">
        <f t="shared" si="10"/>
        <v>0.11880556019399989</v>
      </c>
      <c r="M11" s="1">
        <f t="shared" si="10"/>
        <v>0.11942560270396763</v>
      </c>
      <c r="N11" s="1">
        <f t="shared" si="10"/>
        <v>0.11983441516881069</v>
      </c>
      <c r="O11" s="1">
        <f t="shared" si="10"/>
        <v>0.12026790325319676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78A7-C32D-4CA6-BD3F-F356C25330D8}">
  <dimension ref="A2:Y41"/>
  <sheetViews>
    <sheetView topLeftCell="A4" workbookViewId="0">
      <selection activeCell="B10" sqref="B10"/>
    </sheetView>
  </sheetViews>
  <sheetFormatPr defaultRowHeight="14.4" x14ac:dyDescent="0.3"/>
  <cols>
    <col min="1" max="1" width="14.77734375" customWidth="1"/>
    <col min="2" max="2" width="12" bestFit="1" customWidth="1"/>
    <col min="16" max="16" width="14" customWidth="1"/>
    <col min="17" max="17" width="12" bestFit="1" customWidth="1"/>
  </cols>
  <sheetData>
    <row r="2" spans="1:25" x14ac:dyDescent="0.3">
      <c r="B2" t="s">
        <v>8</v>
      </c>
    </row>
    <row r="3" spans="1:25" x14ac:dyDescent="0.3">
      <c r="A3" s="2"/>
      <c r="B3" s="8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P3" s="2"/>
      <c r="Q3" s="9" t="s">
        <v>18</v>
      </c>
      <c r="R3" s="9"/>
      <c r="S3" s="9"/>
      <c r="T3" s="9"/>
      <c r="U3" s="9"/>
      <c r="V3" s="9"/>
      <c r="W3" s="9"/>
      <c r="X3" s="9"/>
      <c r="Y3" s="9"/>
    </row>
    <row r="4" spans="1:25" x14ac:dyDescent="0.3">
      <c r="A4" s="3" t="s">
        <v>7</v>
      </c>
      <c r="B4" s="2">
        <v>-7.0000000000000007E-2</v>
      </c>
      <c r="C4" s="2">
        <v>0.13</v>
      </c>
      <c r="D4" s="2">
        <v>0.33</v>
      </c>
      <c r="E4" s="2">
        <v>0.53</v>
      </c>
      <c r="F4" s="2">
        <v>0.73</v>
      </c>
      <c r="G4" s="2">
        <v>0.93</v>
      </c>
      <c r="H4" s="2">
        <v>1.1299999999999999</v>
      </c>
      <c r="I4" s="2">
        <v>1.34</v>
      </c>
      <c r="J4" s="2">
        <v>1.53</v>
      </c>
      <c r="K4" s="2">
        <v>1.73</v>
      </c>
      <c r="L4" s="2">
        <v>1.93</v>
      </c>
      <c r="M4" s="2">
        <v>2.06</v>
      </c>
      <c r="P4" s="3" t="s">
        <v>7</v>
      </c>
      <c r="Q4" s="4">
        <v>1.99</v>
      </c>
      <c r="R4" s="2">
        <v>1.79</v>
      </c>
      <c r="S4" s="4">
        <v>1.59</v>
      </c>
      <c r="T4" s="2">
        <v>1.39</v>
      </c>
      <c r="U4" s="4">
        <v>1.19</v>
      </c>
      <c r="V4" s="2">
        <v>0.99</v>
      </c>
      <c r="W4" s="4">
        <v>0.79</v>
      </c>
      <c r="X4" s="2">
        <v>0.59</v>
      </c>
      <c r="Y4" s="4">
        <v>0.39</v>
      </c>
    </row>
    <row r="5" spans="1:25" x14ac:dyDescent="0.3">
      <c r="A5" s="3" t="s">
        <v>19</v>
      </c>
      <c r="B5" s="2">
        <v>0.01</v>
      </c>
      <c r="C5" s="2">
        <v>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  <c r="I5" s="2">
        <v>0.01</v>
      </c>
      <c r="J5" s="2">
        <v>0.01</v>
      </c>
      <c r="K5" s="2">
        <v>0.01</v>
      </c>
      <c r="L5" s="2">
        <v>0.01</v>
      </c>
      <c r="M5" s="2">
        <v>0.01</v>
      </c>
      <c r="P5" s="3" t="s">
        <v>19</v>
      </c>
      <c r="Q5" s="2">
        <v>0.01</v>
      </c>
      <c r="R5" s="2">
        <v>0.01</v>
      </c>
      <c r="S5" s="2">
        <v>0.01</v>
      </c>
      <c r="T5" s="2">
        <v>0.01</v>
      </c>
      <c r="U5" s="2">
        <v>0.01</v>
      </c>
      <c r="V5" s="2">
        <v>0.01</v>
      </c>
      <c r="W5" s="2">
        <v>0.01</v>
      </c>
      <c r="X5" s="2">
        <v>0.01</v>
      </c>
      <c r="Y5" s="2">
        <v>0.01</v>
      </c>
    </row>
    <row r="6" spans="1:25" x14ac:dyDescent="0.3">
      <c r="A6" s="3" t="s">
        <v>3</v>
      </c>
      <c r="B6" s="2">
        <v>547</v>
      </c>
      <c r="C6" s="2">
        <v>377</v>
      </c>
      <c r="D6" s="2">
        <v>240</v>
      </c>
      <c r="E6" s="2">
        <v>171</v>
      </c>
      <c r="F6" s="2">
        <v>118</v>
      </c>
      <c r="G6" s="2">
        <v>96</v>
      </c>
      <c r="H6" s="2">
        <v>77</v>
      </c>
      <c r="I6" s="2">
        <v>62</v>
      </c>
      <c r="J6" s="2">
        <v>39</v>
      </c>
      <c r="K6" s="2">
        <v>34</v>
      </c>
      <c r="L6" s="2">
        <v>25</v>
      </c>
      <c r="M6" s="2">
        <v>21</v>
      </c>
      <c r="P6" s="3" t="s">
        <v>3</v>
      </c>
      <c r="Q6" s="2">
        <v>22</v>
      </c>
      <c r="R6" s="2">
        <v>31</v>
      </c>
      <c r="S6" s="2">
        <v>40</v>
      </c>
      <c r="T6" s="2">
        <v>60</v>
      </c>
      <c r="U6" s="2">
        <v>76</v>
      </c>
      <c r="V6" s="2">
        <v>98</v>
      </c>
      <c r="W6" s="2">
        <v>118</v>
      </c>
      <c r="X6" s="2">
        <v>142</v>
      </c>
      <c r="Y6" s="2">
        <v>202</v>
      </c>
    </row>
    <row r="7" spans="1:25" x14ac:dyDescent="0.3">
      <c r="A7" s="3" t="s">
        <v>20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P7" s="3" t="s">
        <v>20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  <row r="8" spans="1:25" x14ac:dyDescent="0.3">
      <c r="A8" s="3" t="s">
        <v>11</v>
      </c>
      <c r="B8" s="2">
        <f t="shared" ref="B8:M8" si="0" xml:space="preserve"> 10 * B6</f>
        <v>5470</v>
      </c>
      <c r="C8" s="2">
        <f t="shared" si="0"/>
        <v>3770</v>
      </c>
      <c r="D8" s="2">
        <f t="shared" si="0"/>
        <v>2400</v>
      </c>
      <c r="E8" s="2">
        <f t="shared" si="0"/>
        <v>1710</v>
      </c>
      <c r="F8" s="2">
        <f t="shared" si="0"/>
        <v>1180</v>
      </c>
      <c r="G8" s="2">
        <f t="shared" si="0"/>
        <v>960</v>
      </c>
      <c r="H8" s="2">
        <f t="shared" si="0"/>
        <v>770</v>
      </c>
      <c r="I8" s="2">
        <f t="shared" si="0"/>
        <v>620</v>
      </c>
      <c r="J8" s="2">
        <f t="shared" si="0"/>
        <v>390</v>
      </c>
      <c r="K8" s="2">
        <f t="shared" si="0"/>
        <v>340</v>
      </c>
      <c r="L8" s="2">
        <f t="shared" si="0"/>
        <v>250</v>
      </c>
      <c r="M8" s="2">
        <f t="shared" si="0"/>
        <v>210</v>
      </c>
      <c r="P8" s="3" t="s">
        <v>11</v>
      </c>
      <c r="Q8" s="2">
        <f t="shared" ref="Q8:Y8" si="1">10 * Q6</f>
        <v>220</v>
      </c>
      <c r="R8" s="2">
        <f t="shared" si="1"/>
        <v>310</v>
      </c>
      <c r="S8" s="2">
        <f t="shared" si="1"/>
        <v>400</v>
      </c>
      <c r="T8" s="2">
        <f t="shared" si="1"/>
        <v>600</v>
      </c>
      <c r="U8" s="2">
        <f t="shared" si="1"/>
        <v>760</v>
      </c>
      <c r="V8" s="2">
        <f t="shared" si="1"/>
        <v>980</v>
      </c>
      <c r="W8" s="2">
        <f t="shared" si="1"/>
        <v>1180</v>
      </c>
      <c r="X8" s="2">
        <f t="shared" si="1"/>
        <v>1420</v>
      </c>
      <c r="Y8" s="2">
        <f t="shared" si="1"/>
        <v>2020</v>
      </c>
    </row>
    <row r="9" spans="1:25" x14ac:dyDescent="0.3">
      <c r="A9" s="3" t="s">
        <v>21</v>
      </c>
      <c r="B9" s="2">
        <v>10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P9" s="3" t="s">
        <v>21</v>
      </c>
      <c r="Q9" s="2">
        <v>10</v>
      </c>
      <c r="R9" s="2">
        <v>10</v>
      </c>
      <c r="S9" s="2">
        <v>10</v>
      </c>
      <c r="T9" s="2">
        <v>10</v>
      </c>
      <c r="U9" s="2">
        <v>10</v>
      </c>
      <c r="V9" s="2">
        <v>10</v>
      </c>
      <c r="W9" s="2">
        <v>10</v>
      </c>
      <c r="X9" s="2">
        <v>10</v>
      </c>
      <c r="Y9" s="2">
        <v>10</v>
      </c>
    </row>
    <row r="10" spans="1:25" x14ac:dyDescent="0.3">
      <c r="A10" s="3" t="s">
        <v>12</v>
      </c>
      <c r="B10" s="4">
        <f t="shared" ref="B10:M10" si="2">(0.13 + B4)/(41 * 10^(-3)) + 296</f>
        <v>297.46341463414632</v>
      </c>
      <c r="C10" s="4">
        <f t="shared" si="2"/>
        <v>302.34146341463412</v>
      </c>
      <c r="D10" s="4">
        <f t="shared" si="2"/>
        <v>307.21951219512198</v>
      </c>
      <c r="E10" s="4">
        <f t="shared" si="2"/>
        <v>312.09756097560978</v>
      </c>
      <c r="F10" s="4">
        <f t="shared" si="2"/>
        <v>316.97560975609758</v>
      </c>
      <c r="G10" s="4">
        <f t="shared" si="2"/>
        <v>321.85365853658539</v>
      </c>
      <c r="H10" s="4">
        <f t="shared" si="2"/>
        <v>326.73170731707319</v>
      </c>
      <c r="I10" s="4">
        <f t="shared" si="2"/>
        <v>331.85365853658539</v>
      </c>
      <c r="J10" s="4">
        <f t="shared" si="2"/>
        <v>336.48780487804879</v>
      </c>
      <c r="K10" s="4">
        <f t="shared" si="2"/>
        <v>341.36585365853659</v>
      </c>
      <c r="L10" s="4">
        <f t="shared" si="2"/>
        <v>346.2439024390244</v>
      </c>
      <c r="M10" s="4">
        <f t="shared" si="2"/>
        <v>349.41463414634148</v>
      </c>
      <c r="P10" s="3" t="s">
        <v>28</v>
      </c>
      <c r="Q10" s="5">
        <f t="shared" ref="Q10:Y10" si="3">(0.13 + Q4)/(41 * 10^(-3)) + 296</f>
        <v>347.70731707317071</v>
      </c>
      <c r="R10" s="5">
        <f t="shared" si="3"/>
        <v>342.82926829268291</v>
      </c>
      <c r="S10" s="5">
        <f t="shared" si="3"/>
        <v>337.95121951219511</v>
      </c>
      <c r="T10" s="5">
        <f t="shared" si="3"/>
        <v>333.07317073170731</v>
      </c>
      <c r="U10" s="5">
        <f t="shared" si="3"/>
        <v>328.19512195121951</v>
      </c>
      <c r="V10" s="5">
        <f t="shared" si="3"/>
        <v>323.3170731707317</v>
      </c>
      <c r="W10" s="5">
        <f t="shared" si="3"/>
        <v>318.4390243902439</v>
      </c>
      <c r="X10" s="5">
        <f t="shared" si="3"/>
        <v>313.5609756097561</v>
      </c>
      <c r="Y10" s="5">
        <f t="shared" si="3"/>
        <v>308.6829268292683</v>
      </c>
    </row>
    <row r="11" spans="1:25" x14ac:dyDescent="0.3">
      <c r="A11" s="3" t="s">
        <v>22</v>
      </c>
      <c r="B11" s="2">
        <v>1.03</v>
      </c>
      <c r="C11" s="2">
        <v>1.03</v>
      </c>
      <c r="D11" s="2">
        <v>1.03</v>
      </c>
      <c r="E11" s="2">
        <v>1.03</v>
      </c>
      <c r="F11" s="2">
        <v>1.03</v>
      </c>
      <c r="G11" s="2">
        <v>1.03</v>
      </c>
      <c r="H11" s="2">
        <v>1.03</v>
      </c>
      <c r="I11" s="2">
        <v>1.03</v>
      </c>
      <c r="J11" s="2">
        <v>1.03</v>
      </c>
      <c r="K11" s="2">
        <v>1.03</v>
      </c>
      <c r="L11" s="2">
        <v>1.03</v>
      </c>
      <c r="M11" s="2">
        <v>1.03</v>
      </c>
      <c r="P11" s="3" t="s">
        <v>29</v>
      </c>
      <c r="Q11" s="2">
        <v>1.03</v>
      </c>
      <c r="R11" s="2">
        <v>1.03</v>
      </c>
      <c r="S11" s="2">
        <v>1.03</v>
      </c>
      <c r="T11" s="2">
        <v>1.03</v>
      </c>
      <c r="U11" s="2">
        <v>1.03</v>
      </c>
      <c r="V11" s="2">
        <v>1.03</v>
      </c>
      <c r="W11" s="2">
        <v>1.03</v>
      </c>
      <c r="X11" s="2">
        <v>1.03</v>
      </c>
      <c r="Y11" s="2">
        <v>1.03</v>
      </c>
    </row>
    <row r="12" spans="1:25" x14ac:dyDescent="0.3">
      <c r="A12" s="3" t="s">
        <v>25</v>
      </c>
      <c r="B12" s="6">
        <f t="shared" ref="B12:M12" si="4" xml:space="preserve"> LN(B6)</f>
        <v>6.3044488024219811</v>
      </c>
      <c r="C12" s="6">
        <f t="shared" si="4"/>
        <v>5.9322451874480109</v>
      </c>
      <c r="D12" s="6">
        <f t="shared" si="4"/>
        <v>5.4806389233419912</v>
      </c>
      <c r="E12" s="6">
        <f t="shared" si="4"/>
        <v>5.1416635565026603</v>
      </c>
      <c r="F12" s="6">
        <f t="shared" si="4"/>
        <v>4.7706846244656651</v>
      </c>
      <c r="G12" s="6">
        <f t="shared" si="4"/>
        <v>4.5643481914678361</v>
      </c>
      <c r="H12" s="6">
        <f t="shared" si="4"/>
        <v>4.3438054218536841</v>
      </c>
      <c r="I12" s="6">
        <f t="shared" si="4"/>
        <v>4.1271343850450917</v>
      </c>
      <c r="J12" s="6">
        <f t="shared" si="4"/>
        <v>3.6635616461296463</v>
      </c>
      <c r="K12" s="6">
        <f t="shared" si="4"/>
        <v>3.5263605246161616</v>
      </c>
      <c r="L12" s="6">
        <f t="shared" si="4"/>
        <v>3.2188758248682006</v>
      </c>
      <c r="M12" s="6">
        <f t="shared" si="4"/>
        <v>3.044522437723423</v>
      </c>
      <c r="P12" s="3" t="s">
        <v>13</v>
      </c>
      <c r="Q12" s="6">
        <f t="shared" ref="Q12:Y12" si="5">LN(Q6)</f>
        <v>3.0910424533583161</v>
      </c>
      <c r="R12" s="6">
        <f t="shared" si="5"/>
        <v>3.4339872044851463</v>
      </c>
      <c r="S12" s="6">
        <f t="shared" si="5"/>
        <v>3.6888794541139363</v>
      </c>
      <c r="T12" s="6">
        <f t="shared" si="5"/>
        <v>4.0943445622221004</v>
      </c>
      <c r="U12" s="6">
        <f t="shared" si="5"/>
        <v>4.3307333402863311</v>
      </c>
      <c r="V12" s="6">
        <f t="shared" si="5"/>
        <v>4.5849674786705723</v>
      </c>
      <c r="W12" s="6">
        <f t="shared" si="5"/>
        <v>4.7706846244656651</v>
      </c>
      <c r="X12" s="6">
        <f t="shared" si="5"/>
        <v>4.9558270576012609</v>
      </c>
      <c r="Y12" s="6">
        <f t="shared" si="5"/>
        <v>5.3082676974012051</v>
      </c>
    </row>
    <row r="13" spans="1:25" x14ac:dyDescent="0.3">
      <c r="A13" s="3" t="s">
        <v>26</v>
      </c>
      <c r="B13" s="6">
        <f>B9/B8</f>
        <v>1.8281535648994515E-3</v>
      </c>
      <c r="C13" s="6">
        <f t="shared" ref="C13:M13" si="6">C9/C8</f>
        <v>2.6525198938992041E-3</v>
      </c>
      <c r="D13" s="6">
        <f t="shared" si="6"/>
        <v>4.1666666666666666E-3</v>
      </c>
      <c r="E13" s="6">
        <f t="shared" si="6"/>
        <v>5.8479532163742687E-3</v>
      </c>
      <c r="F13" s="6">
        <f t="shared" si="6"/>
        <v>8.4745762711864406E-3</v>
      </c>
      <c r="G13" s="6">
        <f t="shared" si="6"/>
        <v>1.0416666666666666E-2</v>
      </c>
      <c r="H13" s="6">
        <f t="shared" si="6"/>
        <v>1.2987012987012988E-2</v>
      </c>
      <c r="I13" s="6">
        <f t="shared" si="6"/>
        <v>1.6129032258064516E-2</v>
      </c>
      <c r="J13" s="6">
        <f t="shared" si="6"/>
        <v>2.564102564102564E-2</v>
      </c>
      <c r="K13" s="6">
        <f t="shared" si="6"/>
        <v>2.9411764705882353E-2</v>
      </c>
      <c r="L13" s="6">
        <f t="shared" si="6"/>
        <v>0.04</v>
      </c>
      <c r="M13" s="6">
        <f t="shared" si="6"/>
        <v>4.7619047619047616E-2</v>
      </c>
      <c r="P13" s="3" t="s">
        <v>26</v>
      </c>
      <c r="Q13" s="6">
        <f>Q9/Q8</f>
        <v>4.5454545454545456E-2</v>
      </c>
      <c r="R13" s="6">
        <f t="shared" ref="R13:Y13" si="7">R9/R8</f>
        <v>3.2258064516129031E-2</v>
      </c>
      <c r="S13" s="6">
        <f t="shared" si="7"/>
        <v>2.5000000000000001E-2</v>
      </c>
      <c r="T13" s="6">
        <f t="shared" si="7"/>
        <v>1.6666666666666666E-2</v>
      </c>
      <c r="U13" s="6">
        <f t="shared" si="7"/>
        <v>1.3157894736842105E-2</v>
      </c>
      <c r="V13" s="6">
        <f t="shared" si="7"/>
        <v>1.020408163265306E-2</v>
      </c>
      <c r="W13" s="6">
        <f t="shared" si="7"/>
        <v>8.4745762711864406E-3</v>
      </c>
      <c r="X13" s="6">
        <f t="shared" si="7"/>
        <v>7.0422535211267607E-3</v>
      </c>
      <c r="Y13" s="6">
        <f t="shared" si="7"/>
        <v>4.9504950495049506E-3</v>
      </c>
    </row>
    <row r="14" spans="1:25" x14ac:dyDescent="0.3">
      <c r="A14" s="3" t="s">
        <v>23</v>
      </c>
      <c r="B14" s="4">
        <f t="shared" ref="B14:M14" si="8" xml:space="preserve"> 1 / B10 * 10^3</f>
        <v>3.3617579534273534</v>
      </c>
      <c r="C14" s="4">
        <f t="shared" si="8"/>
        <v>3.3075185543723786</v>
      </c>
      <c r="D14" s="4">
        <f t="shared" si="8"/>
        <v>3.2550015878056522</v>
      </c>
      <c r="E14" s="4">
        <f t="shared" si="8"/>
        <v>3.2041262894654574</v>
      </c>
      <c r="F14" s="4">
        <f t="shared" si="8"/>
        <v>3.1548168667282237</v>
      </c>
      <c r="G14" s="4">
        <f t="shared" si="8"/>
        <v>3.1070021218551074</v>
      </c>
      <c r="H14" s="4">
        <f t="shared" si="8"/>
        <v>3.0606151089877573</v>
      </c>
      <c r="I14" s="4">
        <f t="shared" si="8"/>
        <v>3.0133764515654855</v>
      </c>
      <c r="J14" s="4">
        <f t="shared" si="8"/>
        <v>2.9718759060597275</v>
      </c>
      <c r="K14" s="4">
        <f t="shared" si="8"/>
        <v>2.9294084024006857</v>
      </c>
      <c r="L14" s="4">
        <f t="shared" si="8"/>
        <v>2.8881375035221186</v>
      </c>
      <c r="M14" s="4">
        <f t="shared" si="8"/>
        <v>2.8619293592070361</v>
      </c>
      <c r="P14" s="3" t="s">
        <v>27</v>
      </c>
      <c r="Q14" s="4">
        <f>1/Q10 * 1000</f>
        <v>2.8759820426487095</v>
      </c>
      <c r="R14" s="4">
        <f t="shared" ref="R14:Y14" si="9">1/R10 * 1000</f>
        <v>2.916903813318156</v>
      </c>
      <c r="S14" s="4">
        <f t="shared" si="9"/>
        <v>2.9590069284064664</v>
      </c>
      <c r="T14" s="4">
        <f t="shared" si="9"/>
        <v>3.0023432923257176</v>
      </c>
      <c r="U14" s="4">
        <f t="shared" si="9"/>
        <v>3.0469678953626635</v>
      </c>
      <c r="V14" s="4">
        <f t="shared" si="9"/>
        <v>3.0929390464695232</v>
      </c>
      <c r="W14" s="4">
        <f t="shared" si="9"/>
        <v>3.1403186274509807</v>
      </c>
      <c r="X14" s="4">
        <f t="shared" si="9"/>
        <v>3.1891723708774116</v>
      </c>
      <c r="Y14" s="4">
        <f t="shared" si="9"/>
        <v>3.2395701643489252</v>
      </c>
    </row>
    <row r="15" spans="1:25" x14ac:dyDescent="0.3">
      <c r="A15" s="3" t="s">
        <v>24</v>
      </c>
      <c r="B15" s="4">
        <f t="shared" ref="B15:M15" si="10">B11 / B10^2 * 10^3</f>
        <v>1.1640459033555029E-2</v>
      </c>
      <c r="C15" s="4">
        <f t="shared" si="10"/>
        <v>1.1267869357143075E-2</v>
      </c>
      <c r="D15" s="4">
        <f t="shared" si="10"/>
        <v>1.0912886396715837E-2</v>
      </c>
      <c r="E15" s="4">
        <f t="shared" si="10"/>
        <v>1.0574418037208993E-2</v>
      </c>
      <c r="F15" s="4">
        <f t="shared" si="10"/>
        <v>1.0251455546470674E-2</v>
      </c>
      <c r="G15" s="4">
        <f t="shared" si="10"/>
        <v>9.9430660507685044E-3</v>
      </c>
      <c r="H15" s="4">
        <f t="shared" si="10"/>
        <v>9.6483857907250659E-3</v>
      </c>
      <c r="I15" s="4">
        <f t="shared" si="10"/>
        <v>9.3528507680148802E-3</v>
      </c>
      <c r="J15" s="4">
        <f t="shared" si="10"/>
        <v>9.0970077930488755E-3</v>
      </c>
      <c r="K15" s="4">
        <f t="shared" si="10"/>
        <v>8.8388765956974105E-3</v>
      </c>
      <c r="L15" s="4">
        <f t="shared" si="10"/>
        <v>8.5915783864285063E-3</v>
      </c>
      <c r="M15" s="4">
        <f t="shared" si="10"/>
        <v>8.4363588468039305E-3</v>
      </c>
      <c r="P15" s="3" t="s">
        <v>24</v>
      </c>
      <c r="Q15" s="4">
        <f>Q11/Q10^2 * 10^3</f>
        <v>8.5194108909269796E-3</v>
      </c>
      <c r="R15" s="4">
        <f t="shared" ref="R15:Y15" si="11">R11/R10^2 * 10^3</f>
        <v>8.763577691834501E-3</v>
      </c>
      <c r="S15" s="4">
        <f t="shared" si="11"/>
        <v>9.0183936624281969E-3</v>
      </c>
      <c r="T15" s="4">
        <f t="shared" si="11"/>
        <v>9.2844872023224272E-3</v>
      </c>
      <c r="U15" s="4">
        <f t="shared" si="11"/>
        <v>9.5625337560319018E-3</v>
      </c>
      <c r="V15" s="4">
        <f t="shared" si="11"/>
        <v>9.8532601035310786E-3</v>
      </c>
      <c r="W15" s="4">
        <f t="shared" si="11"/>
        <v>1.0157449114373078E-2</v>
      </c>
      <c r="X15" s="4">
        <f t="shared" si="11"/>
        <v>1.0475945023502884E-2</v>
      </c>
      <c r="Y15" s="4">
        <f t="shared" si="11"/>
        <v>1.0809659295231915E-2</v>
      </c>
    </row>
    <row r="21" spans="2:5" x14ac:dyDescent="0.3">
      <c r="B21">
        <v>6.3044488024219811</v>
      </c>
      <c r="C21">
        <v>1.8281535648994515E-3</v>
      </c>
      <c r="D21">
        <v>3.3617579534273534</v>
      </c>
      <c r="E21">
        <v>1.1640459033555029E-2</v>
      </c>
    </row>
    <row r="22" spans="2:5" x14ac:dyDescent="0.3">
      <c r="B22">
        <v>5.9322451874480109</v>
      </c>
      <c r="C22">
        <v>2.6525198938992041E-3</v>
      </c>
      <c r="D22">
        <v>3.3075185543723786</v>
      </c>
      <c r="E22">
        <v>1.1267869357143075E-2</v>
      </c>
    </row>
    <row r="23" spans="2:5" x14ac:dyDescent="0.3">
      <c r="B23">
        <v>5.4806389233419912</v>
      </c>
      <c r="C23">
        <v>4.1666666666666666E-3</v>
      </c>
      <c r="D23">
        <v>3.2550015878056522</v>
      </c>
      <c r="E23">
        <v>1.0912886396715837E-2</v>
      </c>
    </row>
    <row r="24" spans="2:5" x14ac:dyDescent="0.3">
      <c r="B24">
        <v>5.1416635565026603</v>
      </c>
      <c r="C24">
        <v>5.8479532163742687E-3</v>
      </c>
      <c r="D24">
        <v>3.2041262894654574</v>
      </c>
      <c r="E24">
        <v>1.0574418037208993E-2</v>
      </c>
    </row>
    <row r="25" spans="2:5" x14ac:dyDescent="0.3">
      <c r="B25">
        <v>4.7706846244656651</v>
      </c>
      <c r="C25">
        <v>8.4745762711864406E-3</v>
      </c>
      <c r="D25">
        <v>3.1548168667282237</v>
      </c>
      <c r="E25">
        <v>1.0251455546470674E-2</v>
      </c>
    </row>
    <row r="26" spans="2:5" x14ac:dyDescent="0.3">
      <c r="B26">
        <v>4.5643481914678361</v>
      </c>
      <c r="C26">
        <v>1.0416666666666666E-2</v>
      </c>
      <c r="D26">
        <v>3.1070021218551074</v>
      </c>
      <c r="E26">
        <v>9.9430660507685044E-3</v>
      </c>
    </row>
    <row r="27" spans="2:5" x14ac:dyDescent="0.3">
      <c r="B27">
        <v>4.3438054218536841</v>
      </c>
      <c r="C27">
        <v>1.2987012987012988E-2</v>
      </c>
      <c r="D27">
        <v>3.0606151089877573</v>
      </c>
      <c r="E27">
        <v>9.6483857907250659E-3</v>
      </c>
    </row>
    <row r="28" spans="2:5" x14ac:dyDescent="0.3">
      <c r="B28">
        <v>4.1271343850450917</v>
      </c>
      <c r="C28">
        <v>1.6129032258064516E-2</v>
      </c>
      <c r="D28">
        <v>3.0133764515654855</v>
      </c>
      <c r="E28">
        <v>9.3528507680148802E-3</v>
      </c>
    </row>
    <row r="29" spans="2:5" x14ac:dyDescent="0.3">
      <c r="B29">
        <v>3.6635616461296463</v>
      </c>
      <c r="C29">
        <v>2.564102564102564E-2</v>
      </c>
      <c r="D29">
        <v>2.9718759060597275</v>
      </c>
      <c r="E29">
        <v>9.0970077930488755E-3</v>
      </c>
    </row>
    <row r="30" spans="2:5" x14ac:dyDescent="0.3">
      <c r="B30">
        <v>3.5263605246161616</v>
      </c>
      <c r="C30">
        <v>2.9411764705882353E-2</v>
      </c>
      <c r="D30">
        <v>2.9294084024006857</v>
      </c>
      <c r="E30">
        <v>8.8388765956974105E-3</v>
      </c>
    </row>
    <row r="31" spans="2:5" x14ac:dyDescent="0.3">
      <c r="B31">
        <v>3.2188758248682006</v>
      </c>
      <c r="C31">
        <v>0.04</v>
      </c>
      <c r="D31">
        <v>2.8881375035221186</v>
      </c>
      <c r="E31">
        <v>8.5915783864285063E-3</v>
      </c>
    </row>
    <row r="32" spans="2:5" x14ac:dyDescent="0.3">
      <c r="B32">
        <v>3.044522437723423</v>
      </c>
      <c r="C32">
        <v>4.7619047619047616E-2</v>
      </c>
      <c r="D32">
        <v>2.8619293592070361</v>
      </c>
      <c r="E32">
        <v>8.4363588468039305E-3</v>
      </c>
    </row>
    <row r="33" spans="1:5" x14ac:dyDescent="0.3">
      <c r="A33" s="7"/>
      <c r="B33">
        <v>3.0910424533583161</v>
      </c>
      <c r="C33">
        <v>4.5454545454545456E-2</v>
      </c>
      <c r="D33">
        <v>2.8759820426487095</v>
      </c>
      <c r="E33">
        <v>8.5194108909269796E-3</v>
      </c>
    </row>
    <row r="34" spans="1:5" x14ac:dyDescent="0.3">
      <c r="A34" s="7"/>
      <c r="B34">
        <v>3.4339872044851463</v>
      </c>
      <c r="C34">
        <v>3.2258064516129031E-2</v>
      </c>
      <c r="D34">
        <v>2.916903813318156</v>
      </c>
      <c r="E34">
        <v>8.763577691834501E-3</v>
      </c>
    </row>
    <row r="35" spans="1:5" x14ac:dyDescent="0.3">
      <c r="A35" s="7"/>
      <c r="B35">
        <v>3.6888794541139363</v>
      </c>
      <c r="C35">
        <v>2.5000000000000001E-2</v>
      </c>
      <c r="D35">
        <v>2.9590069284064664</v>
      </c>
      <c r="E35">
        <v>9.0183936624281969E-3</v>
      </c>
    </row>
    <row r="36" spans="1:5" x14ac:dyDescent="0.3">
      <c r="A36" s="7"/>
      <c r="B36">
        <v>4.0943445622221004</v>
      </c>
      <c r="C36">
        <v>1.6666666666666666E-2</v>
      </c>
      <c r="D36">
        <v>3.0023432923257176</v>
      </c>
      <c r="E36">
        <v>9.2844872023224272E-3</v>
      </c>
    </row>
    <row r="37" spans="1:5" x14ac:dyDescent="0.3">
      <c r="A37" s="7"/>
      <c r="B37">
        <v>4.3307333402863311</v>
      </c>
      <c r="C37">
        <v>1.3157894736842105E-2</v>
      </c>
      <c r="D37">
        <v>3.0469678953626635</v>
      </c>
      <c r="E37">
        <v>9.5625337560319018E-3</v>
      </c>
    </row>
    <row r="38" spans="1:5" x14ac:dyDescent="0.3">
      <c r="A38" s="7"/>
      <c r="B38">
        <v>4.5849674786705723</v>
      </c>
      <c r="C38">
        <v>1.020408163265306E-2</v>
      </c>
      <c r="D38">
        <v>3.0929390464695232</v>
      </c>
      <c r="E38">
        <v>9.8532601035310786E-3</v>
      </c>
    </row>
    <row r="39" spans="1:5" x14ac:dyDescent="0.3">
      <c r="A39" s="7"/>
      <c r="B39">
        <v>4.7706846244656651</v>
      </c>
      <c r="C39">
        <v>8.4745762711864406E-3</v>
      </c>
      <c r="D39">
        <v>3.1403186274509807</v>
      </c>
      <c r="E39">
        <v>1.0157449114373078E-2</v>
      </c>
    </row>
    <row r="40" spans="1:5" x14ac:dyDescent="0.3">
      <c r="A40" s="7"/>
      <c r="B40">
        <v>4.9558270576012609</v>
      </c>
      <c r="C40">
        <v>7.0422535211267607E-3</v>
      </c>
      <c r="D40">
        <v>3.1891723708774116</v>
      </c>
      <c r="E40">
        <v>1.0475945023502884E-2</v>
      </c>
    </row>
    <row r="41" spans="1:5" x14ac:dyDescent="0.3">
      <c r="A41" s="7"/>
      <c r="B41">
        <v>5.3082676974012051</v>
      </c>
      <c r="C41">
        <v>4.9504950495049506E-3</v>
      </c>
      <c r="D41">
        <v>3.2395701643489252</v>
      </c>
      <c r="E41">
        <v>1.0809659295231915E-2</v>
      </c>
    </row>
  </sheetData>
  <mergeCells count="2">
    <mergeCell ref="B3:M3"/>
    <mergeCell ref="Q3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7758-6793-403B-976D-E3998FF9E5D6}">
  <dimension ref="A2:N27"/>
  <sheetViews>
    <sheetView workbookViewId="0">
      <selection activeCell="J23" sqref="J23"/>
    </sheetView>
  </sheetViews>
  <sheetFormatPr defaultRowHeight="14.4" x14ac:dyDescent="0.3"/>
  <cols>
    <col min="1" max="1" width="13.44140625" customWidth="1"/>
    <col min="2" max="2" width="12" bestFit="1" customWidth="1"/>
  </cols>
  <sheetData>
    <row r="2" spans="1:14" x14ac:dyDescent="0.3">
      <c r="B2" s="10" t="s">
        <v>10</v>
      </c>
      <c r="C2" s="10"/>
      <c r="D2" s="10"/>
      <c r="E2" s="10"/>
      <c r="F2" s="10"/>
      <c r="J2" s="10" t="s">
        <v>14</v>
      </c>
      <c r="K2" s="10"/>
      <c r="L2" s="10"/>
      <c r="M2" s="10"/>
      <c r="N2" s="10"/>
    </row>
    <row r="3" spans="1:14" x14ac:dyDescent="0.3">
      <c r="A3" t="s">
        <v>4</v>
      </c>
      <c r="B3">
        <v>-70</v>
      </c>
      <c r="C3">
        <v>-60</v>
      </c>
      <c r="D3">
        <v>-50</v>
      </c>
      <c r="E3">
        <v>-40</v>
      </c>
      <c r="F3">
        <v>-30</v>
      </c>
      <c r="I3" t="s">
        <v>9</v>
      </c>
      <c r="J3">
        <v>-70</v>
      </c>
      <c r="K3">
        <v>-60</v>
      </c>
      <c r="L3">
        <v>-50</v>
      </c>
      <c r="M3">
        <v>-40</v>
      </c>
      <c r="N3">
        <v>-30</v>
      </c>
    </row>
    <row r="4" spans="1:14" x14ac:dyDescent="0.3">
      <c r="A4" t="s">
        <v>33</v>
      </c>
      <c r="B4">
        <v>176</v>
      </c>
      <c r="C4">
        <v>171</v>
      </c>
      <c r="D4">
        <v>166</v>
      </c>
      <c r="E4">
        <v>160</v>
      </c>
      <c r="F4">
        <v>151</v>
      </c>
      <c r="I4" t="s">
        <v>3</v>
      </c>
      <c r="J4">
        <v>127</v>
      </c>
      <c r="K4">
        <v>121</v>
      </c>
      <c r="L4">
        <v>121</v>
      </c>
      <c r="M4">
        <v>119</v>
      </c>
      <c r="N4">
        <v>117</v>
      </c>
    </row>
    <row r="5" spans="1:14" x14ac:dyDescent="0.3">
      <c r="A5" t="s">
        <v>6</v>
      </c>
      <c r="B5" s="1">
        <f>B4 / (910 + B4) * B3</f>
        <v>-11.344383057090239</v>
      </c>
      <c r="C5" s="1">
        <f t="shared" ref="C5:F5" si="0">C4 / (910 + C4) * C3</f>
        <v>-9.4912118408880666</v>
      </c>
      <c r="D5" s="1">
        <f t="shared" si="0"/>
        <v>-7.7137546468401483</v>
      </c>
      <c r="E5" s="1">
        <f t="shared" si="0"/>
        <v>-5.981308411214953</v>
      </c>
      <c r="F5" s="1">
        <f t="shared" si="0"/>
        <v>-4.2695570216776622</v>
      </c>
      <c r="I5" t="s">
        <v>6</v>
      </c>
      <c r="J5" s="1">
        <f>J4 / (910 + J4) * J3</f>
        <v>-8.5728061716489883</v>
      </c>
      <c r="K5" s="1">
        <f t="shared" ref="K5" si="1">K4 / (910 + K4) * K3</f>
        <v>-7.0417070805043647</v>
      </c>
      <c r="L5" s="1">
        <f t="shared" ref="L5" si="2">L4 / (910 + L4) * L3</f>
        <v>-5.8680892337536372</v>
      </c>
      <c r="M5" s="1">
        <f t="shared" ref="M5" si="3">M4 / (910 + M4) * M3</f>
        <v>-4.6258503401360542</v>
      </c>
      <c r="N5" s="1">
        <f t="shared" ref="N5" si="4">N4 / (910 + N4) * N3</f>
        <v>-3.4177215189873418</v>
      </c>
    </row>
    <row r="6" spans="1:14" x14ac:dyDescent="0.3">
      <c r="A6" t="s">
        <v>30</v>
      </c>
      <c r="B6" s="1">
        <f>SQRT(B3^2*(1/(910+B4)-B4/(910+B4)^2)^2*1+(B4/(910+B4))^2*1)</f>
        <v>0.17082577851128</v>
      </c>
      <c r="C6" s="1">
        <f t="shared" ref="C6:F6" si="5">SQRT(C3^2*(1/(910+C4)-C4/(910+C4)^2)^2*1+(C4/(910+C4))^2*1)</f>
        <v>0.16494310711520124</v>
      </c>
      <c r="D6" s="1">
        <f t="shared" si="5"/>
        <v>0.15920192770472685</v>
      </c>
      <c r="E6" s="1">
        <f t="shared" si="5"/>
        <v>0.15287523371674269</v>
      </c>
      <c r="F6" s="1">
        <f t="shared" si="5"/>
        <v>0.14436998184502767</v>
      </c>
      <c r="I6" t="s">
        <v>30</v>
      </c>
      <c r="J6" s="1">
        <f>SQRT(J3^2*(1/(910+J4)-J4/(910+J4)^2)^2*1+(J4/(910+J4))^2*1)</f>
        <v>0.13604195968845592</v>
      </c>
      <c r="K6" s="1">
        <f t="shared" ref="K6:N6" si="6">SQRT(K3^2*(1/(910+K4)-K4/(910+K4)^2)^2*1+(K4/(910+K4))^2*1)</f>
        <v>0.12811030079199973</v>
      </c>
      <c r="L6" s="1">
        <f t="shared" si="6"/>
        <v>0.12492418842694553</v>
      </c>
      <c r="M6" s="1">
        <f t="shared" si="6"/>
        <v>0.12064762621492427</v>
      </c>
      <c r="N6" s="1">
        <f t="shared" si="6"/>
        <v>0.11682739855466161</v>
      </c>
    </row>
    <row r="7" spans="1:14" x14ac:dyDescent="0.3">
      <c r="A7" t="s">
        <v>34</v>
      </c>
      <c r="B7" s="1">
        <f xml:space="preserve"> (B3 - B5) / 9100 * 1000</f>
        <v>-6.4456721915285451</v>
      </c>
      <c r="C7" s="1">
        <f t="shared" ref="C7:F7" si="7" xml:space="preserve"> (C3 - C5) / 9100 * 1000</f>
        <v>-5.5504162812210911</v>
      </c>
      <c r="D7" s="1">
        <f t="shared" si="7"/>
        <v>-4.6468401486988844</v>
      </c>
      <c r="E7" s="1">
        <f t="shared" si="7"/>
        <v>-3.7383177570093453</v>
      </c>
      <c r="F7" s="1">
        <f t="shared" si="7"/>
        <v>-2.827521206409048</v>
      </c>
      <c r="I7" t="s">
        <v>34</v>
      </c>
      <c r="J7" s="1">
        <f xml:space="preserve"> (J3 - J5) / 9100 * 1000</f>
        <v>-6.750241080038573</v>
      </c>
      <c r="K7" s="1">
        <f t="shared" ref="K7:N7" si="8" xml:space="preserve"> (K3 - K5) / 9100 * 1000</f>
        <v>-5.8195926285160029</v>
      </c>
      <c r="L7" s="1">
        <f t="shared" si="8"/>
        <v>-4.8496605237633368</v>
      </c>
      <c r="M7" s="1">
        <f t="shared" si="8"/>
        <v>-3.8872691933916426</v>
      </c>
      <c r="N7" s="1">
        <f t="shared" si="8"/>
        <v>-2.9211295034079843</v>
      </c>
    </row>
    <row r="8" spans="1:14" x14ac:dyDescent="0.3">
      <c r="A8" t="s">
        <v>35</v>
      </c>
      <c r="B8" s="1">
        <f>SQRT(B6^2 + 1) /9100 * 1000</f>
        <v>0.11148195648819911</v>
      </c>
      <c r="C8" s="1">
        <f t="shared" ref="C8:F8" si="9">SQRT(C6^2 + 1) /9100 * 1000</f>
        <v>0.11137492632130411</v>
      </c>
      <c r="D8" s="1">
        <f t="shared" si="9"/>
        <v>0.11127399240668806</v>
      </c>
      <c r="E8" s="1">
        <f t="shared" si="9"/>
        <v>0.11116680553722152</v>
      </c>
      <c r="F8" s="1">
        <f t="shared" si="9"/>
        <v>0.11102940683965434</v>
      </c>
      <c r="I8" t="s">
        <v>35</v>
      </c>
      <c r="J8" s="1">
        <f>SQRT(J6^2 + 1) /9100 * 1000</f>
        <v>0.11090233884899353</v>
      </c>
      <c r="K8" s="1">
        <f t="shared" ref="K8:N8" si="10">SQRT(K6^2 + 1) /9100 * 1000</f>
        <v>0.11078821185102194</v>
      </c>
      <c r="L8" s="1">
        <f t="shared" si="10"/>
        <v>0.1107442657227076</v>
      </c>
      <c r="M8" s="1">
        <f t="shared" si="10"/>
        <v>0.11068699250263246</v>
      </c>
      <c r="N8" s="1">
        <f t="shared" si="10"/>
        <v>0.11063749367223907</v>
      </c>
    </row>
    <row r="10" spans="1:14" x14ac:dyDescent="0.3">
      <c r="B10" s="10" t="s">
        <v>15</v>
      </c>
      <c r="C10" s="10"/>
      <c r="D10" s="10"/>
      <c r="E10" s="10"/>
      <c r="F10" s="10"/>
      <c r="J10" s="10" t="s">
        <v>16</v>
      </c>
      <c r="K10" s="10"/>
      <c r="L10" s="10"/>
      <c r="M10" s="10"/>
      <c r="N10" s="10"/>
    </row>
    <row r="11" spans="1:14" x14ac:dyDescent="0.3">
      <c r="A11" t="s">
        <v>9</v>
      </c>
      <c r="B11">
        <v>-70</v>
      </c>
      <c r="C11">
        <v>-60</v>
      </c>
      <c r="D11">
        <v>-50</v>
      </c>
      <c r="E11">
        <v>-40</v>
      </c>
      <c r="F11">
        <v>-30</v>
      </c>
      <c r="I11" t="s">
        <v>9</v>
      </c>
      <c r="J11">
        <v>-70</v>
      </c>
      <c r="K11">
        <v>-60</v>
      </c>
      <c r="L11">
        <v>-50</v>
      </c>
      <c r="M11">
        <v>-40</v>
      </c>
      <c r="N11">
        <v>-30</v>
      </c>
    </row>
    <row r="12" spans="1:14" x14ac:dyDescent="0.3">
      <c r="A12" t="s">
        <v>3</v>
      </c>
      <c r="B12">
        <v>63</v>
      </c>
      <c r="C12">
        <v>62</v>
      </c>
      <c r="D12">
        <v>61</v>
      </c>
      <c r="E12">
        <v>61</v>
      </c>
      <c r="F12">
        <v>60</v>
      </c>
      <c r="I12" t="s">
        <v>3</v>
      </c>
      <c r="J12">
        <v>43</v>
      </c>
      <c r="K12">
        <v>42</v>
      </c>
      <c r="L12">
        <v>41</v>
      </c>
      <c r="M12">
        <v>41</v>
      </c>
      <c r="N12">
        <v>40</v>
      </c>
    </row>
    <row r="13" spans="1:14" x14ac:dyDescent="0.3">
      <c r="A13" t="s">
        <v>6</v>
      </c>
      <c r="B13" s="1">
        <f>B12 / (910 + B12) * B11</f>
        <v>-4.5323741007194247</v>
      </c>
      <c r="C13" s="1">
        <f t="shared" ref="C13" si="11">C12 / (910 + C12) * C11</f>
        <v>-3.8271604938271606</v>
      </c>
      <c r="D13" s="1">
        <f t="shared" ref="D13" si="12">D12 / (910 + D12) * D11</f>
        <v>-3.1410916580844486</v>
      </c>
      <c r="E13" s="1">
        <f t="shared" ref="E13" si="13">E12 / (910 + E12) * E11</f>
        <v>-2.5128733264675591</v>
      </c>
      <c r="F13" s="1">
        <f t="shared" ref="F13" si="14">F12 / (910 + F12) * F11</f>
        <v>-1.8556701030927836</v>
      </c>
      <c r="I13" t="s">
        <v>6</v>
      </c>
      <c r="J13" s="1">
        <f>J12 / (910 + J12) * J11</f>
        <v>-3.1584470094438615</v>
      </c>
      <c r="K13" s="1">
        <f t="shared" ref="K13" si="15">K12 / (910 + K12) * K11</f>
        <v>-2.6470588235294121</v>
      </c>
      <c r="L13" s="1">
        <f t="shared" ref="L13" si="16">L12 / (910 + L12) * L11</f>
        <v>-2.1556256572029442</v>
      </c>
      <c r="M13" s="1">
        <f t="shared" ref="M13" si="17">M12 / (910 + M12) * M11</f>
        <v>-1.7245005257623556</v>
      </c>
      <c r="N13" s="1">
        <f t="shared" ref="N13" si="18">N12 / (910 + N12) * N11</f>
        <v>-1.263157894736842</v>
      </c>
    </row>
    <row r="14" spans="1:14" x14ac:dyDescent="0.3">
      <c r="A14" t="s">
        <v>30</v>
      </c>
      <c r="B14" s="1">
        <f>SQRT(B11^2*(1/(910+B12)-B12/(910+B12)^2)^2*1+(B12/(910+B12))^2*1)</f>
        <v>9.3378299901860556E-2</v>
      </c>
      <c r="C14" s="1">
        <f t="shared" ref="C14:F14" si="19">SQRT(C11^2*(1/(910+C12)-C12/(910+C12)^2)^2*1+(C12/(910+C12))^2*1)</f>
        <v>8.6072370952097813E-2</v>
      </c>
      <c r="D14" s="1">
        <f t="shared" si="19"/>
        <v>7.921777632186032E-2</v>
      </c>
      <c r="E14" s="1">
        <f t="shared" si="19"/>
        <v>7.373643383355083E-2</v>
      </c>
      <c r="F14" s="1">
        <f t="shared" si="19"/>
        <v>6.8322624227581716E-2</v>
      </c>
      <c r="I14" t="s">
        <v>30</v>
      </c>
      <c r="J14" s="1">
        <f>SQRT(J11^2*(1/(910+J12)-J12/(910+J12)^2)^2*1+(J12/(910+J12))^2*1)</f>
        <v>8.3397960319915448E-2</v>
      </c>
      <c r="K14" s="1">
        <f t="shared" ref="K14:N14" si="20">SQRT(K11^2*(1/(910+K12)-K12/(910+K12)^2)^2*1+(K12/(910+K12))^2*1)</f>
        <v>7.467120587259711E-2</v>
      </c>
      <c r="L14" s="1">
        <f t="shared" si="20"/>
        <v>6.6255103919248354E-2</v>
      </c>
      <c r="M14" s="1">
        <f t="shared" si="20"/>
        <v>5.8979325134143827E-2</v>
      </c>
      <c r="N14" s="1">
        <f t="shared" si="20"/>
        <v>5.184470839505443E-2</v>
      </c>
    </row>
    <row r="15" spans="1:14" x14ac:dyDescent="0.3">
      <c r="A15" t="s">
        <v>34</v>
      </c>
      <c r="B15" s="1">
        <f xml:space="preserve"> (B11 - B13) / 9100 * 1000</f>
        <v>-7.1942446043165473</v>
      </c>
      <c r="C15" s="1">
        <f t="shared" ref="C15:F15" si="21" xml:space="preserve"> (C11 - C13) / 9100 * 1000</f>
        <v>-6.1728395061728403</v>
      </c>
      <c r="D15" s="1">
        <f t="shared" si="21"/>
        <v>-5.1493305870236874</v>
      </c>
      <c r="E15" s="1">
        <f t="shared" si="21"/>
        <v>-4.1194644696189506</v>
      </c>
      <c r="F15" s="1">
        <f t="shared" si="21"/>
        <v>-3.0927835051546388</v>
      </c>
      <c r="I15" t="s">
        <v>34</v>
      </c>
      <c r="J15" s="1">
        <f xml:space="preserve"> (J11 - J13) / 9100 * 1000</f>
        <v>-7.3452256033578172</v>
      </c>
      <c r="K15" s="1">
        <f t="shared" ref="K15:N15" si="22" xml:space="preserve"> (K11 - K13) / 9100 * 1000</f>
        <v>-6.3025210084033612</v>
      </c>
      <c r="L15" s="1">
        <f t="shared" si="22"/>
        <v>-5.2576235541535219</v>
      </c>
      <c r="M15" s="1">
        <f t="shared" si="22"/>
        <v>-4.2060988433228177</v>
      </c>
      <c r="N15" s="1">
        <f t="shared" si="22"/>
        <v>-3.1578947368421053</v>
      </c>
    </row>
    <row r="16" spans="1:14" x14ac:dyDescent="0.3">
      <c r="A16" t="s">
        <v>35</v>
      </c>
      <c r="B16" s="1">
        <f>SQRT(B14^2 + 1) /9100 * 1000</f>
        <v>0.11036816383853737</v>
      </c>
      <c r="C16" s="1">
        <f t="shared" ref="C16:F16" si="23">SQRT(C14^2 + 1) /9100 * 1000</f>
        <v>0.11029641661207978</v>
      </c>
      <c r="D16" s="1">
        <f t="shared" si="23"/>
        <v>0.11023437590766307</v>
      </c>
      <c r="E16" s="1">
        <f t="shared" si="23"/>
        <v>0.11018844457624286</v>
      </c>
      <c r="F16" s="1">
        <f t="shared" si="23"/>
        <v>0.11014629374435163</v>
      </c>
      <c r="I16" t="s">
        <v>35</v>
      </c>
      <c r="J16" s="1">
        <f>SQRT(J14^2 + 1) /9100 * 1000</f>
        <v>0.1102716026313425</v>
      </c>
      <c r="K16" s="1">
        <f t="shared" ref="K16:N16" si="24">SQRT(K14^2 + 1) /9100 * 1000</f>
        <v>0.11019604605626658</v>
      </c>
      <c r="L16" s="1">
        <f t="shared" si="24"/>
        <v>0.11013104021365022</v>
      </c>
      <c r="M16" s="1">
        <f t="shared" si="24"/>
        <v>0.11008107367840991</v>
      </c>
      <c r="N16" s="1">
        <f t="shared" si="24"/>
        <v>0.11003769615634593</v>
      </c>
    </row>
    <row r="19" spans="1:5" x14ac:dyDescent="0.3">
      <c r="A19" t="s">
        <v>36</v>
      </c>
      <c r="B19">
        <v>0.62</v>
      </c>
      <c r="C19">
        <v>0.75</v>
      </c>
      <c r="D19">
        <v>1.36</v>
      </c>
      <c r="E19">
        <v>1.56</v>
      </c>
    </row>
    <row r="20" spans="1:5" x14ac:dyDescent="0.3">
      <c r="A20" t="s">
        <v>37</v>
      </c>
      <c r="B20" s="1">
        <f xml:space="preserve"> (B19 + 0.13) / (42 * 10^(-3)) + 296</f>
        <v>313.85714285714283</v>
      </c>
      <c r="C20" s="1">
        <f t="shared" ref="C20:E20" si="25" xml:space="preserve"> (C19 + 0.13) / (42 * 10^(-3)) + 296</f>
        <v>316.95238095238096</v>
      </c>
      <c r="D20" s="1">
        <f t="shared" si="25"/>
        <v>331.47619047619048</v>
      </c>
      <c r="E20" s="1">
        <f t="shared" si="25"/>
        <v>336.23809523809524</v>
      </c>
    </row>
    <row r="21" spans="1:5" x14ac:dyDescent="0.3">
      <c r="A21" t="s">
        <v>38</v>
      </c>
      <c r="B21" s="1">
        <v>1.03</v>
      </c>
      <c r="C21" s="1">
        <v>1.03</v>
      </c>
      <c r="D21" s="1">
        <v>1.03</v>
      </c>
      <c r="E21" s="1">
        <v>1.03</v>
      </c>
    </row>
    <row r="22" spans="1:5" x14ac:dyDescent="0.3">
      <c r="A22" t="s">
        <v>39</v>
      </c>
      <c r="B22" s="1">
        <v>17.21</v>
      </c>
      <c r="C22" s="1">
        <v>27.5</v>
      </c>
      <c r="D22" s="1">
        <v>46.76</v>
      </c>
      <c r="E22" s="1">
        <v>33.81</v>
      </c>
    </row>
    <row r="23" spans="1:5" x14ac:dyDescent="0.3">
      <c r="A23" t="s">
        <v>40</v>
      </c>
      <c r="B23" s="1">
        <v>1.38</v>
      </c>
      <c r="C23" s="1">
        <v>5.7</v>
      </c>
      <c r="D23" s="1">
        <v>5.79</v>
      </c>
      <c r="E23" s="1">
        <v>3.9</v>
      </c>
    </row>
    <row r="24" spans="1:5" x14ac:dyDescent="0.3">
      <c r="A24" t="s">
        <v>41</v>
      </c>
      <c r="B24" s="1">
        <f>1/B20 * 1000</f>
        <v>3.1861629494765591</v>
      </c>
      <c r="C24" s="1">
        <f t="shared" ref="C24:E24" si="26">1/C20 * 1000</f>
        <v>3.1550480769230771</v>
      </c>
      <c r="D24" s="1">
        <f t="shared" si="26"/>
        <v>3.0168079298951298</v>
      </c>
      <c r="E24" s="1">
        <f t="shared" si="26"/>
        <v>2.9740829910777511</v>
      </c>
    </row>
    <row r="25" spans="1:5" x14ac:dyDescent="0.3">
      <c r="A25" t="s">
        <v>42</v>
      </c>
      <c r="B25" s="1">
        <f xml:space="preserve"> B21 / B20^2 * 1000</f>
        <v>1.0456183370835682E-2</v>
      </c>
      <c r="C25" s="1">
        <f t="shared" ref="C25:E25" si="27" xml:space="preserve"> C21 / C20^2 * 1000</f>
        <v>1.0252958218726885E-2</v>
      </c>
      <c r="D25" s="1">
        <f t="shared" si="27"/>
        <v>9.3741639884544845E-3</v>
      </c>
      <c r="E25" s="1">
        <f t="shared" si="27"/>
        <v>9.1105247269525208E-3</v>
      </c>
    </row>
    <row r="26" spans="1:5" x14ac:dyDescent="0.3">
      <c r="A26" t="s">
        <v>43</v>
      </c>
      <c r="B26" s="1">
        <f>LN(B22)</f>
        <v>2.8454906102234481</v>
      </c>
      <c r="C26" s="1">
        <f t="shared" ref="C26:E26" si="28">LN(C22)</f>
        <v>3.3141860046725258</v>
      </c>
      <c r="D26" s="1">
        <f t="shared" si="28"/>
        <v>3.8450281366038674</v>
      </c>
      <c r="E26" s="1">
        <f t="shared" si="28"/>
        <v>3.5207566167197948</v>
      </c>
    </row>
    <row r="27" spans="1:5" x14ac:dyDescent="0.3">
      <c r="A27" t="s">
        <v>44</v>
      </c>
      <c r="B27" s="1">
        <f xml:space="preserve"> B23 / B22</f>
        <v>8.0185938407902377E-2</v>
      </c>
      <c r="C27" s="1">
        <f t="shared" ref="C27:E27" si="29" xml:space="preserve"> C23 / C22</f>
        <v>0.20727272727272728</v>
      </c>
      <c r="D27" s="1">
        <f t="shared" si="29"/>
        <v>0.12382378100940976</v>
      </c>
      <c r="E27" s="1">
        <f t="shared" si="29"/>
        <v>0.11535048802129547</v>
      </c>
    </row>
  </sheetData>
  <mergeCells count="4">
    <mergeCell ref="B2:F2"/>
    <mergeCell ref="J2:N2"/>
    <mergeCell ref="B10:F10"/>
    <mergeCell ref="J10:N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ВАХ диода</vt:lpstr>
      <vt:lpstr>Нагревание</vt:lpstr>
      <vt:lpstr>Обратный 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Белостоцкий</dc:creator>
  <cp:lastModifiedBy>Артемий Белостоцкий</cp:lastModifiedBy>
  <dcterms:created xsi:type="dcterms:W3CDTF">2023-03-09T11:02:49Z</dcterms:created>
  <dcterms:modified xsi:type="dcterms:W3CDTF">2023-03-29T16:30:16Z</dcterms:modified>
</cp:coreProperties>
</file>