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drawings/drawing2.xml" ContentType="application/vnd.openxmlformats-officedocument.drawing+xml"/>
  <Override PartName="/xl/ctrlProps/ctrlProp3.xml" ContentType="application/vnd.ms-excel.controlproperties+xml"/>
  <Override PartName="/xl/ctrlProps/ctrlProp4.xml" ContentType="application/vnd.ms-excel.controlproperties+xml"/>
  <Override PartName="/xl/drawings/drawing3.xml" ContentType="application/vnd.openxmlformats-officedocument.drawing+xml"/>
  <Override PartName="/xl/ctrlProps/ctrlProp5.xml" ContentType="application/vnd.ms-excel.controlproperties+xml"/>
  <Override PartName="/xl/ctrlProps/ctrlProp6.xml" ContentType="application/vnd.ms-excel.controlproperties+xml"/>
  <Override PartName="/xl/drawings/drawing4.xml" ContentType="application/vnd.openxmlformats-officedocument.drawing+xml"/>
  <Override PartName="/xl/ctrlProps/ctrlProp7.xml" ContentType="application/vnd.ms-excel.controlproperties+xml"/>
  <Override PartName="/xl/ctrlProps/ctrlProp8.xml" ContentType="application/vnd.ms-excel.controlpropertie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d.docs.live.net/f1a63ce85966196c/Documents/Genshin Theorycrafting Tools/Master Calculator/"/>
    </mc:Choice>
  </mc:AlternateContent>
  <xr:revisionPtr revIDLastSave="0" documentId="8_{52E08057-872C-4FF5-8708-6DFC331B3367}" xr6:coauthVersionLast="47" xr6:coauthVersionMax="47" xr10:uidLastSave="{00000000-0000-0000-0000-000000000000}"/>
  <bookViews>
    <workbookView xWindow="-120" yWindow="-120" windowWidth="29040" windowHeight="16440" tabRatio="820" activeTab="6" xr2:uid="{F678DB37-6EDB-4804-894A-C2C654A31A58}"/>
  </bookViews>
  <sheets>
    <sheet name="Front Page" sheetId="5" r:id="rId1"/>
    <sheet name="Character 1" sheetId="1" r:id="rId2"/>
    <sheet name="Character 2" sheetId="16" r:id="rId3"/>
    <sheet name="Character 3" sheetId="17" r:id="rId4"/>
    <sheet name="Character 4" sheetId="18" r:id="rId5"/>
    <sheet name="Data Val" sheetId="11" state="hidden" r:id="rId6"/>
    <sheet name="Rotation Assembler" sheetId="6" r:id="rId7"/>
    <sheet name="Calculations" sheetId="7" r:id="rId8"/>
    <sheet name="MVs" sheetId="3" state="hidden" r:id="rId9"/>
    <sheet name="Char Stats" sheetId="13" state="hidden" r:id="rId10"/>
    <sheet name="weaponsDB" sheetId="14" state="hidden" r:id="rId11"/>
    <sheet name="artisDB" sheetId="15" state="hidden" r:id="rId12"/>
    <sheet name="Artifact Database" sheetId="12" state="hidden" r:id="rId13"/>
  </sheets>
  <definedNames>
    <definedName name="albedoBaseStats">'Char Stats'!$A$1:$G$15</definedName>
    <definedName name="albedoTalentScalings">MVs!$B$23:$S$46</definedName>
    <definedName name="aloyBaseStats">'Char Stats'!$A$16:$G$30</definedName>
    <definedName name="amberBaseStats">'Char Stats'!$A$31:$G$45</definedName>
    <definedName name="amberTalentScalings">MVs!$B$47:$S$69</definedName>
    <definedName name="amcBaseStats">'Char Stats'!$A$616:$G$630</definedName>
    <definedName name="amcTalentScalings">MVs!$B$70:$S$99</definedName>
    <definedName name="artifactSubstatValues">'Artifact Database'!$A$1:$D$11</definedName>
    <definedName name="ayakaBaseStats">'Char Stats'!$A$46:$F$60</definedName>
    <definedName name="ayakaTalentScalings">MVs!$B$1:$S$22</definedName>
    <definedName name="barbaraBaseStats">'Char Stats'!$A$61:$G$75</definedName>
    <definedName name="beidouBaseStats">'Char Stats'!$A$76:$G$90</definedName>
    <definedName name="beidouTalentScalings">MVs!$B$125:$S$149</definedName>
    <definedName name="bennettBaseStats">'Char Stats'!$A$91:$G$105</definedName>
    <definedName name="bennettTalentScalings">MVs!$B$150:$S$179</definedName>
    <definedName name="char1ArtiSetStats">artisDB!$A$1:$AP$53</definedName>
    <definedName name="char1ArtiStacks">'Character 1'!$L$16</definedName>
    <definedName name="char1ArtiToggle">'Character 1'!$L$17</definedName>
    <definedName name="char1BaseATK">Calculations!$Q$25</definedName>
    <definedName name="char1BaseDEF">Calculations!$Q$26</definedName>
    <definedName name="char1BaseHP">Calculations!$Q$27</definedName>
    <definedName name="char1BurstEchoDMGType">Calculations!$Q$34</definedName>
    <definedName name="char1BurstEchoElement">'Character 1'!$E$22</definedName>
    <definedName name="char1BurstElement">'Character 1'!$E$21</definedName>
    <definedName name="char1BurstTalentLevel">'Character 1'!$E$9</definedName>
    <definedName name="char1CAElement">'Character 1'!$E$16</definedName>
    <definedName name="char1FinalAnemoDMG">Calculations!$K$18</definedName>
    <definedName name="char1FinalAnemoRes">Calculations!$K$42</definedName>
    <definedName name="char1FinalATK">Calculations!$Q$48</definedName>
    <definedName name="char1FinalATKPercent">Calculations!$K$10</definedName>
    <definedName name="char1FinalBurstCDMG">Calculations!$K$50</definedName>
    <definedName name="char1FinalBurstCR">Calculations!$K$48</definedName>
    <definedName name="char1FinalBurstDMG">Calculations!$K$28</definedName>
    <definedName name="char1FinalCDMG">Calculations!$K$14</definedName>
    <definedName name="char1FinalChargedDMG">Calculations!$K$25</definedName>
    <definedName name="char1FinalCR">Calculations!$K$13</definedName>
    <definedName name="char1FinalCryoDMG">Calculations!$K$21</definedName>
    <definedName name="char1FinalCryoRes">Calculations!$K$45</definedName>
    <definedName name="char1FinalCrystallizeBonus">Calculations!$K$31</definedName>
    <definedName name="char1FinalDEF">Calculations!$Q$47</definedName>
    <definedName name="char1FinalDefMult">Calculations!$Q$40</definedName>
    <definedName name="char1FinalDEFPercent">Calculations!$K$11</definedName>
    <definedName name="char1FinalDEFShred">Calculations!$K$37</definedName>
    <definedName name="char1FinalDMGPercent">Calculations!$K$16</definedName>
    <definedName name="char1FinalElectrochargedBonus">Calculations!$K$32</definedName>
    <definedName name="char1FinalElectroDMG">Calculations!$K$23</definedName>
    <definedName name="char1FinalElectroRes">Calculations!$K$47</definedName>
    <definedName name="char1FinalEM">Calculations!$K$9</definedName>
    <definedName name="char1FinalER">Calculations!$K$15</definedName>
    <definedName name="char1FinalFlatATK">Calculations!$K$6</definedName>
    <definedName name="char1FinalFlatDEF">Calculations!$K$7</definedName>
    <definedName name="char1FinalFlatHP">Calculations!$K$8</definedName>
    <definedName name="char1FinalGeoDMG">Calculations!$K$19</definedName>
    <definedName name="char1FinalGeoRes">Calculations!$K$43</definedName>
    <definedName name="char1FinalHealingBonus">Calculations!$K$40</definedName>
    <definedName name="char1FinalHealingReceived">Calculations!$K$41</definedName>
    <definedName name="char1FinalHP">Calculations!$Q$46</definedName>
    <definedName name="char1FinalHPPercent">Calculations!$K$12</definedName>
    <definedName name="char1FinalHydroDMG">Calculations!$K$22</definedName>
    <definedName name="char1FinalHydroRes">Calculations!$K$46</definedName>
    <definedName name="char1FinalMeltBonus">Calculations!$K$35</definedName>
    <definedName name="char1FinalNormalDMG">Calculations!$K$24</definedName>
    <definedName name="char1FinalOverloadBonus">Calculations!$K$30</definedName>
    <definedName name="char1FinalPhysDMG">Calculations!$K$17</definedName>
    <definedName name="char1FinalPhysRes">Calculations!$K$39</definedName>
    <definedName name="char1FinalPlungingDMG">Calculations!$K$26</definedName>
    <definedName name="char1FinalPyroDMG">Calculations!$K$20</definedName>
    <definedName name="char1FinalPyroRes">Calculations!$K$44</definedName>
    <definedName name="char1FinalShatterBonus">Calculations!$K$34</definedName>
    <definedName name="char1FinalShieldStrength">Calculations!$K$38</definedName>
    <definedName name="char1FinalSkillCDMG">Calculations!$K$51</definedName>
    <definedName name="char1FinalSkillCR">Calculations!$K$49</definedName>
    <definedName name="char1FinalSkillDMG">Calculations!$K$27</definedName>
    <definedName name="char1FinalSuperconductBonus">Calculations!$K$33</definedName>
    <definedName name="char1FinalSwirlBonus">Calculations!$K$29</definedName>
    <definedName name="char1FinalVaporizeBonus">Calculations!$K$36</definedName>
    <definedName name="char1Level">'Character 1'!$E$6</definedName>
    <definedName name="char1LevelNum">Calculations!$Q$16</definedName>
    <definedName name="char1NAElement">'Character 1'!$E$15</definedName>
    <definedName name="char1Name">'Character 1'!$E$5</definedName>
    <definedName name="char1NATalentLevel">'Character 1'!$E$7</definedName>
    <definedName name="char1PlungeElement">'Character 1'!$E$17</definedName>
    <definedName name="char1Refine">'Character 1'!$L$6</definedName>
    <definedName name="char1SkillEchoDMGType">Calculations!$Q$33</definedName>
    <definedName name="char1SkillEchoElement">'Character 1'!$E$19</definedName>
    <definedName name="char1SkillElement">'Character 1'!$E$18</definedName>
    <definedName name="char1SkillTalentLevel">'Character 1'!$E$8</definedName>
    <definedName name="char1Stats">Calculations!$C$5:$K$51</definedName>
    <definedName name="char1TransformativeMult">Calculations!$Q$18</definedName>
    <definedName name="char1WeaponBaseATK">Calculations!$Q$24</definedName>
    <definedName name="char1WeaponName">'Character 1'!$L$5</definedName>
    <definedName name="char1WeaponProcTable">'Data Val'!$I$13:$M$16</definedName>
    <definedName name="char1Weapons">weaponsDB!$A$1:$CS$66</definedName>
    <definedName name="char1WeapStacks">'Character 1'!$L$7</definedName>
    <definedName name="char1WeapToggle">'Character 1'!$L$8</definedName>
    <definedName name="char2ArtiSetStats">artisDB!$A$55:$AP$107</definedName>
    <definedName name="char2ArtiStacks">'Character 2'!$L$16</definedName>
    <definedName name="char2ArtiToggle">'Character 2'!$L$17</definedName>
    <definedName name="char2BaseATK">Calculations!$Q$77</definedName>
    <definedName name="char2BaseDEF">Calculations!$Q$78</definedName>
    <definedName name="char2BaseHP">Calculations!$Q$79</definedName>
    <definedName name="char2BurstEchoDamageType">Calculations!$Q$86</definedName>
    <definedName name="char2BurstEchoDMGType">'Character 2'!$E$23</definedName>
    <definedName name="char2BurstEchoElement">'Character 2'!$E$22</definedName>
    <definedName name="char2BurstElement">'Character 2'!$E$21</definedName>
    <definedName name="char2BurstTalentLevel">'Character 2'!$E$9</definedName>
    <definedName name="char2CAElement">'Character 2'!$E$16</definedName>
    <definedName name="char2FinalAnemoDMG">Calculations!$K$70</definedName>
    <definedName name="char2FinalAnemoRes">Calculations!$K$94</definedName>
    <definedName name="char2FinalATK">Calculations!$Q$100</definedName>
    <definedName name="char2FinalATKPercent">Calculations!$K$62</definedName>
    <definedName name="char2FinalBurstCDMG">Calculations!$K$102</definedName>
    <definedName name="char2FinalBurstCR">Calculations!$K$100</definedName>
    <definedName name="char2FinalBurstDMG">Calculations!$K$80</definedName>
    <definedName name="char2FinalCDMG">Calculations!$K$66</definedName>
    <definedName name="char2FinalChargedDMG">Calculations!$K$77</definedName>
    <definedName name="char2FinalCR">Calculations!$K$65</definedName>
    <definedName name="char2FinalCryoDMG">Calculations!$K$73</definedName>
    <definedName name="char2FinalCryoRes">Calculations!$K$97</definedName>
    <definedName name="char2FinalCrystallizeBonus">Calculations!$K$83</definedName>
    <definedName name="char2FinalDEF">Calculations!$Q$99</definedName>
    <definedName name="char2FinalDefMult">Calculations!$Q$92</definedName>
    <definedName name="char2FinalDEFPercent">Calculations!$K$63</definedName>
    <definedName name="char2FinalDEFShred">Calculations!$K$89</definedName>
    <definedName name="char2FinalDMGPercent">Calculations!$K$68</definedName>
    <definedName name="char2FinalElectrochargedBonus">Calculations!$K$84</definedName>
    <definedName name="char2FinalElectroDMG">Calculations!$K$75</definedName>
    <definedName name="char2FinalElectroRes">Calculations!$K$99</definedName>
    <definedName name="char2FinalEM">Calculations!$K$61</definedName>
    <definedName name="char2FinalER">Calculations!$K$67</definedName>
    <definedName name="char2FinalFlatATK">Calculations!$K$58</definedName>
    <definedName name="char2FinalFlatDEF">Calculations!$K$59</definedName>
    <definedName name="char2FinalFlatHP">Calculations!$K$60</definedName>
    <definedName name="char2FinalGeoDMG">Calculations!$K$71</definedName>
    <definedName name="char2FinalGeoRes">Calculations!$K$95</definedName>
    <definedName name="char2FinalHealingBonus">Calculations!$K$92</definedName>
    <definedName name="char2FinalHealingReceived">Calculations!$K$93</definedName>
    <definedName name="char2FinalHP">Calculations!$Q$98</definedName>
    <definedName name="char2FinalHPPercent">Calculations!$K$64</definedName>
    <definedName name="char2FinalHydroDMG">Calculations!$K$74</definedName>
    <definedName name="char2FinalHydroRes">Calculations!$K$98</definedName>
    <definedName name="char2FinalMeltBonus">Calculations!$K$87</definedName>
    <definedName name="char2FinalNormalDMG">Calculations!$K$76</definedName>
    <definedName name="char2FinalOverloadBonus">Calculations!$K$82</definedName>
    <definedName name="char2FinalPhysDMG">Calculations!$K$69</definedName>
    <definedName name="char2FinalPhysRes">Calculations!$K$91</definedName>
    <definedName name="char2FinalPlungingDMG">Calculations!$K$78</definedName>
    <definedName name="char2FinalPyroDMG">Calculations!$K$72</definedName>
    <definedName name="char2FinalPyroRes">Calculations!$K$96</definedName>
    <definedName name="char2FinalShatterBonus">Calculations!$K$86</definedName>
    <definedName name="char2FinalShieldStrength">Calculations!$K$90</definedName>
    <definedName name="char2FinalSkillCDMG">Calculations!$K$103</definedName>
    <definedName name="char2FinalSkillCR">Calculations!$K$101</definedName>
    <definedName name="char2FinalSkillDMG">Calculations!$K$79</definedName>
    <definedName name="char2FinalSuperconductBonus">Calculations!$K$85</definedName>
    <definedName name="char2FinalSwirlBonus">Calculations!$K$81</definedName>
    <definedName name="char2FinalVapeBonus">Calculations!$K$88</definedName>
    <definedName name="char2Level">'Character 2'!$E$6</definedName>
    <definedName name="char2LevelNum">Calculations!$Q$68</definedName>
    <definedName name="char2NAElement">'Character 2'!$E$15</definedName>
    <definedName name="char2Name">'Character 2'!$E$5</definedName>
    <definedName name="char2NATalentLevel">'Character 2'!$E$7</definedName>
    <definedName name="char2PlungeElement">'Character 2'!$E$17</definedName>
    <definedName name="char2Refine">'Character 2'!$L$6</definedName>
    <definedName name="char2SkillEchoDamageType">Calculations!$Q$85</definedName>
    <definedName name="char2SkillEchoElement">'Character 2'!$E$19</definedName>
    <definedName name="char2SkillElement">'Character 2'!$E$18</definedName>
    <definedName name="char2SkillTalentLevel">'Character 2'!$E$8</definedName>
    <definedName name="char2Stats">Calculations!$C$57:$K$103</definedName>
    <definedName name="char2TransformativeMult">Calculations!$Q$70</definedName>
    <definedName name="char2WeaponBaseATK">Calculations!$Q$76</definedName>
    <definedName name="char2WeaponName">'Character 2'!$L$5</definedName>
    <definedName name="char2WeaponProcTable">'Data Val'!$I$17:$M$20</definedName>
    <definedName name="char2Weapons">weaponsDB!$A$68:$CS$132</definedName>
    <definedName name="char2WeapStacks">'Character 2'!$L$7</definedName>
    <definedName name="char2WeapToggle">'Character 2'!$L$8</definedName>
    <definedName name="char3ArtiSetStats">artisDB!$A$109:$AP$161</definedName>
    <definedName name="char3ArtiStacks">'Character 3'!$L$16</definedName>
    <definedName name="char3ArtiToggle">'Character 3'!$L$17</definedName>
    <definedName name="char3BaseATK">Calculations!$Q$129</definedName>
    <definedName name="char3BaseDEF">Calculations!$Q$130</definedName>
    <definedName name="char3BaseHP">Calculations!$Q$131</definedName>
    <definedName name="char3BurstEchoDamageType">Calculations!$Q$138</definedName>
    <definedName name="char3BurstEchoDMGType">'Character 3'!$E$23</definedName>
    <definedName name="char3BurstEchoElement">'Character 3'!$E$22</definedName>
    <definedName name="char3BurstElement">'Character 3'!$E$21</definedName>
    <definedName name="char3BurstTalentLevel">'Character 3'!$E$9</definedName>
    <definedName name="char3CAElement">'Character 3'!$E$16</definedName>
    <definedName name="char3FinalATK">Calculations!$Q$152</definedName>
    <definedName name="char3FinalATKPercent">Calculations!$K$114</definedName>
    <definedName name="char3FinalDEF">Calculations!$Q$151</definedName>
    <definedName name="char3FinalDefMult">Calculations!$Q$144</definedName>
    <definedName name="char3FinalDEFPercent">Calculations!$K$115</definedName>
    <definedName name="char3FinalEM">Calculations!$K$113</definedName>
    <definedName name="char3FinalER">Calculations!$K$119</definedName>
    <definedName name="char3FinalFlatATK">Calculations!$K$110</definedName>
    <definedName name="char3FinalFlatDEF">Calculations!$K$111</definedName>
    <definedName name="char3FinalFlatHP">Calculations!$K$112</definedName>
    <definedName name="char3FinalHealingBonus">Calculations!$K$144</definedName>
    <definedName name="char3FinalHealingReceived">Calculations!$K$145</definedName>
    <definedName name="char3FinalHP">Calculations!$Q$150</definedName>
    <definedName name="char3FinalHPPercent">Calculations!$K$116</definedName>
    <definedName name="char3Level">'Character 3'!$E$6</definedName>
    <definedName name="char3LevelNum">Calculations!$Q$120</definedName>
    <definedName name="char3NAElement">'Character 3'!$E$15</definedName>
    <definedName name="char3Name">'Character 3'!$E$5</definedName>
    <definedName name="char3NATalentLevel">'Character 3'!$E$7</definedName>
    <definedName name="char3PlungeElement">'Character 3'!$E$17</definedName>
    <definedName name="char3Refine">'Character 3'!$L$6</definedName>
    <definedName name="char3SkillEchoDamageType">Calculations!$Q$137</definedName>
    <definedName name="char3SkillEchoElement">'Character 3'!$E$19</definedName>
    <definedName name="char3SkillElement">'Character 3'!$E$18</definedName>
    <definedName name="char3SkillTalentLevel">'Character 3'!$E$8</definedName>
    <definedName name="char3Stats">Calculations!$C$109:$K$155</definedName>
    <definedName name="char3TransformativeMult">Calculations!$Q$122</definedName>
    <definedName name="char3WeaponBaseATK">Calculations!$Q$128</definedName>
    <definedName name="char3WeaponName">'Character 3'!$L$5</definedName>
    <definedName name="char3WeaponProcTable">'Data Val'!$I$21:$M$24</definedName>
    <definedName name="char3Weapons">weaponsDB!$A$134:$CS$198</definedName>
    <definedName name="char3WeapStacks">'Character 3'!$L$7</definedName>
    <definedName name="char3WeapToggle">'Character 3'!$L$8</definedName>
    <definedName name="char4ArtiSetStats">artisDB!$A$163:$AP$215</definedName>
    <definedName name="char4ArtiStacks">'Character 4'!$L$16</definedName>
    <definedName name="char4ArtiToggle">'Character 4'!$L$17</definedName>
    <definedName name="char4BaseATK">Calculations!$Q$181</definedName>
    <definedName name="char4BaseDEF">Calculations!$Q$182</definedName>
    <definedName name="char4BaseHP">Calculations!$Q$183</definedName>
    <definedName name="char4BurstEchoDamageType">Calculations!$Q$190</definedName>
    <definedName name="char4BurstEchoDMGType">'Character 4'!$E$23</definedName>
    <definedName name="char4BurstEchoElement">'Character 4'!$E$22</definedName>
    <definedName name="char4BurstElement">'Character 4'!$E$21</definedName>
    <definedName name="char4BurstTalentLevel">'Character 4'!$E$9</definedName>
    <definedName name="char4CAElement">'Character 4'!$E$16</definedName>
    <definedName name="char4FinalATK">Calculations!$Q$204</definedName>
    <definedName name="char4FinalATKPercent">Calculations!$K$166</definedName>
    <definedName name="char4FinalDEF">Calculations!$Q$203</definedName>
    <definedName name="char4FinalDefMult">Calculations!$Q$196</definedName>
    <definedName name="char4FinalDEFPercent">Calculations!$K$167</definedName>
    <definedName name="char4FinalEM">Calculations!$K$165</definedName>
    <definedName name="char4FinalER">Calculations!$K$171</definedName>
    <definedName name="char4FinalFlatATK">Calculations!$K$162</definedName>
    <definedName name="char4FinalFlatDEF">Calculations!$K$163</definedName>
    <definedName name="char4FinalFlatHP">Calculations!$K$164</definedName>
    <definedName name="char4FinalHealingBonus">Calculations!$K$196</definedName>
    <definedName name="char4FinalHealingReceived">Calculations!$K$197</definedName>
    <definedName name="char4FinalHP">Calculations!$Q$202</definedName>
    <definedName name="char4FinalHPPercent">Calculations!$K$168</definedName>
    <definedName name="char4Level">'Character 4'!$E$6</definedName>
    <definedName name="char4LevelNum">Calculations!$Q$172</definedName>
    <definedName name="char4NAElement">'Character 4'!$E$15</definedName>
    <definedName name="char4Name">'Character 4'!$E$5</definedName>
    <definedName name="char4NATalentLevel">'Character 4'!$E$7</definedName>
    <definedName name="char4PlungeElement">'Character 4'!$E$17</definedName>
    <definedName name="char4Refine">'Character 4'!$L$6</definedName>
    <definedName name="char4SkillEchoDamageType">Calculations!$Q$189</definedName>
    <definedName name="char4SkillEchoElement">'Character 4'!$E$19</definedName>
    <definedName name="char4SkillElement">'Character 4'!$E$18</definedName>
    <definedName name="char4SkillTalentLevel">'Character 4'!$E$8</definedName>
    <definedName name="char4Stats">Calculations!$C$161:$K$207</definedName>
    <definedName name="char4TransformativeMult">Calculations!$Q$174</definedName>
    <definedName name="char4WeaponBaseATK">Calculations!$Q$180</definedName>
    <definedName name="char4WeaponName">'Character 4'!$L$5</definedName>
    <definedName name="char4WeaponProcTable">'Data Val'!$I$25:$M$28</definedName>
    <definedName name="char4Weapons">weaponsDB!$A$200:$CS$264</definedName>
    <definedName name="char4WeapStacks">'Character 4'!$L$7</definedName>
    <definedName name="char4WeapToggle">'Character 4'!$L$8</definedName>
    <definedName name="childeBaseStats">'Char Stats'!$A$106:$G$120</definedName>
    <definedName name="childeTalentScalings">MVs!$B$881:$S$917</definedName>
    <definedName name="chongyunBaseStats">'Char Stats'!$A$121:$G$135</definedName>
    <definedName name="chongyunTalentScalings">MVs!$B$180:$S$200</definedName>
    <definedName name="dilucBaseStats">'Char Stats'!$A$136:$G$150</definedName>
    <definedName name="dilucTalentScalings">MVs!$B$201:$S$225</definedName>
    <definedName name="dionaBaseStats">'Char Stats'!$A$151:$G$165</definedName>
    <definedName name="dionaTalentScalings">MVs!$B$226:$S$250</definedName>
    <definedName name="emcBaseStats">'Char Stats'!$A$631:$G$645</definedName>
    <definedName name="emcTalentScalings">MVs!$B$251:$S$273</definedName>
    <definedName name="enemyAnemoRes">'Character 1'!$E$34</definedName>
    <definedName name="enemyCryoRes">'Character 1'!$E$32</definedName>
    <definedName name="enemyDendroRes">'Character 1'!$E$37</definedName>
    <definedName name="enemyElectroRes">'Character 1'!$E$33</definedName>
    <definedName name="enemyGeoRes">'Character 1'!$E$35</definedName>
    <definedName name="enemyHydroRes">'Character 1'!$E$31</definedName>
    <definedName name="enemyLevel">'Character 1'!$E$29</definedName>
    <definedName name="enemyPhysRes">'Character 1'!$E$36</definedName>
    <definedName name="enemyPyroRes">'Character 1'!$E$30</definedName>
    <definedName name="eulaBaseStats">'Char Stats'!$A$166:$F$180</definedName>
    <definedName name="eulaTalentScalings">MVs!$B$274:$S$300</definedName>
    <definedName name="fischlBaseStats">'Char Stats'!$A$181:$G$195</definedName>
    <definedName name="fischlTalentScalings">MVs!$B$301:$S$330</definedName>
    <definedName name="fiveStarArtiLevels">'Artifact Database'!$Y$16:$Y$36</definedName>
    <definedName name="fiveStarArtiStats">'Artifact Database'!$F$1:$W$22</definedName>
    <definedName name="fourStarArtiLevels">'Artifact Database'!$Z$16:$Z$32</definedName>
    <definedName name="fourStarArtiStats">'Artifact Database'!$F$23:$W$40</definedName>
    <definedName name="ganyuBaseStats">'Char Stats'!$A$196:$G$210</definedName>
    <definedName name="ganyuTalentScalings">MVs!$B$331:$S$355</definedName>
    <definedName name="gmcBaseStats">'Char Stats'!$A$601:$G$615</definedName>
    <definedName name="gmcTalentScalings">MVs!$B$356:$S$378</definedName>
    <definedName name="gorouBaseStats">'Char Stats'!$A$211:$G$225</definedName>
    <definedName name="gorouTalentscalings">MVs!$B$379:$S$403</definedName>
    <definedName name="hutaoBaseStats">'Char Stats'!$A$226:$G$240</definedName>
    <definedName name="hutaoTalentScalings">MVs!$B$404:$S$430</definedName>
    <definedName name="ittoBaseStats">'Char Stats'!$A$241:$F$255</definedName>
    <definedName name="ittoTalentScalings">MVs!$B$431:$S$452</definedName>
    <definedName name="jeanBaseStats">'Char Stats'!$A$256:$G$270</definedName>
    <definedName name="jeanTalentScalings">MVs!$B$453:$S$478</definedName>
    <definedName name="kaeyaBaseStats">'Char Stats'!$A$271:$G$285</definedName>
    <definedName name="kaeyaTalentScalings">MVs!$B$479:$S$501</definedName>
    <definedName name="kazuhaBaseStats">'Char Stats'!$A$646:$G$660</definedName>
    <definedName name="kazuhaTalentScalings">MVs!$B$502:$S$528</definedName>
    <definedName name="keqingBaseStats">'Char Stats'!$A$286:$G$300</definedName>
    <definedName name="keqingTalentScalings">MVs!$B$529:$S$556</definedName>
    <definedName name="kleeBaseStats">'Char Stats'!$A$301:$G$315</definedName>
    <definedName name="kleeTalentScalings">MVs!$B$557:$S$578</definedName>
    <definedName name="kokomiBaseStats">'Char Stats'!$A$316:$G$330</definedName>
    <definedName name="kokomiTalentScalings">MVs!$B$579:$S$604</definedName>
    <definedName name="lisaBaseStats">'Char Stats'!$A$331:$G$345</definedName>
    <definedName name="lisaTalentScalings">MVs!$B$605:$S$628</definedName>
    <definedName name="monaBaseStats">'Char Stats'!$A$346:$G$360</definedName>
    <definedName name="monaTalentScalings">MVs!$B$629:$S$649</definedName>
    <definedName name="mvLookupTable">MVs!$U$2:$Y$4</definedName>
    <definedName name="ningguangBaseStats">'Char Stats'!$A$361:$G$375</definedName>
    <definedName name="ningguangTalentScalings">MVs!$B$650:$S$667</definedName>
    <definedName name="noelleBaseStats">'Char Stats'!$A$376:$G$390</definedName>
    <definedName name="noelleTalentScalings">MVs!$B$668:$S$692</definedName>
    <definedName name="oneStarArtiLevels">'Artifact Database'!$AC$16:$AC$20</definedName>
    <definedName name="oneStarArtiStats">'Artifact Database'!$F$61:$W$66</definedName>
    <definedName name="qiqiBaseStats">'Char Stats'!$A$391:$G$405</definedName>
    <definedName name="qiqiTalentScalings">MVs!$B$693:$S$720</definedName>
    <definedName name="raidenBaseStats">'Char Stats'!$A$406:$G$420</definedName>
    <definedName name="raidenTalentScalings">MVs!$B$744:$S$778</definedName>
    <definedName name="razorBaseStats">'Char Stats'!$A$421:$G$435</definedName>
    <definedName name="razorTalentScalings">MVs!$B$721:$S$743</definedName>
    <definedName name="rosariaBaseStats">'Char Stats'!$A$436:$G$450</definedName>
    <definedName name="rosariaTalentScalings">MVs!$B$779:$S$803</definedName>
    <definedName name="saraTalentScalings">MVs!$B$804:$S$827</definedName>
    <definedName name="sayuBaseStats">'Char Stats'!$A$451:$G$465</definedName>
    <definedName name="sayuTalentScalings">MVs!$B$828:$S$859</definedName>
    <definedName name="solver_adj" localSheetId="1" hidden="1">'Character 1'!$Z$19:$Z$28</definedName>
    <definedName name="solver_adj" localSheetId="2" hidden="1">'Character 2'!$Z$19:$Z$28</definedName>
    <definedName name="solver_adj" localSheetId="3" hidden="1">'Character 3'!$Z$19:$Z$28</definedName>
    <definedName name="solver_adj" localSheetId="4" hidden="1">'Character 4'!$Z$19:$Z$28</definedName>
    <definedName name="solver_cvg" localSheetId="1" hidden="1">0.0001</definedName>
    <definedName name="solver_cvg" localSheetId="2" hidden="1">0.0001</definedName>
    <definedName name="solver_cvg" localSheetId="3" hidden="1">0.0001</definedName>
    <definedName name="solver_cvg" localSheetId="4" hidden="1">0.0001</definedName>
    <definedName name="solver_drv" localSheetId="1" hidden="1">2</definedName>
    <definedName name="solver_drv" localSheetId="2" hidden="1">2</definedName>
    <definedName name="solver_drv" localSheetId="3" hidden="1">2</definedName>
    <definedName name="solver_drv" localSheetId="4" hidden="1">2</definedName>
    <definedName name="solver_eng" localSheetId="1" hidden="1">1</definedName>
    <definedName name="solver_eng" localSheetId="2" hidden="1">1</definedName>
    <definedName name="solver_eng" localSheetId="3" hidden="1">1</definedName>
    <definedName name="solver_eng" localSheetId="4" hidden="1">1</definedName>
    <definedName name="solver_est" localSheetId="1" hidden="1">1</definedName>
    <definedName name="solver_est" localSheetId="2" hidden="1">1</definedName>
    <definedName name="solver_est" localSheetId="3" hidden="1">1</definedName>
    <definedName name="solver_est" localSheetId="4" hidden="1">1</definedName>
    <definedName name="solver_itr" localSheetId="1" hidden="1">2147483647</definedName>
    <definedName name="solver_itr" localSheetId="2" hidden="1">2147483647</definedName>
    <definedName name="solver_itr" localSheetId="3" hidden="1">2147483647</definedName>
    <definedName name="solver_itr" localSheetId="4" hidden="1">2147483647</definedName>
    <definedName name="solver_lhs1" localSheetId="1" hidden="1">'Character 1'!$AF$14</definedName>
    <definedName name="solver_lhs1" localSheetId="2" hidden="1">'Character 2'!$Z$28</definedName>
    <definedName name="solver_lhs1" localSheetId="3" hidden="1">'Character 3'!$AF$14</definedName>
    <definedName name="solver_lhs1" localSheetId="4" hidden="1">'Character 4'!$AF$14</definedName>
    <definedName name="solver_lhs10" localSheetId="1" hidden="1">'Character 1'!$Z$21</definedName>
    <definedName name="solver_lhs10" localSheetId="2" hidden="1">'Character 2'!$Z$26</definedName>
    <definedName name="solver_lhs10" localSheetId="3" hidden="1">'Character 3'!$Z$21</definedName>
    <definedName name="solver_lhs10" localSheetId="4" hidden="1">'Character 4'!$Z$21</definedName>
    <definedName name="solver_lhs11" localSheetId="1" hidden="1">'Character 1'!$Z$21</definedName>
    <definedName name="solver_lhs11" localSheetId="2" hidden="1">'Character 2'!$Z$26</definedName>
    <definedName name="solver_lhs11" localSheetId="3" hidden="1">'Character 3'!$Z$21</definedName>
    <definedName name="solver_lhs11" localSheetId="4" hidden="1">'Character 4'!$Z$21</definedName>
    <definedName name="solver_lhs12" localSheetId="1" hidden="1">'Character 1'!$Z$22</definedName>
    <definedName name="solver_lhs12" localSheetId="2" hidden="1">'Character 2'!$Z$22</definedName>
    <definedName name="solver_lhs12" localSheetId="3" hidden="1">'Character 3'!$Z$22</definedName>
    <definedName name="solver_lhs12" localSheetId="4" hidden="1">'Character 4'!$Z$22</definedName>
    <definedName name="solver_lhs13" localSheetId="1" hidden="1">'Character 1'!$Z$22</definedName>
    <definedName name="solver_lhs13" localSheetId="2" hidden="1">'Character 2'!$Z$23</definedName>
    <definedName name="solver_lhs13" localSheetId="3" hidden="1">'Character 3'!$Z$22</definedName>
    <definedName name="solver_lhs13" localSheetId="4" hidden="1">'Character 4'!$Z$22</definedName>
    <definedName name="solver_lhs14" localSheetId="1" hidden="1">'Character 1'!$Z$23</definedName>
    <definedName name="solver_lhs14" localSheetId="2" hidden="1">'Character 2'!$Z$22</definedName>
    <definedName name="solver_lhs14" localSheetId="3" hidden="1">'Character 3'!$Z$23</definedName>
    <definedName name="solver_lhs14" localSheetId="4" hidden="1">'Character 4'!$Z$23</definedName>
    <definedName name="solver_lhs15" localSheetId="1" hidden="1">'Character 1'!$Z$23</definedName>
    <definedName name="solver_lhs15" localSheetId="2" hidden="1">'Character 2'!$Z$19</definedName>
    <definedName name="solver_lhs15" localSheetId="3" hidden="1">'Character 3'!$Z$23</definedName>
    <definedName name="solver_lhs15" localSheetId="4" hidden="1">'Character 4'!$Z$23</definedName>
    <definedName name="solver_lhs16" localSheetId="1" hidden="1">'Character 1'!$Z$24</definedName>
    <definedName name="solver_lhs16" localSheetId="2" hidden="1">'Character 2'!$Z$19</definedName>
    <definedName name="solver_lhs16" localSheetId="3" hidden="1">'Character 3'!$Z$24</definedName>
    <definedName name="solver_lhs16" localSheetId="4" hidden="1">'Character 4'!$Z$24</definedName>
    <definedName name="solver_lhs17" localSheetId="1" hidden="1">'Character 1'!$Z$24</definedName>
    <definedName name="solver_lhs17" localSheetId="2" hidden="1">'Character 2'!$Z$21</definedName>
    <definedName name="solver_lhs17" localSheetId="3" hidden="1">'Character 3'!$Z$24</definedName>
    <definedName name="solver_lhs17" localSheetId="4" hidden="1">'Character 4'!$Z$24</definedName>
    <definedName name="solver_lhs18" localSheetId="1" hidden="1">'Character 1'!$Z$25</definedName>
    <definedName name="solver_lhs18" localSheetId="2" hidden="1">'Character 2'!$Z$21</definedName>
    <definedName name="solver_lhs18" localSheetId="3" hidden="1">'Character 3'!$Z$25</definedName>
    <definedName name="solver_lhs18" localSheetId="4" hidden="1">'Character 4'!$Z$25</definedName>
    <definedName name="solver_lhs19" localSheetId="1" hidden="1">'Character 1'!$Z$25</definedName>
    <definedName name="solver_lhs19" localSheetId="2" hidden="1">'Character 2'!$Z$22</definedName>
    <definedName name="solver_lhs19" localSheetId="3" hidden="1">'Character 3'!$Z$25</definedName>
    <definedName name="solver_lhs19" localSheetId="4" hidden="1">'Character 4'!$Z$25</definedName>
    <definedName name="solver_lhs2" localSheetId="1" hidden="1">'Character 1'!$AF$15</definedName>
    <definedName name="solver_lhs2" localSheetId="2" hidden="1">'Character 2'!$Z$25</definedName>
    <definedName name="solver_lhs2" localSheetId="3" hidden="1">'Character 3'!$AF$15</definedName>
    <definedName name="solver_lhs2" localSheetId="4" hidden="1">'Character 4'!$AF$15</definedName>
    <definedName name="solver_lhs20" localSheetId="1" hidden="1">'Character 1'!$Z$26</definedName>
    <definedName name="solver_lhs20" localSheetId="2" hidden="1">'Character 2'!$Z$20</definedName>
    <definedName name="solver_lhs20" localSheetId="3" hidden="1">'Character 3'!$Z$26</definedName>
    <definedName name="solver_lhs20" localSheetId="4" hidden="1">'Character 4'!$Z$26</definedName>
    <definedName name="solver_lhs21" localSheetId="1" hidden="1">'Character 1'!$Z$26</definedName>
    <definedName name="solver_lhs21" localSheetId="2" hidden="1">'Character 2'!$Z$20</definedName>
    <definedName name="solver_lhs21" localSheetId="3" hidden="1">'Character 3'!$Z$26</definedName>
    <definedName name="solver_lhs21" localSheetId="4" hidden="1">'Character 4'!$Z$26</definedName>
    <definedName name="solver_lhs22" localSheetId="1" hidden="1">'Character 1'!$Z$27</definedName>
    <definedName name="solver_lhs22" localSheetId="2" hidden="1">'Character 2'!$AF$14</definedName>
    <definedName name="solver_lhs22" localSheetId="3" hidden="1">'Character 3'!$Z$27</definedName>
    <definedName name="solver_lhs22" localSheetId="4" hidden="1">'Character 4'!$Z$27</definedName>
    <definedName name="solver_lhs23" localSheetId="1" hidden="1">'Character 1'!$Z$27</definedName>
    <definedName name="solver_lhs23" localSheetId="2" hidden="1">'Character 2'!$AF$14</definedName>
    <definedName name="solver_lhs23" localSheetId="3" hidden="1">'Character 3'!$Z$27</definedName>
    <definedName name="solver_lhs23" localSheetId="4" hidden="1">'Character 4'!$Z$27</definedName>
    <definedName name="solver_lhs24" localSheetId="1" hidden="1">'Character 1'!$Z$28</definedName>
    <definedName name="solver_lhs24" localSheetId="2" hidden="1">'Character 2'!$AF$15</definedName>
    <definedName name="solver_lhs24" localSheetId="3" hidden="1">'Character 3'!$Z$28</definedName>
    <definedName name="solver_lhs24" localSheetId="4" hidden="1">'Character 4'!$Z$28</definedName>
    <definedName name="solver_lhs25" localSheetId="1" hidden="1">'Character 1'!$Z$28</definedName>
    <definedName name="solver_lhs25" localSheetId="2" hidden="1">'Character 2'!$AF$16</definedName>
    <definedName name="solver_lhs25" localSheetId="3" hidden="1">'Character 3'!$Z$28</definedName>
    <definedName name="solver_lhs25" localSheetId="4" hidden="1">'Character 4'!$Z$28</definedName>
    <definedName name="solver_lhs26" localSheetId="2" hidden="1">'Character 2'!$AF$17</definedName>
    <definedName name="solver_lhs27" localSheetId="2" hidden="1">'Character 2'!$Z$18</definedName>
    <definedName name="solver_lhs3" localSheetId="1" hidden="1">'Character 1'!$AF$16</definedName>
    <definedName name="solver_lhs3" localSheetId="2" hidden="1">'Character 2'!$Z$27</definedName>
    <definedName name="solver_lhs3" localSheetId="3" hidden="1">'Character 3'!$AF$16</definedName>
    <definedName name="solver_lhs3" localSheetId="4" hidden="1">'Character 4'!$AF$16</definedName>
    <definedName name="solver_lhs4" localSheetId="1" hidden="1">'Character 1'!$AF$17</definedName>
    <definedName name="solver_lhs4" localSheetId="2" hidden="1">'Character 2'!$Z$27</definedName>
    <definedName name="solver_lhs4" localSheetId="3" hidden="1">'Character 3'!$AF$17</definedName>
    <definedName name="solver_lhs4" localSheetId="4" hidden="1">'Character 4'!$AF$17</definedName>
    <definedName name="solver_lhs5" localSheetId="1" hidden="1">'Character 1'!$Z$18</definedName>
    <definedName name="solver_lhs5" localSheetId="2" hidden="1">'Character 2'!$Z$23</definedName>
    <definedName name="solver_lhs5" localSheetId="3" hidden="1">'Character 3'!$Z$18</definedName>
    <definedName name="solver_lhs5" localSheetId="4" hidden="1">'Character 4'!$Z$18</definedName>
    <definedName name="solver_lhs6" localSheetId="1" hidden="1">'Character 1'!$Z$19</definedName>
    <definedName name="solver_lhs6" localSheetId="2" hidden="1">'Character 2'!$Z$24</definedName>
    <definedName name="solver_lhs6" localSheetId="3" hidden="1">'Character 3'!$Z$19</definedName>
    <definedName name="solver_lhs6" localSheetId="4" hidden="1">'Character 4'!$Z$19</definedName>
    <definedName name="solver_lhs7" localSheetId="1" hidden="1">'Character 1'!$Z$19</definedName>
    <definedName name="solver_lhs7" localSheetId="2" hidden="1">'Character 2'!$Z$24</definedName>
    <definedName name="solver_lhs7" localSheetId="3" hidden="1">'Character 3'!$Z$19</definedName>
    <definedName name="solver_lhs7" localSheetId="4" hidden="1">'Character 4'!$Z$19</definedName>
    <definedName name="solver_lhs8" localSheetId="1" hidden="1">'Character 1'!$Z$20</definedName>
    <definedName name="solver_lhs8" localSheetId="2" hidden="1">'Character 2'!$Z$25</definedName>
    <definedName name="solver_lhs8" localSheetId="3" hidden="1">'Character 3'!$Z$20</definedName>
    <definedName name="solver_lhs8" localSheetId="4" hidden="1">'Character 4'!$Z$20</definedName>
    <definedName name="solver_lhs9" localSheetId="1" hidden="1">'Character 1'!$Z$20</definedName>
    <definedName name="solver_lhs9" localSheetId="2" hidden="1">'Character 2'!$Z$28</definedName>
    <definedName name="solver_lhs9" localSheetId="3" hidden="1">'Character 3'!$Z$20</definedName>
    <definedName name="solver_lhs9" localSheetId="4" hidden="1">'Character 4'!$Z$20</definedName>
    <definedName name="solver_mip" localSheetId="1" hidden="1">2147483647</definedName>
    <definedName name="solver_mip" localSheetId="2" hidden="1">2147483647</definedName>
    <definedName name="solver_mip" localSheetId="3" hidden="1">2147483647</definedName>
    <definedName name="solver_mip" localSheetId="4" hidden="1">2147483647</definedName>
    <definedName name="solver_mni" localSheetId="1" hidden="1">30</definedName>
    <definedName name="solver_mni" localSheetId="2" hidden="1">30</definedName>
    <definedName name="solver_mni" localSheetId="3" hidden="1">30</definedName>
    <definedName name="solver_mni" localSheetId="4" hidden="1">30</definedName>
    <definedName name="solver_mrt" localSheetId="1" hidden="1">0.075</definedName>
    <definedName name="solver_mrt" localSheetId="2" hidden="1">0.075</definedName>
    <definedName name="solver_mrt" localSheetId="3" hidden="1">0.075</definedName>
    <definedName name="solver_mrt" localSheetId="4" hidden="1">0.075</definedName>
    <definedName name="solver_msl" localSheetId="1" hidden="1">2</definedName>
    <definedName name="solver_msl" localSheetId="2" hidden="1">2</definedName>
    <definedName name="solver_msl" localSheetId="3" hidden="1">2</definedName>
    <definedName name="solver_msl" localSheetId="4" hidden="1">2</definedName>
    <definedName name="solver_neg" localSheetId="1" hidden="1">1</definedName>
    <definedName name="solver_neg" localSheetId="2" hidden="1">1</definedName>
    <definedName name="solver_neg" localSheetId="3" hidden="1">1</definedName>
    <definedName name="solver_neg" localSheetId="4" hidden="1">1</definedName>
    <definedName name="solver_nod" localSheetId="1" hidden="1">2147483647</definedName>
    <definedName name="solver_nod" localSheetId="2" hidden="1">2147483647</definedName>
    <definedName name="solver_nod" localSheetId="3" hidden="1">2147483647</definedName>
    <definedName name="solver_nod" localSheetId="4" hidden="1">2147483647</definedName>
    <definedName name="solver_num" localSheetId="1" hidden="1">25</definedName>
    <definedName name="solver_num" localSheetId="2" hidden="1">27</definedName>
    <definedName name="solver_num" localSheetId="3" hidden="1">25</definedName>
    <definedName name="solver_num" localSheetId="4" hidden="1">25</definedName>
    <definedName name="solver_nwt" localSheetId="1" hidden="1">1</definedName>
    <definedName name="solver_nwt" localSheetId="2" hidden="1">1</definedName>
    <definedName name="solver_nwt" localSheetId="3" hidden="1">1</definedName>
    <definedName name="solver_nwt" localSheetId="4" hidden="1">1</definedName>
    <definedName name="solver_opt" localSheetId="1" hidden="1">'Character 1'!$AF$5</definedName>
    <definedName name="solver_opt" localSheetId="2" hidden="1">'Character 2'!$AF$5</definedName>
    <definedName name="solver_opt" localSheetId="3" hidden="1">'Character 3'!$AF$5</definedName>
    <definedName name="solver_opt" localSheetId="4" hidden="1">'Character 4'!$AF$5</definedName>
    <definedName name="solver_pre" localSheetId="1" hidden="1">0.000001</definedName>
    <definedName name="solver_pre" localSheetId="2" hidden="1">0.000001</definedName>
    <definedName name="solver_pre" localSheetId="3" hidden="1">0.000001</definedName>
    <definedName name="solver_pre" localSheetId="4" hidden="1">0.000001</definedName>
    <definedName name="solver_rbv" localSheetId="1" hidden="1">2</definedName>
    <definedName name="solver_rbv" localSheetId="2" hidden="1">2</definedName>
    <definedName name="solver_rbv" localSheetId="3" hidden="1">2</definedName>
    <definedName name="solver_rbv" localSheetId="4" hidden="1">2</definedName>
    <definedName name="solver_rel1" localSheetId="1" hidden="1">3</definedName>
    <definedName name="solver_rel1" localSheetId="2" hidden="1">4</definedName>
    <definedName name="solver_rel1" localSheetId="3" hidden="1">3</definedName>
    <definedName name="solver_rel1" localSheetId="4" hidden="1">3</definedName>
    <definedName name="solver_rel10" localSheetId="1" hidden="1">4</definedName>
    <definedName name="solver_rel10" localSheetId="2" hidden="1">4</definedName>
    <definedName name="solver_rel10" localSheetId="3" hidden="1">4</definedName>
    <definedName name="solver_rel10" localSheetId="4" hidden="1">4</definedName>
    <definedName name="solver_rel11" localSheetId="1" hidden="1">3</definedName>
    <definedName name="solver_rel11" localSheetId="2" hidden="1">3</definedName>
    <definedName name="solver_rel11" localSheetId="3" hidden="1">3</definedName>
    <definedName name="solver_rel11" localSheetId="4" hidden="1">3</definedName>
    <definedName name="solver_rel12" localSheetId="1" hidden="1">4</definedName>
    <definedName name="solver_rel12" localSheetId="2" hidden="1">4</definedName>
    <definedName name="solver_rel12" localSheetId="3" hidden="1">4</definedName>
    <definedName name="solver_rel12" localSheetId="4" hidden="1">4</definedName>
    <definedName name="solver_rel13" localSheetId="1" hidden="1">3</definedName>
    <definedName name="solver_rel13" localSheetId="2" hidden="1">4</definedName>
    <definedName name="solver_rel13" localSheetId="3" hidden="1">3</definedName>
    <definedName name="solver_rel13" localSheetId="4" hidden="1">3</definedName>
    <definedName name="solver_rel14" localSheetId="1" hidden="1">4</definedName>
    <definedName name="solver_rel14" localSheetId="2" hidden="1">3</definedName>
    <definedName name="solver_rel14" localSheetId="3" hidden="1">4</definedName>
    <definedName name="solver_rel14" localSheetId="4" hidden="1">4</definedName>
    <definedName name="solver_rel15" localSheetId="1" hidden="1">3</definedName>
    <definedName name="solver_rel15" localSheetId="2" hidden="1">4</definedName>
    <definedName name="solver_rel15" localSheetId="3" hidden="1">3</definedName>
    <definedName name="solver_rel15" localSheetId="4" hidden="1">3</definedName>
    <definedName name="solver_rel16" localSheetId="1" hidden="1">4</definedName>
    <definedName name="solver_rel16" localSheetId="2" hidden="1">3</definedName>
    <definedName name="solver_rel16" localSheetId="3" hidden="1">4</definedName>
    <definedName name="solver_rel16" localSheetId="4" hidden="1">4</definedName>
    <definedName name="solver_rel17" localSheetId="1" hidden="1">3</definedName>
    <definedName name="solver_rel17" localSheetId="2" hidden="1">3</definedName>
    <definedName name="solver_rel17" localSheetId="3" hidden="1">3</definedName>
    <definedName name="solver_rel17" localSheetId="4" hidden="1">3</definedName>
    <definedName name="solver_rel18" localSheetId="1" hidden="1">4</definedName>
    <definedName name="solver_rel18" localSheetId="2" hidden="1">4</definedName>
    <definedName name="solver_rel18" localSheetId="3" hidden="1">4</definedName>
    <definedName name="solver_rel18" localSheetId="4" hidden="1">4</definedName>
    <definedName name="solver_rel19" localSheetId="1" hidden="1">3</definedName>
    <definedName name="solver_rel19" localSheetId="2" hidden="1">4</definedName>
    <definedName name="solver_rel19" localSheetId="3" hidden="1">3</definedName>
    <definedName name="solver_rel19" localSheetId="4" hidden="1">3</definedName>
    <definedName name="solver_rel2" localSheetId="1" hidden="1">1</definedName>
    <definedName name="solver_rel2" localSheetId="2" hidden="1">3</definedName>
    <definedName name="solver_rel2" localSheetId="3" hidden="1">1</definedName>
    <definedName name="solver_rel2" localSheetId="4" hidden="1">1</definedName>
    <definedName name="solver_rel20" localSheetId="1" hidden="1">4</definedName>
    <definedName name="solver_rel20" localSheetId="2" hidden="1">4</definedName>
    <definedName name="solver_rel20" localSheetId="3" hidden="1">4</definedName>
    <definedName name="solver_rel20" localSheetId="4" hidden="1">4</definedName>
    <definedName name="solver_rel21" localSheetId="1" hidden="1">3</definedName>
    <definedName name="solver_rel21" localSheetId="2" hidden="1">3</definedName>
    <definedName name="solver_rel21" localSheetId="3" hidden="1">3</definedName>
    <definedName name="solver_rel21" localSheetId="4" hidden="1">3</definedName>
    <definedName name="solver_rel22" localSheetId="1" hidden="1">4</definedName>
    <definedName name="solver_rel22" localSheetId="2" hidden="1">3</definedName>
    <definedName name="solver_rel22" localSheetId="3" hidden="1">4</definedName>
    <definedName name="solver_rel22" localSheetId="4" hidden="1">4</definedName>
    <definedName name="solver_rel23" localSheetId="1" hidden="1">3</definedName>
    <definedName name="solver_rel23" localSheetId="2" hidden="1">3</definedName>
    <definedName name="solver_rel23" localSheetId="3" hidden="1">3</definedName>
    <definedName name="solver_rel23" localSheetId="4" hidden="1">3</definedName>
    <definedName name="solver_rel24" localSheetId="1" hidden="1">4</definedName>
    <definedName name="solver_rel24" localSheetId="2" hidden="1">1</definedName>
    <definedName name="solver_rel24" localSheetId="3" hidden="1">4</definedName>
    <definedName name="solver_rel24" localSheetId="4" hidden="1">4</definedName>
    <definedName name="solver_rel25" localSheetId="1" hidden="1">3</definedName>
    <definedName name="solver_rel25" localSheetId="2" hidden="1">1</definedName>
    <definedName name="solver_rel25" localSheetId="3" hidden="1">3</definedName>
    <definedName name="solver_rel25" localSheetId="4" hidden="1">3</definedName>
    <definedName name="solver_rel26" localSheetId="2" hidden="1">1</definedName>
    <definedName name="solver_rel27" localSheetId="2" hidden="1">1</definedName>
    <definedName name="solver_rel3" localSheetId="1" hidden="1">1</definedName>
    <definedName name="solver_rel3" localSheetId="2" hidden="1">4</definedName>
    <definedName name="solver_rel3" localSheetId="3" hidden="1">1</definedName>
    <definedName name="solver_rel3" localSheetId="4" hidden="1">1</definedName>
    <definedName name="solver_rel4" localSheetId="1" hidden="1">1</definedName>
    <definedName name="solver_rel4" localSheetId="2" hidden="1">3</definedName>
    <definedName name="solver_rel4" localSheetId="3" hidden="1">1</definedName>
    <definedName name="solver_rel4" localSheetId="4" hidden="1">1</definedName>
    <definedName name="solver_rel5" localSheetId="1" hidden="1">1</definedName>
    <definedName name="solver_rel5" localSheetId="2" hidden="1">3</definedName>
    <definedName name="solver_rel5" localSheetId="3" hidden="1">1</definedName>
    <definedName name="solver_rel5" localSheetId="4" hidden="1">1</definedName>
    <definedName name="solver_rel6" localSheetId="1" hidden="1">4</definedName>
    <definedName name="solver_rel6" localSheetId="2" hidden="1">4</definedName>
    <definedName name="solver_rel6" localSheetId="3" hidden="1">4</definedName>
    <definedName name="solver_rel6" localSheetId="4" hidden="1">4</definedName>
    <definedName name="solver_rel7" localSheetId="1" hidden="1">3</definedName>
    <definedName name="solver_rel7" localSheetId="2" hidden="1">3</definedName>
    <definedName name="solver_rel7" localSheetId="3" hidden="1">3</definedName>
    <definedName name="solver_rel7" localSheetId="4" hidden="1">3</definedName>
    <definedName name="solver_rel8" localSheetId="1" hidden="1">4</definedName>
    <definedName name="solver_rel8" localSheetId="2" hidden="1">4</definedName>
    <definedName name="solver_rel8" localSheetId="3" hidden="1">4</definedName>
    <definedName name="solver_rel8" localSheetId="4" hidden="1">4</definedName>
    <definedName name="solver_rel9" localSheetId="1" hidden="1">3</definedName>
    <definedName name="solver_rel9" localSheetId="2" hidden="1">3</definedName>
    <definedName name="solver_rel9" localSheetId="3" hidden="1">3</definedName>
    <definedName name="solver_rel9" localSheetId="4" hidden="1">3</definedName>
    <definedName name="solver_rhs1" localSheetId="1" hidden="1">'Character 1'!$Z$8</definedName>
    <definedName name="solver_rhs1" localSheetId="2" hidden="1">"integer"</definedName>
    <definedName name="solver_rhs1" localSheetId="3" hidden="1">'Character 3'!$Z$8</definedName>
    <definedName name="solver_rhs1" localSheetId="4" hidden="1">'Character 4'!$Z$8</definedName>
    <definedName name="solver_rhs10" localSheetId="1" hidden="1">"integer"</definedName>
    <definedName name="solver_rhs10" localSheetId="2" hidden="1">"integer"</definedName>
    <definedName name="solver_rhs10" localSheetId="3" hidden="1">"integer"</definedName>
    <definedName name="solver_rhs10" localSheetId="4" hidden="1">"integer"</definedName>
    <definedName name="solver_rhs11" localSheetId="1" hidden="1">'Character 1'!$Z$9</definedName>
    <definedName name="solver_rhs11" localSheetId="2" hidden="1">'Character 2'!$Z$9</definedName>
    <definedName name="solver_rhs11" localSheetId="3" hidden="1">'Character 3'!$Z$9</definedName>
    <definedName name="solver_rhs11" localSheetId="4" hidden="1">'Character 4'!$Z$9</definedName>
    <definedName name="solver_rhs12" localSheetId="1" hidden="1">"integer"</definedName>
    <definedName name="solver_rhs12" localSheetId="2" hidden="1">"integer"</definedName>
    <definedName name="solver_rhs12" localSheetId="3" hidden="1">"integer"</definedName>
    <definedName name="solver_rhs12" localSheetId="4" hidden="1">"integer"</definedName>
    <definedName name="solver_rhs13" localSheetId="1" hidden="1">'Character 1'!$Z$9</definedName>
    <definedName name="solver_rhs13" localSheetId="2" hidden="1">"integer"</definedName>
    <definedName name="solver_rhs13" localSheetId="3" hidden="1">'Character 3'!$Z$9</definedName>
    <definedName name="solver_rhs13" localSheetId="4" hidden="1">'Character 4'!$Z$9</definedName>
    <definedName name="solver_rhs14" localSheetId="1" hidden="1">"integer"</definedName>
    <definedName name="solver_rhs14" localSheetId="2" hidden="1">'Character 2'!$Z$9</definedName>
    <definedName name="solver_rhs14" localSheetId="3" hidden="1">"integer"</definedName>
    <definedName name="solver_rhs14" localSheetId="4" hidden="1">"integer"</definedName>
    <definedName name="solver_rhs15" localSheetId="1" hidden="1">'Character 1'!$Z$9</definedName>
    <definedName name="solver_rhs15" localSheetId="2" hidden="1">"integer"</definedName>
    <definedName name="solver_rhs15" localSheetId="3" hidden="1">'Character 3'!$Z$9</definedName>
    <definedName name="solver_rhs15" localSheetId="4" hidden="1">'Character 4'!$Z$9</definedName>
    <definedName name="solver_rhs16" localSheetId="1" hidden="1">"integer"</definedName>
    <definedName name="solver_rhs16" localSheetId="2" hidden="1">'Character 2'!$Z$9</definedName>
    <definedName name="solver_rhs16" localSheetId="3" hidden="1">"integer"</definedName>
    <definedName name="solver_rhs16" localSheetId="4" hidden="1">"integer"</definedName>
    <definedName name="solver_rhs17" localSheetId="1" hidden="1">'Character 1'!$Z$9</definedName>
    <definedName name="solver_rhs17" localSheetId="2" hidden="1">'Character 2'!$Z$9</definedName>
    <definedName name="solver_rhs17" localSheetId="3" hidden="1">'Character 3'!$Z$9</definedName>
    <definedName name="solver_rhs17" localSheetId="4" hidden="1">'Character 4'!$Z$9</definedName>
    <definedName name="solver_rhs18" localSheetId="1" hidden="1">"integer"</definedName>
    <definedName name="solver_rhs18" localSheetId="2" hidden="1">"integer"</definedName>
    <definedName name="solver_rhs18" localSheetId="3" hidden="1">"integer"</definedName>
    <definedName name="solver_rhs18" localSheetId="4" hidden="1">"integer"</definedName>
    <definedName name="solver_rhs19" localSheetId="1" hidden="1">'Character 1'!$Z$9</definedName>
    <definedName name="solver_rhs19" localSheetId="2" hidden="1">"integer"</definedName>
    <definedName name="solver_rhs19" localSheetId="3" hidden="1">'Character 3'!$Z$9</definedName>
    <definedName name="solver_rhs19" localSheetId="4" hidden="1">'Character 4'!$Z$9</definedName>
    <definedName name="solver_rhs2" localSheetId="1" hidden="1">'Character 1'!$Z$12</definedName>
    <definedName name="solver_rhs2" localSheetId="2" hidden="1">'Character 2'!$Z$9</definedName>
    <definedName name="solver_rhs2" localSheetId="3" hidden="1">'Character 3'!$Z$12</definedName>
    <definedName name="solver_rhs2" localSheetId="4" hidden="1">'Character 4'!$Z$12</definedName>
    <definedName name="solver_rhs20" localSheetId="1" hidden="1">"integer"</definedName>
    <definedName name="solver_rhs20" localSheetId="2" hidden="1">"integer"</definedName>
    <definedName name="solver_rhs20" localSheetId="3" hidden="1">"integer"</definedName>
    <definedName name="solver_rhs20" localSheetId="4" hidden="1">"integer"</definedName>
    <definedName name="solver_rhs21" localSheetId="1" hidden="1">'Character 1'!$Z$9</definedName>
    <definedName name="solver_rhs21" localSheetId="2" hidden="1">'Character 2'!$Z$9</definedName>
    <definedName name="solver_rhs21" localSheetId="3" hidden="1">'Character 3'!$Z$9</definedName>
    <definedName name="solver_rhs21" localSheetId="4" hidden="1">'Character 4'!$Z$9</definedName>
    <definedName name="solver_rhs22" localSheetId="1" hidden="1">"integer"</definedName>
    <definedName name="solver_rhs22" localSheetId="2" hidden="1">'Character 2'!$Z$8</definedName>
    <definedName name="solver_rhs22" localSheetId="3" hidden="1">"integer"</definedName>
    <definedName name="solver_rhs22" localSheetId="4" hidden="1">"integer"</definedName>
    <definedName name="solver_rhs23" localSheetId="1" hidden="1">'Character 1'!$Z$9</definedName>
    <definedName name="solver_rhs23" localSheetId="2" hidden="1">'Character 2'!$Z$8</definedName>
    <definedName name="solver_rhs23" localSheetId="3" hidden="1">'Character 3'!$Z$9</definedName>
    <definedName name="solver_rhs23" localSheetId="4" hidden="1">'Character 4'!$Z$9</definedName>
    <definedName name="solver_rhs24" localSheetId="1" hidden="1">"integer"</definedName>
    <definedName name="solver_rhs24" localSheetId="2" hidden="1">'Character 2'!$Z$12</definedName>
    <definedName name="solver_rhs24" localSheetId="3" hidden="1">"integer"</definedName>
    <definedName name="solver_rhs24" localSheetId="4" hidden="1">"integer"</definedName>
    <definedName name="solver_rhs25" localSheetId="1" hidden="1">'Character 1'!$Z$9</definedName>
    <definedName name="solver_rhs25" localSheetId="2" hidden="1">'Character 2'!$Z$10</definedName>
    <definedName name="solver_rhs25" localSheetId="3" hidden="1">'Character 3'!$Z$9</definedName>
    <definedName name="solver_rhs25" localSheetId="4" hidden="1">'Character 4'!$Z$9</definedName>
    <definedName name="solver_rhs26" localSheetId="2" hidden="1">'Character 2'!$Z$11</definedName>
    <definedName name="solver_rhs27" localSheetId="2" hidden="1">'Character 2'!$Z$5</definedName>
    <definedName name="solver_rhs3" localSheetId="1" hidden="1">'Character 1'!$Z$10</definedName>
    <definedName name="solver_rhs3" localSheetId="2" hidden="1">"integer"</definedName>
    <definedName name="solver_rhs3" localSheetId="3" hidden="1">'Character 3'!$Z$10</definedName>
    <definedName name="solver_rhs3" localSheetId="4" hidden="1">'Character 4'!$Z$10</definedName>
    <definedName name="solver_rhs4" localSheetId="1" hidden="1">'Character 1'!$Z$11</definedName>
    <definedName name="solver_rhs4" localSheetId="2" hidden="1">'Character 2'!$Z$9</definedName>
    <definedName name="solver_rhs4" localSheetId="3" hidden="1">'Character 3'!$Z$11</definedName>
    <definedName name="solver_rhs4" localSheetId="4" hidden="1">'Character 4'!$Z$11</definedName>
    <definedName name="solver_rhs5" localSheetId="1" hidden="1">'Character 1'!$Z$5</definedName>
    <definedName name="solver_rhs5" localSheetId="2" hidden="1">'Character 2'!$Z$9</definedName>
    <definedName name="solver_rhs5" localSheetId="3" hidden="1">'Character 3'!$Z$5</definedName>
    <definedName name="solver_rhs5" localSheetId="4" hidden="1">'Character 4'!$Z$5</definedName>
    <definedName name="solver_rhs6" localSheetId="1" hidden="1">"integer"</definedName>
    <definedName name="solver_rhs6" localSheetId="2" hidden="1">"integer"</definedName>
    <definedName name="solver_rhs6" localSheetId="3" hidden="1">"integer"</definedName>
    <definedName name="solver_rhs6" localSheetId="4" hidden="1">"integer"</definedName>
    <definedName name="solver_rhs7" localSheetId="1" hidden="1">'Character 1'!$Z$9</definedName>
    <definedName name="solver_rhs7" localSheetId="2" hidden="1">'Character 2'!$Z$9</definedName>
    <definedName name="solver_rhs7" localSheetId="3" hidden="1">'Character 3'!$Z$9</definedName>
    <definedName name="solver_rhs7" localSheetId="4" hidden="1">'Character 4'!$Z$9</definedName>
    <definedName name="solver_rhs8" localSheetId="1" hidden="1">"integer"</definedName>
    <definedName name="solver_rhs8" localSheetId="2" hidden="1">"integer"</definedName>
    <definedName name="solver_rhs8" localSheetId="3" hidden="1">"integer"</definedName>
    <definedName name="solver_rhs8" localSheetId="4" hidden="1">"integer"</definedName>
    <definedName name="solver_rhs9" localSheetId="1" hidden="1">'Character 1'!$Z$9</definedName>
    <definedName name="solver_rhs9" localSheetId="2" hidden="1">'Character 2'!$Z$9</definedName>
    <definedName name="solver_rhs9" localSheetId="3" hidden="1">'Character 3'!$Z$9</definedName>
    <definedName name="solver_rhs9" localSheetId="4" hidden="1">'Character 4'!$Z$9</definedName>
    <definedName name="solver_rlx" localSheetId="1" hidden="1">2</definedName>
    <definedName name="solver_rlx" localSheetId="2" hidden="1">2</definedName>
    <definedName name="solver_rlx" localSheetId="3" hidden="1">2</definedName>
    <definedName name="solver_rlx" localSheetId="4" hidden="1">2</definedName>
    <definedName name="solver_rsd" localSheetId="1" hidden="1">0</definedName>
    <definedName name="solver_rsd" localSheetId="2" hidden="1">0</definedName>
    <definedName name="solver_rsd" localSheetId="3" hidden="1">0</definedName>
    <definedName name="solver_rsd" localSheetId="4" hidden="1">0</definedName>
    <definedName name="solver_scl" localSheetId="1" hidden="1">2</definedName>
    <definedName name="solver_scl" localSheetId="2" hidden="1">2</definedName>
    <definedName name="solver_scl" localSheetId="3" hidden="1">2</definedName>
    <definedName name="solver_scl" localSheetId="4" hidden="1">2</definedName>
    <definedName name="solver_sho" localSheetId="1" hidden="1">2</definedName>
    <definedName name="solver_sho" localSheetId="2" hidden="1">2</definedName>
    <definedName name="solver_sho" localSheetId="3" hidden="1">2</definedName>
    <definedName name="solver_sho" localSheetId="4" hidden="1">2</definedName>
    <definedName name="solver_ssz" localSheetId="1" hidden="1">100</definedName>
    <definedName name="solver_ssz" localSheetId="2" hidden="1">100</definedName>
    <definedName name="solver_ssz" localSheetId="3" hidden="1">100</definedName>
    <definedName name="solver_ssz" localSheetId="4" hidden="1">100</definedName>
    <definedName name="solver_tim" localSheetId="1" hidden="1">2147483647</definedName>
    <definedName name="solver_tim" localSheetId="2" hidden="1">2147483647</definedName>
    <definedName name="solver_tim" localSheetId="3" hidden="1">2147483647</definedName>
    <definedName name="solver_tim" localSheetId="4" hidden="1">2147483647</definedName>
    <definedName name="solver_tol" localSheetId="1" hidden="1">0.01</definedName>
    <definedName name="solver_tol" localSheetId="2" hidden="1">0.01</definedName>
    <definedName name="solver_tol" localSheetId="3" hidden="1">0.01</definedName>
    <definedName name="solver_tol" localSheetId="4" hidden="1">0.01</definedName>
    <definedName name="solver_typ" localSheetId="1" hidden="1">1</definedName>
    <definedName name="solver_typ" localSheetId="2" hidden="1">1</definedName>
    <definedName name="solver_typ" localSheetId="3" hidden="1">1</definedName>
    <definedName name="solver_typ" localSheetId="4" hidden="1">1</definedName>
    <definedName name="solver_val" localSheetId="1" hidden="1">0</definedName>
    <definedName name="solver_val" localSheetId="2" hidden="1">0</definedName>
    <definedName name="solver_val" localSheetId="3" hidden="1">0</definedName>
    <definedName name="solver_val" localSheetId="4" hidden="1">0</definedName>
    <definedName name="solver_ver" localSheetId="1" hidden="1">3</definedName>
    <definedName name="solver_ver" localSheetId="2" hidden="1">3</definedName>
    <definedName name="solver_ver" localSheetId="3" hidden="1">3</definedName>
    <definedName name="solver_ver" localSheetId="4" hidden="1">3</definedName>
    <definedName name="sucroseBaseStats">'Char Stats'!$A$466:$G$480</definedName>
    <definedName name="sucroseTalentScalings">MVs!$B$860:$S$880</definedName>
    <definedName name="threeStarArtiLevels">'Artifact Database'!$AA$16:$AA$28</definedName>
    <definedName name="threeStarArtiStats">'Artifact Database'!$F$41:$W$54</definedName>
    <definedName name="twoStarArtiLevels">'Artifact Database'!$AB$16:$AB$20</definedName>
    <definedName name="twoStarArtiStats">'Artifact Database'!$F$55:$W$60</definedName>
    <definedName name="ventiBaseStats">'Char Stats'!$A$481:$G$495</definedName>
    <definedName name="ventiTalentScalings">MVs!$B$918:$S$944</definedName>
    <definedName name="weapProcTable">'Data Val'!$I$7:$M$10</definedName>
    <definedName name="xianglingBaseStats">'Char Stats'!$A$496:$G$510</definedName>
    <definedName name="xianglingTalentScalings">MVs!$B$945:$S$968</definedName>
    <definedName name="xiaoBaseStats">'Char Stats'!$A$511:$G$525</definedName>
    <definedName name="xiaoTalentScalings">MVs!$B$969:$S$989</definedName>
    <definedName name="xingqiuBaseStats">'Char Stats'!$A$526:$G$540</definedName>
    <definedName name="xingqiuTalentScalings">MVs!$B$990:$S$1015</definedName>
    <definedName name="xinyanBaseStats">'Char Stats'!$A$541:$G$555</definedName>
    <definedName name="xinyanTalentScalings">MVs!$B$1016:$S$1039</definedName>
    <definedName name="yanfeiBaseStats">'Char Stats'!$A$556:$G$570</definedName>
    <definedName name="yanfeiTalentScalings">MVs!$B$1040:$S$1063</definedName>
    <definedName name="yoimiyaBaseStats">'Char Stats'!$A$571:$G$585</definedName>
    <definedName name="yoimiyaTalentScalings">MVs!$B$1064:$S$1091</definedName>
    <definedName name="zhongliBaseStats">'Char Stats'!$A$586:$G$600</definedName>
    <definedName name="zhongliTalentScalings">MVs!$B$1092:$S$1119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J21" i="6" l="1"/>
  <c r="AJ3" i="6" s="1"/>
  <c r="AJ68" i="6"/>
  <c r="AJ179" i="6" s="1"/>
  <c r="AJ187" i="6" s="1"/>
  <c r="AJ69" i="6"/>
  <c r="AJ180" i="6" s="1"/>
  <c r="AJ188" i="6" s="1"/>
  <c r="AJ70" i="6"/>
  <c r="AJ71" i="6"/>
  <c r="AJ182" i="6" s="1"/>
  <c r="AJ190" i="6" s="1"/>
  <c r="AJ72" i="6"/>
  <c r="AJ73" i="6"/>
  <c r="AJ184" i="6" s="1"/>
  <c r="AJ192" i="6" s="1"/>
  <c r="AJ74" i="6"/>
  <c r="AJ181" i="6"/>
  <c r="AJ189" i="6" s="1"/>
  <c r="AJ183" i="6"/>
  <c r="AJ191" i="6" s="1"/>
  <c r="AJ185" i="6"/>
  <c r="AJ193" i="6" s="1"/>
  <c r="AJ240" i="6"/>
  <c r="AJ241" i="6" s="1"/>
  <c r="AJ250" i="6"/>
  <c r="AJ252" i="6" s="1"/>
  <c r="AJ251" i="6"/>
  <c r="T5" i="16"/>
  <c r="AI68" i="6"/>
  <c r="AI179" i="6" s="1"/>
  <c r="AI187" i="6" s="1"/>
  <c r="AI259" i="6" s="1"/>
  <c r="AI261" i="6" s="1"/>
  <c r="AI69" i="6"/>
  <c r="AI180" i="6" s="1"/>
  <c r="AI188" i="6" s="1"/>
  <c r="AI70" i="6"/>
  <c r="AI71" i="6"/>
  <c r="AI72" i="6"/>
  <c r="AI183" i="6" s="1"/>
  <c r="AI191" i="6" s="1"/>
  <c r="AI73" i="6"/>
  <c r="AI184" i="6" s="1"/>
  <c r="AI192" i="6" s="1"/>
  <c r="AI74" i="6"/>
  <c r="AI185" i="6" s="1"/>
  <c r="AI193" i="6" s="1"/>
  <c r="AI181" i="6"/>
  <c r="AI189" i="6" s="1"/>
  <c r="AI182" i="6"/>
  <c r="AI190" i="6" s="1"/>
  <c r="AI240" i="6"/>
  <c r="AI241" i="6" s="1"/>
  <c r="AI250" i="6"/>
  <c r="AI252" i="6" s="1"/>
  <c r="AI251" i="6"/>
  <c r="AH68" i="6"/>
  <c r="AH179" i="6" s="1"/>
  <c r="AH187" i="6" s="1"/>
  <c r="AH259" i="6" s="1"/>
  <c r="AH261" i="6" s="1"/>
  <c r="AH69" i="6"/>
  <c r="AH180" i="6" s="1"/>
  <c r="AH188" i="6" s="1"/>
  <c r="AH70" i="6"/>
  <c r="AH71" i="6"/>
  <c r="AH72" i="6"/>
  <c r="AH73" i="6"/>
  <c r="AH74" i="6"/>
  <c r="AH181" i="6"/>
  <c r="AH189" i="6" s="1"/>
  <c r="AH182" i="6"/>
  <c r="AH190" i="6" s="1"/>
  <c r="AH183" i="6"/>
  <c r="AH191" i="6" s="1"/>
  <c r="AH184" i="6"/>
  <c r="AH192" i="6" s="1"/>
  <c r="AH185" i="6"/>
  <c r="AH193" i="6" s="1"/>
  <c r="AH240" i="6"/>
  <c r="AH241" i="6" s="1"/>
  <c r="AH250" i="6"/>
  <c r="AH252" i="6" s="1"/>
  <c r="AH251" i="6"/>
  <c r="AK259" i="6"/>
  <c r="AK261" i="6" s="1"/>
  <c r="AL259" i="6"/>
  <c r="AL261" i="6" s="1"/>
  <c r="Z18" i="1"/>
  <c r="AF15" i="6"/>
  <c r="H68" i="6"/>
  <c r="H179" i="6" s="1"/>
  <c r="H187" i="6" s="1"/>
  <c r="H259" i="6" s="1"/>
  <c r="H261" i="6" s="1"/>
  <c r="H69" i="6"/>
  <c r="H180" i="6" s="1"/>
  <c r="H188" i="6" s="1"/>
  <c r="H70" i="6"/>
  <c r="H181" i="6" s="1"/>
  <c r="H189" i="6" s="1"/>
  <c r="H71" i="6"/>
  <c r="H182" i="6" s="1"/>
  <c r="H190" i="6" s="1"/>
  <c r="H72" i="6"/>
  <c r="H183" i="6" s="1"/>
  <c r="H191" i="6" s="1"/>
  <c r="H73" i="6"/>
  <c r="H184" i="6" s="1"/>
  <c r="H192" i="6" s="1"/>
  <c r="H74" i="6"/>
  <c r="H185" i="6"/>
  <c r="H193" i="6" s="1"/>
  <c r="H240" i="6"/>
  <c r="H241" i="6" s="1"/>
  <c r="H250" i="6"/>
  <c r="H252" i="6" s="1"/>
  <c r="H251" i="6"/>
  <c r="Z18" i="17"/>
  <c r="Z18" i="16"/>
  <c r="E21" i="6"/>
  <c r="E3" i="6" s="1"/>
  <c r="E68" i="6"/>
  <c r="E69" i="6"/>
  <c r="E180" i="6" s="1"/>
  <c r="E188" i="6" s="1"/>
  <c r="E70" i="6"/>
  <c r="E71" i="6"/>
  <c r="E182" i="6" s="1"/>
  <c r="E190" i="6" s="1"/>
  <c r="E72" i="6"/>
  <c r="E183" i="6" s="1"/>
  <c r="E191" i="6" s="1"/>
  <c r="E73" i="6"/>
  <c r="E74" i="6"/>
  <c r="E185" i="6" s="1"/>
  <c r="E193" i="6" s="1"/>
  <c r="E179" i="6"/>
  <c r="E187" i="6" s="1"/>
  <c r="E259" i="6" s="1"/>
  <c r="E261" i="6" s="1"/>
  <c r="E181" i="6"/>
  <c r="E189" i="6" s="1"/>
  <c r="E184" i="6"/>
  <c r="E192" i="6" s="1"/>
  <c r="E240" i="6"/>
  <c r="E241" i="6" s="1"/>
  <c r="E250" i="6"/>
  <c r="E252" i="6" s="1"/>
  <c r="E251" i="6"/>
  <c r="O68" i="6"/>
  <c r="O179" i="6" s="1"/>
  <c r="O187" i="6" s="1"/>
  <c r="O259" i="6" s="1"/>
  <c r="O261" i="6" s="1"/>
  <c r="O69" i="6"/>
  <c r="O180" i="6" s="1"/>
  <c r="O188" i="6" s="1"/>
  <c r="O70" i="6"/>
  <c r="O71" i="6"/>
  <c r="O182" i="6" s="1"/>
  <c r="O190" i="6" s="1"/>
  <c r="O72" i="6"/>
  <c r="O183" i="6" s="1"/>
  <c r="O191" i="6" s="1"/>
  <c r="O73" i="6"/>
  <c r="O74" i="6"/>
  <c r="O185" i="6" s="1"/>
  <c r="O193" i="6" s="1"/>
  <c r="O181" i="6"/>
  <c r="O189" i="6" s="1"/>
  <c r="O184" i="6"/>
  <c r="O192" i="6" s="1"/>
  <c r="O240" i="6"/>
  <c r="O241" i="6" s="1"/>
  <c r="O250" i="6"/>
  <c r="O252" i="6" s="1"/>
  <c r="O251" i="6"/>
  <c r="C21" i="6"/>
  <c r="C3" i="6" s="1"/>
  <c r="C68" i="6"/>
  <c r="C179" i="6" s="1"/>
  <c r="C187" i="6" s="1"/>
  <c r="C259" i="6" s="1"/>
  <c r="C261" i="6" s="1"/>
  <c r="C69" i="6"/>
  <c r="C180" i="6" s="1"/>
  <c r="C188" i="6" s="1"/>
  <c r="C70" i="6"/>
  <c r="C181" i="6" s="1"/>
  <c r="C189" i="6" s="1"/>
  <c r="C71" i="6"/>
  <c r="C182" i="6" s="1"/>
  <c r="C190" i="6" s="1"/>
  <c r="C72" i="6"/>
  <c r="C183" i="6" s="1"/>
  <c r="C191" i="6" s="1"/>
  <c r="C73" i="6"/>
  <c r="C184" i="6" s="1"/>
  <c r="C192" i="6" s="1"/>
  <c r="C74" i="6"/>
  <c r="C185" i="6" s="1"/>
  <c r="C193" i="6" s="1"/>
  <c r="C240" i="6"/>
  <c r="C241" i="6" s="1"/>
  <c r="C250" i="6"/>
  <c r="C252" i="6" s="1"/>
  <c r="C251" i="6"/>
  <c r="AF21" i="6"/>
  <c r="AF3" i="6" s="1"/>
  <c r="AF68" i="6"/>
  <c r="AF179" i="6" s="1"/>
  <c r="AF187" i="6" s="1"/>
  <c r="AF259" i="6" s="1"/>
  <c r="AF261" i="6" s="1"/>
  <c r="AF69" i="6"/>
  <c r="AF180" i="6" s="1"/>
  <c r="AF188" i="6" s="1"/>
  <c r="AF70" i="6"/>
  <c r="AF181" i="6" s="1"/>
  <c r="AF189" i="6" s="1"/>
  <c r="AF71" i="6"/>
  <c r="AF182" i="6" s="1"/>
  <c r="AF190" i="6" s="1"/>
  <c r="AF72" i="6"/>
  <c r="AF183" i="6" s="1"/>
  <c r="AF191" i="6" s="1"/>
  <c r="AF73" i="6"/>
  <c r="AF184" i="6" s="1"/>
  <c r="AF192" i="6" s="1"/>
  <c r="AF74" i="6"/>
  <c r="AF185" i="6" s="1"/>
  <c r="AF193" i="6" s="1"/>
  <c r="AF240" i="6"/>
  <c r="AF241" i="6" s="1"/>
  <c r="AF250" i="6"/>
  <c r="AF252" i="6" s="1"/>
  <c r="AF251" i="6"/>
  <c r="AE21" i="6"/>
  <c r="AE3" i="6" s="1"/>
  <c r="AE68" i="6"/>
  <c r="AE179" i="6" s="1"/>
  <c r="AE187" i="6" s="1"/>
  <c r="AE259" i="6" s="1"/>
  <c r="AE261" i="6" s="1"/>
  <c r="AE69" i="6"/>
  <c r="AE180" i="6" s="1"/>
  <c r="AE188" i="6" s="1"/>
  <c r="AE70" i="6"/>
  <c r="AE181" i="6" s="1"/>
  <c r="AE189" i="6" s="1"/>
  <c r="AE71" i="6"/>
  <c r="AE182" i="6" s="1"/>
  <c r="AE190" i="6" s="1"/>
  <c r="AE72" i="6"/>
  <c r="AE183" i="6" s="1"/>
  <c r="AE191" i="6" s="1"/>
  <c r="AE73" i="6"/>
  <c r="AE184" i="6" s="1"/>
  <c r="AE192" i="6" s="1"/>
  <c r="AE74" i="6"/>
  <c r="AE185" i="6" s="1"/>
  <c r="AE193" i="6" s="1"/>
  <c r="AE240" i="6"/>
  <c r="AE241" i="6" s="1"/>
  <c r="AE250" i="6"/>
  <c r="AE252" i="6" s="1"/>
  <c r="AE251" i="6"/>
  <c r="AJ23" i="6" l="1"/>
  <c r="AJ134" i="6" s="1"/>
  <c r="AJ33" i="6"/>
  <c r="AJ144" i="6" s="1"/>
  <c r="AJ56" i="6"/>
  <c r="AJ167" i="6" s="1"/>
  <c r="AJ44" i="6"/>
  <c r="AJ155" i="6" s="1"/>
  <c r="AJ226" i="6" s="1"/>
  <c r="AJ32" i="6"/>
  <c r="AJ143" i="6" s="1"/>
  <c r="AJ221" i="6" s="1"/>
  <c r="AJ206" i="6"/>
  <c r="AJ67" i="6"/>
  <c r="AJ178" i="6" s="1"/>
  <c r="AJ55" i="6"/>
  <c r="AJ166" i="6" s="1"/>
  <c r="AJ43" i="6"/>
  <c r="AJ154" i="6" s="1"/>
  <c r="AJ225" i="6" s="1"/>
  <c r="AJ66" i="6"/>
  <c r="AJ177" i="6" s="1"/>
  <c r="AJ14" i="6"/>
  <c r="AJ242" i="6" s="1"/>
  <c r="AJ65" i="6"/>
  <c r="AJ176" i="6" s="1"/>
  <c r="AJ53" i="6"/>
  <c r="AJ164" i="6" s="1"/>
  <c r="AJ41" i="6"/>
  <c r="AJ152" i="6" s="1"/>
  <c r="AJ223" i="6" s="1"/>
  <c r="AJ13" i="6"/>
  <c r="AJ239" i="6" s="1"/>
  <c r="AJ45" i="6"/>
  <c r="AJ156" i="6" s="1"/>
  <c r="AJ54" i="6"/>
  <c r="AJ165" i="6" s="1"/>
  <c r="AJ42" i="6"/>
  <c r="AJ153" i="6" s="1"/>
  <c r="AJ224" i="6" s="1"/>
  <c r="AJ64" i="6"/>
  <c r="AJ175" i="6" s="1"/>
  <c r="AJ52" i="6"/>
  <c r="AJ163" i="6" s="1"/>
  <c r="AJ40" i="6"/>
  <c r="AJ151" i="6" s="1"/>
  <c r="AJ222" i="6" s="1"/>
  <c r="AJ28" i="6"/>
  <c r="AJ139" i="6" s="1"/>
  <c r="AJ12" i="6"/>
  <c r="AJ235" i="6" s="1"/>
  <c r="AJ210" i="6"/>
  <c r="AJ208" i="6"/>
  <c r="AJ57" i="6"/>
  <c r="AJ168" i="6" s="1"/>
  <c r="AJ207" i="6"/>
  <c r="AJ205" i="6"/>
  <c r="AJ63" i="6"/>
  <c r="AJ174" i="6" s="1"/>
  <c r="AJ51" i="6"/>
  <c r="AJ162" i="6" s="1"/>
  <c r="AJ39" i="6"/>
  <c r="AJ150" i="6" s="1"/>
  <c r="AJ27" i="6"/>
  <c r="AJ138" i="6" s="1"/>
  <c r="AJ11" i="6"/>
  <c r="AJ236" i="6" s="1"/>
  <c r="AJ248" i="6"/>
  <c r="AJ195" i="6"/>
  <c r="AJ62" i="6"/>
  <c r="AJ173" i="6" s="1"/>
  <c r="AJ50" i="6"/>
  <c r="AJ161" i="6" s="1"/>
  <c r="AJ38" i="6"/>
  <c r="AJ149" i="6" s="1"/>
  <c r="AJ26" i="6"/>
  <c r="AJ137" i="6" s="1"/>
  <c r="AJ9" i="6"/>
  <c r="AJ19" i="6" s="1" a="1"/>
  <c r="AJ19" i="6" s="1"/>
  <c r="AJ253" i="6" s="1"/>
  <c r="AJ61" i="6"/>
  <c r="AJ172" i="6" s="1"/>
  <c r="AJ49" i="6"/>
  <c r="AJ160" i="6" s="1"/>
  <c r="AJ37" i="6"/>
  <c r="AJ148" i="6" s="1"/>
  <c r="AJ25" i="6"/>
  <c r="AJ136" i="6" s="1"/>
  <c r="AJ8" i="6"/>
  <c r="AJ238" i="6"/>
  <c r="AJ211" i="6"/>
  <c r="AJ60" i="6"/>
  <c r="AJ171" i="6" s="1"/>
  <c r="AJ48" i="6"/>
  <c r="AJ159" i="6" s="1"/>
  <c r="AJ36" i="6"/>
  <c r="AJ147" i="6" s="1"/>
  <c r="AJ24" i="6"/>
  <c r="AJ135" i="6" s="1"/>
  <c r="AJ7" i="6"/>
  <c r="AJ4" i="6"/>
  <c r="AJ59" i="6"/>
  <c r="AJ170" i="6" s="1"/>
  <c r="AJ47" i="6"/>
  <c r="AJ158" i="6" s="1"/>
  <c r="AJ35" i="6"/>
  <c r="AJ146" i="6" s="1"/>
  <c r="AJ209" i="6"/>
  <c r="AJ58" i="6"/>
  <c r="AJ169" i="6" s="1"/>
  <c r="AJ46" i="6"/>
  <c r="AJ157" i="6" s="1"/>
  <c r="AJ34" i="6"/>
  <c r="AJ145" i="6" s="1"/>
  <c r="AJ22" i="6"/>
  <c r="AJ133" i="6" s="1"/>
  <c r="E205" i="6"/>
  <c r="E208" i="6"/>
  <c r="E207" i="6"/>
  <c r="E206" i="6"/>
  <c r="E9" i="6"/>
  <c r="E19" i="6" s="1" a="1"/>
  <c r="E19" i="6" s="1"/>
  <c r="E253" i="6" s="1"/>
  <c r="E8" i="6"/>
  <c r="E211" i="6"/>
  <c r="E7" i="6"/>
  <c r="E210" i="6"/>
  <c r="E4" i="6"/>
  <c r="E209" i="6"/>
  <c r="C207" i="6"/>
  <c r="C206" i="6"/>
  <c r="C208" i="6"/>
  <c r="C8" i="6"/>
  <c r="C205" i="6"/>
  <c r="C211" i="6"/>
  <c r="C7" i="6"/>
  <c r="C210" i="6"/>
  <c r="C4" i="6"/>
  <c r="C9" i="6"/>
  <c r="C19" i="6" s="1" a="1"/>
  <c r="C19" i="6" s="1"/>
  <c r="C253" i="6" s="1"/>
  <c r="C209" i="6"/>
  <c r="AF205" i="6"/>
  <c r="AF206" i="6"/>
  <c r="AF9" i="6"/>
  <c r="AF19" i="6" s="1" a="1"/>
  <c r="AF19" i="6" s="1"/>
  <c r="AF253" i="6" s="1"/>
  <c r="AF8" i="6"/>
  <c r="AF210" i="6"/>
  <c r="AF7" i="6"/>
  <c r="AF211" i="6"/>
  <c r="AF209" i="6"/>
  <c r="AF4" i="6"/>
  <c r="AF207" i="6"/>
  <c r="AF208" i="6"/>
  <c r="AE205" i="6"/>
  <c r="AE9" i="6"/>
  <c r="AE19" i="6" s="1" a="1"/>
  <c r="AE19" i="6" s="1"/>
  <c r="AE253" i="6" s="1"/>
  <c r="AE211" i="6"/>
  <c r="AE8" i="6"/>
  <c r="AE210" i="6"/>
  <c r="AE7" i="6"/>
  <c r="AE207" i="6"/>
  <c r="AE209" i="6"/>
  <c r="AE4" i="6"/>
  <c r="AE206" i="6"/>
  <c r="AE208" i="6"/>
  <c r="AD21" i="6"/>
  <c r="AD3" i="6" s="1"/>
  <c r="AD68" i="6"/>
  <c r="AD179" i="6" s="1"/>
  <c r="AD187" i="6" s="1"/>
  <c r="AD259" i="6" s="1"/>
  <c r="AD261" i="6" s="1"/>
  <c r="AD69" i="6"/>
  <c r="AD180" i="6" s="1"/>
  <c r="AD188" i="6" s="1"/>
  <c r="AD70" i="6"/>
  <c r="AD181" i="6" s="1"/>
  <c r="AD189" i="6" s="1"/>
  <c r="AD71" i="6"/>
  <c r="AD182" i="6" s="1"/>
  <c r="AD190" i="6" s="1"/>
  <c r="AD72" i="6"/>
  <c r="AD183" i="6" s="1"/>
  <c r="AD191" i="6" s="1"/>
  <c r="AD73" i="6"/>
  <c r="AD184" i="6" s="1"/>
  <c r="AD192" i="6" s="1"/>
  <c r="AD74" i="6"/>
  <c r="AD185" i="6" s="1"/>
  <c r="AD193" i="6" s="1"/>
  <c r="AD240" i="6"/>
  <c r="AD241" i="6" s="1"/>
  <c r="AD250" i="6"/>
  <c r="AD252" i="6" s="1"/>
  <c r="AD251" i="6"/>
  <c r="AA21" i="6"/>
  <c r="AA3" i="6" s="1"/>
  <c r="AB21" i="6"/>
  <c r="AB3" i="6" s="1"/>
  <c r="AC21" i="6"/>
  <c r="AC205" i="6" s="1"/>
  <c r="AA68" i="6"/>
  <c r="AA179" i="6" s="1"/>
  <c r="AA187" i="6" s="1"/>
  <c r="AA259" i="6" s="1"/>
  <c r="AA261" i="6" s="1"/>
  <c r="AB68" i="6"/>
  <c r="AB179" i="6" s="1"/>
  <c r="AB187" i="6" s="1"/>
  <c r="AB259" i="6" s="1"/>
  <c r="AB261" i="6" s="1"/>
  <c r="AC68" i="6"/>
  <c r="AC179" i="6" s="1"/>
  <c r="AC187" i="6" s="1"/>
  <c r="AC259" i="6" s="1"/>
  <c r="AC261" i="6" s="1"/>
  <c r="AA69" i="6"/>
  <c r="AA180" i="6" s="1"/>
  <c r="AA188" i="6" s="1"/>
  <c r="AB69" i="6"/>
  <c r="AB180" i="6" s="1"/>
  <c r="AB188" i="6" s="1"/>
  <c r="AC69" i="6"/>
  <c r="AC180" i="6" s="1"/>
  <c r="AC188" i="6" s="1"/>
  <c r="AA70" i="6"/>
  <c r="AA181" i="6" s="1"/>
  <c r="AA189" i="6" s="1"/>
  <c r="AB70" i="6"/>
  <c r="AB181" i="6" s="1"/>
  <c r="AB189" i="6" s="1"/>
  <c r="AC70" i="6"/>
  <c r="AC181" i="6" s="1"/>
  <c r="AC189" i="6" s="1"/>
  <c r="AA71" i="6"/>
  <c r="AA182" i="6" s="1"/>
  <c r="AA190" i="6" s="1"/>
  <c r="AB71" i="6"/>
  <c r="AB182" i="6" s="1"/>
  <c r="AB190" i="6" s="1"/>
  <c r="AC71" i="6"/>
  <c r="AC182" i="6" s="1"/>
  <c r="AC190" i="6" s="1"/>
  <c r="AA72" i="6"/>
  <c r="AA183" i="6" s="1"/>
  <c r="AA191" i="6" s="1"/>
  <c r="AB72" i="6"/>
  <c r="AB183" i="6" s="1"/>
  <c r="AB191" i="6" s="1"/>
  <c r="AC72" i="6"/>
  <c r="AC183" i="6" s="1"/>
  <c r="AC191" i="6" s="1"/>
  <c r="AA73" i="6"/>
  <c r="AA184" i="6" s="1"/>
  <c r="AA192" i="6" s="1"/>
  <c r="AB73" i="6"/>
  <c r="AB184" i="6" s="1"/>
  <c r="AB192" i="6" s="1"/>
  <c r="AC73" i="6"/>
  <c r="AC184" i="6" s="1"/>
  <c r="AC192" i="6" s="1"/>
  <c r="AA74" i="6"/>
  <c r="AA185" i="6" s="1"/>
  <c r="AA193" i="6" s="1"/>
  <c r="AB74" i="6"/>
  <c r="AB185" i="6" s="1"/>
  <c r="AB193" i="6" s="1"/>
  <c r="AC74" i="6"/>
  <c r="AC185" i="6" s="1"/>
  <c r="AC193" i="6" s="1"/>
  <c r="AA240" i="6"/>
  <c r="AA241" i="6" s="1"/>
  <c r="AB240" i="6"/>
  <c r="AB241" i="6" s="1"/>
  <c r="AC240" i="6"/>
  <c r="AC241" i="6" s="1"/>
  <c r="AA250" i="6"/>
  <c r="AA252" i="6" s="1"/>
  <c r="AB250" i="6"/>
  <c r="AB252" i="6" s="1"/>
  <c r="AC250" i="6"/>
  <c r="AC252" i="6" s="1"/>
  <c r="AA251" i="6"/>
  <c r="AB251" i="6"/>
  <c r="AC251" i="6"/>
  <c r="U68" i="6"/>
  <c r="U179" i="6" s="1"/>
  <c r="U187" i="6" s="1"/>
  <c r="U259" i="6" s="1"/>
  <c r="U261" i="6" s="1"/>
  <c r="U69" i="6"/>
  <c r="U180" i="6" s="1"/>
  <c r="U188" i="6" s="1"/>
  <c r="U70" i="6"/>
  <c r="U181" i="6" s="1"/>
  <c r="U189" i="6" s="1"/>
  <c r="U71" i="6"/>
  <c r="U182" i="6" s="1"/>
  <c r="U190" i="6" s="1"/>
  <c r="U72" i="6"/>
  <c r="U183" i="6" s="1"/>
  <c r="U191" i="6" s="1"/>
  <c r="U73" i="6"/>
  <c r="U184" i="6" s="1"/>
  <c r="U192" i="6" s="1"/>
  <c r="U74" i="6"/>
  <c r="U185" i="6" s="1"/>
  <c r="U193" i="6" s="1"/>
  <c r="U240" i="6"/>
  <c r="U241" i="6" s="1"/>
  <c r="U250" i="6"/>
  <c r="U252" i="6" s="1"/>
  <c r="U251" i="6"/>
  <c r="N68" i="6"/>
  <c r="N179" i="6" s="1"/>
  <c r="N187" i="6" s="1"/>
  <c r="N259" i="6" s="1"/>
  <c r="N261" i="6" s="1"/>
  <c r="N69" i="6"/>
  <c r="N180" i="6" s="1"/>
  <c r="N188" i="6" s="1"/>
  <c r="N70" i="6"/>
  <c r="N181" i="6" s="1"/>
  <c r="N189" i="6" s="1"/>
  <c r="N71" i="6"/>
  <c r="N182" i="6" s="1"/>
  <c r="N190" i="6" s="1"/>
  <c r="N72" i="6"/>
  <c r="N183" i="6" s="1"/>
  <c r="N191" i="6" s="1"/>
  <c r="N73" i="6"/>
  <c r="N184" i="6" s="1"/>
  <c r="N192" i="6" s="1"/>
  <c r="N74" i="6"/>
  <c r="N185" i="6" s="1"/>
  <c r="N193" i="6" s="1"/>
  <c r="N240" i="6"/>
  <c r="N241" i="6" s="1"/>
  <c r="N250" i="6"/>
  <c r="N252" i="6" s="1"/>
  <c r="N251" i="6"/>
  <c r="T68" i="6"/>
  <c r="T179" i="6" s="1"/>
  <c r="T187" i="6" s="1"/>
  <c r="T259" i="6" s="1"/>
  <c r="T261" i="6" s="1"/>
  <c r="T69" i="6"/>
  <c r="T180" i="6" s="1"/>
  <c r="T188" i="6" s="1"/>
  <c r="T70" i="6"/>
  <c r="T181" i="6" s="1"/>
  <c r="T189" i="6" s="1"/>
  <c r="T71" i="6"/>
  <c r="T182" i="6" s="1"/>
  <c r="T190" i="6" s="1"/>
  <c r="T72" i="6"/>
  <c r="T183" i="6" s="1"/>
  <c r="T191" i="6" s="1"/>
  <c r="T73" i="6"/>
  <c r="T184" i="6" s="1"/>
  <c r="T192" i="6" s="1"/>
  <c r="T74" i="6"/>
  <c r="T185" i="6" s="1"/>
  <c r="T193" i="6" s="1"/>
  <c r="T240" i="6"/>
  <c r="T250" i="6"/>
  <c r="D21" i="6"/>
  <c r="D3" i="6" s="1"/>
  <c r="D68" i="6"/>
  <c r="D179" i="6" s="1"/>
  <c r="D187" i="6" s="1"/>
  <c r="D259" i="6" s="1"/>
  <c r="D261" i="6" s="1"/>
  <c r="D69" i="6"/>
  <c r="D180" i="6" s="1"/>
  <c r="D188" i="6" s="1"/>
  <c r="D70" i="6"/>
  <c r="D181" i="6" s="1"/>
  <c r="D189" i="6" s="1"/>
  <c r="D71" i="6"/>
  <c r="D182" i="6" s="1"/>
  <c r="D190" i="6" s="1"/>
  <c r="D72" i="6"/>
  <c r="D183" i="6" s="1"/>
  <c r="D191" i="6" s="1"/>
  <c r="D73" i="6"/>
  <c r="D184" i="6" s="1"/>
  <c r="D192" i="6" s="1"/>
  <c r="D74" i="6"/>
  <c r="D185" i="6" s="1"/>
  <c r="D193" i="6" s="1"/>
  <c r="D240" i="6"/>
  <c r="D241" i="6" s="1"/>
  <c r="D250" i="6"/>
  <c r="D252" i="6" s="1"/>
  <c r="D251" i="6"/>
  <c r="K68" i="6"/>
  <c r="K179" i="6" s="1"/>
  <c r="K187" i="6" s="1"/>
  <c r="K259" i="6" s="1"/>
  <c r="K261" i="6" s="1"/>
  <c r="K69" i="6"/>
  <c r="K180" i="6" s="1"/>
  <c r="K188" i="6" s="1"/>
  <c r="K70" i="6"/>
  <c r="K181" i="6" s="1"/>
  <c r="K189" i="6" s="1"/>
  <c r="K71" i="6"/>
  <c r="K182" i="6" s="1"/>
  <c r="K190" i="6" s="1"/>
  <c r="K72" i="6"/>
  <c r="K183" i="6" s="1"/>
  <c r="K191" i="6" s="1"/>
  <c r="K73" i="6"/>
  <c r="K184" i="6" s="1"/>
  <c r="K192" i="6" s="1"/>
  <c r="K74" i="6"/>
  <c r="K185" i="6" s="1"/>
  <c r="K193" i="6" s="1"/>
  <c r="K240" i="6"/>
  <c r="K250" i="6"/>
  <c r="I68" i="6"/>
  <c r="I179" i="6" s="1"/>
  <c r="I187" i="6" s="1"/>
  <c r="I259" i="6" s="1"/>
  <c r="I261" i="6" s="1"/>
  <c r="I69" i="6"/>
  <c r="I180" i="6" s="1"/>
  <c r="I188" i="6" s="1"/>
  <c r="I70" i="6"/>
  <c r="I181" i="6" s="1"/>
  <c r="I189" i="6" s="1"/>
  <c r="I71" i="6"/>
  <c r="I182" i="6" s="1"/>
  <c r="I190" i="6" s="1"/>
  <c r="I72" i="6"/>
  <c r="I183" i="6" s="1"/>
  <c r="I191" i="6" s="1"/>
  <c r="I73" i="6"/>
  <c r="I184" i="6" s="1"/>
  <c r="I192" i="6" s="1"/>
  <c r="I74" i="6"/>
  <c r="I185" i="6" s="1"/>
  <c r="I193" i="6" s="1"/>
  <c r="I240" i="6"/>
  <c r="I241" i="6" s="1"/>
  <c r="I250" i="6"/>
  <c r="I252" i="6" s="1"/>
  <c r="I251" i="6"/>
  <c r="T27" i="17"/>
  <c r="T27" i="18"/>
  <c r="T27" i="16"/>
  <c r="T27" i="1"/>
  <c r="O39" i="11"/>
  <c r="O38" i="11"/>
  <c r="O37" i="11"/>
  <c r="O36" i="11"/>
  <c r="M68" i="6"/>
  <c r="M179" i="6" s="1"/>
  <c r="M187" i="6" s="1"/>
  <c r="M259" i="6" s="1"/>
  <c r="M261" i="6" s="1"/>
  <c r="P68" i="6"/>
  <c r="P179" i="6" s="1"/>
  <c r="P187" i="6" s="1"/>
  <c r="P259" i="6" s="1"/>
  <c r="P261" i="6" s="1"/>
  <c r="Q68" i="6"/>
  <c r="Q179" i="6" s="1"/>
  <c r="Q187" i="6" s="1"/>
  <c r="Q259" i="6" s="1"/>
  <c r="Q261" i="6" s="1"/>
  <c r="R68" i="6"/>
  <c r="R179" i="6" s="1"/>
  <c r="R187" i="6" s="1"/>
  <c r="R259" i="6" s="1"/>
  <c r="R261" i="6" s="1"/>
  <c r="S68" i="6"/>
  <c r="S179" i="6" s="1"/>
  <c r="S187" i="6" s="1"/>
  <c r="S259" i="6" s="1"/>
  <c r="S261" i="6" s="1"/>
  <c r="V68" i="6"/>
  <c r="V179" i="6" s="1"/>
  <c r="V187" i="6" s="1"/>
  <c r="V259" i="6" s="1"/>
  <c r="V261" i="6" s="1"/>
  <c r="W68" i="6"/>
  <c r="W179" i="6" s="1"/>
  <c r="W187" i="6" s="1"/>
  <c r="W259" i="6" s="1"/>
  <c r="W261" i="6" s="1"/>
  <c r="X68" i="6"/>
  <c r="X179" i="6" s="1"/>
  <c r="X187" i="6" s="1"/>
  <c r="X259" i="6" s="1"/>
  <c r="X261" i="6" s="1"/>
  <c r="Y68" i="6"/>
  <c r="Y179" i="6" s="1"/>
  <c r="Y187" i="6" s="1"/>
  <c r="Y259" i="6" s="1"/>
  <c r="Y261" i="6" s="1"/>
  <c r="Z68" i="6"/>
  <c r="Z179" i="6" s="1"/>
  <c r="Z187" i="6" s="1"/>
  <c r="Z259" i="6" s="1"/>
  <c r="Z261" i="6" s="1"/>
  <c r="AG68" i="6"/>
  <c r="AG179" i="6" s="1"/>
  <c r="AG187" i="6" s="1"/>
  <c r="AG259" i="6" s="1"/>
  <c r="AG261" i="6" s="1"/>
  <c r="M69" i="6"/>
  <c r="M180" i="6" s="1"/>
  <c r="M188" i="6" s="1"/>
  <c r="P69" i="6"/>
  <c r="P180" i="6" s="1"/>
  <c r="P188" i="6" s="1"/>
  <c r="Q69" i="6"/>
  <c r="Q180" i="6" s="1"/>
  <c r="Q188" i="6" s="1"/>
  <c r="R69" i="6"/>
  <c r="R180" i="6" s="1"/>
  <c r="R188" i="6" s="1"/>
  <c r="S69" i="6"/>
  <c r="S180" i="6" s="1"/>
  <c r="S188" i="6" s="1"/>
  <c r="V69" i="6"/>
  <c r="V180" i="6" s="1"/>
  <c r="V188" i="6" s="1"/>
  <c r="W69" i="6"/>
  <c r="W180" i="6" s="1"/>
  <c r="W188" i="6" s="1"/>
  <c r="X69" i="6"/>
  <c r="X180" i="6" s="1"/>
  <c r="X188" i="6" s="1"/>
  <c r="Y69" i="6"/>
  <c r="Y180" i="6" s="1"/>
  <c r="Y188" i="6" s="1"/>
  <c r="Z69" i="6"/>
  <c r="Z180" i="6" s="1"/>
  <c r="Z188" i="6" s="1"/>
  <c r="AG69" i="6"/>
  <c r="AG180" i="6" s="1"/>
  <c r="AG188" i="6" s="1"/>
  <c r="M70" i="6"/>
  <c r="M181" i="6" s="1"/>
  <c r="M189" i="6" s="1"/>
  <c r="P70" i="6"/>
  <c r="P181" i="6" s="1"/>
  <c r="P189" i="6" s="1"/>
  <c r="Q70" i="6"/>
  <c r="Q181" i="6" s="1"/>
  <c r="Q189" i="6" s="1"/>
  <c r="R70" i="6"/>
  <c r="R181" i="6" s="1"/>
  <c r="R189" i="6" s="1"/>
  <c r="S70" i="6"/>
  <c r="S181" i="6" s="1"/>
  <c r="S189" i="6" s="1"/>
  <c r="V70" i="6"/>
  <c r="V181" i="6" s="1"/>
  <c r="V189" i="6" s="1"/>
  <c r="W70" i="6"/>
  <c r="W181" i="6" s="1"/>
  <c r="W189" i="6" s="1"/>
  <c r="X70" i="6"/>
  <c r="X181" i="6" s="1"/>
  <c r="X189" i="6" s="1"/>
  <c r="Y70" i="6"/>
  <c r="Y181" i="6" s="1"/>
  <c r="Y189" i="6" s="1"/>
  <c r="Z70" i="6"/>
  <c r="Z181" i="6" s="1"/>
  <c r="Z189" i="6" s="1"/>
  <c r="AG70" i="6"/>
  <c r="AG181" i="6" s="1"/>
  <c r="AG189" i="6" s="1"/>
  <c r="M71" i="6"/>
  <c r="M182" i="6" s="1"/>
  <c r="M190" i="6" s="1"/>
  <c r="P71" i="6"/>
  <c r="P182" i="6" s="1"/>
  <c r="P190" i="6" s="1"/>
  <c r="Q71" i="6"/>
  <c r="Q182" i="6" s="1"/>
  <c r="Q190" i="6" s="1"/>
  <c r="R71" i="6"/>
  <c r="R182" i="6" s="1"/>
  <c r="R190" i="6" s="1"/>
  <c r="S71" i="6"/>
  <c r="S182" i="6" s="1"/>
  <c r="S190" i="6" s="1"/>
  <c r="V71" i="6"/>
  <c r="V182" i="6" s="1"/>
  <c r="V190" i="6" s="1"/>
  <c r="W71" i="6"/>
  <c r="W182" i="6" s="1"/>
  <c r="W190" i="6" s="1"/>
  <c r="X71" i="6"/>
  <c r="X182" i="6" s="1"/>
  <c r="X190" i="6" s="1"/>
  <c r="Y71" i="6"/>
  <c r="Y182" i="6" s="1"/>
  <c r="Y190" i="6" s="1"/>
  <c r="Z71" i="6"/>
  <c r="Z182" i="6" s="1"/>
  <c r="Z190" i="6" s="1"/>
  <c r="AG71" i="6"/>
  <c r="AG182" i="6" s="1"/>
  <c r="AG190" i="6" s="1"/>
  <c r="M72" i="6"/>
  <c r="M183" i="6" s="1"/>
  <c r="M191" i="6" s="1"/>
  <c r="P72" i="6"/>
  <c r="P183" i="6" s="1"/>
  <c r="P191" i="6" s="1"/>
  <c r="Q72" i="6"/>
  <c r="Q183" i="6" s="1"/>
  <c r="Q191" i="6" s="1"/>
  <c r="R72" i="6"/>
  <c r="R183" i="6" s="1"/>
  <c r="R191" i="6" s="1"/>
  <c r="S72" i="6"/>
  <c r="S183" i="6" s="1"/>
  <c r="S191" i="6" s="1"/>
  <c r="V72" i="6"/>
  <c r="V183" i="6" s="1"/>
  <c r="V191" i="6" s="1"/>
  <c r="W72" i="6"/>
  <c r="W183" i="6" s="1"/>
  <c r="W191" i="6" s="1"/>
  <c r="X72" i="6"/>
  <c r="X183" i="6" s="1"/>
  <c r="X191" i="6" s="1"/>
  <c r="Y72" i="6"/>
  <c r="Y183" i="6" s="1"/>
  <c r="Y191" i="6" s="1"/>
  <c r="Z72" i="6"/>
  <c r="Z183" i="6" s="1"/>
  <c r="Z191" i="6" s="1"/>
  <c r="AG72" i="6"/>
  <c r="AG183" i="6" s="1"/>
  <c r="AG191" i="6" s="1"/>
  <c r="M73" i="6"/>
  <c r="M184" i="6" s="1"/>
  <c r="M192" i="6" s="1"/>
  <c r="P73" i="6"/>
  <c r="P184" i="6" s="1"/>
  <c r="P192" i="6" s="1"/>
  <c r="Q73" i="6"/>
  <c r="Q184" i="6" s="1"/>
  <c r="Q192" i="6" s="1"/>
  <c r="R73" i="6"/>
  <c r="R184" i="6" s="1"/>
  <c r="R192" i="6" s="1"/>
  <c r="S73" i="6"/>
  <c r="S184" i="6" s="1"/>
  <c r="S192" i="6" s="1"/>
  <c r="V73" i="6"/>
  <c r="V184" i="6" s="1"/>
  <c r="V192" i="6" s="1"/>
  <c r="W73" i="6"/>
  <c r="W184" i="6" s="1"/>
  <c r="W192" i="6" s="1"/>
  <c r="X73" i="6"/>
  <c r="X184" i="6" s="1"/>
  <c r="X192" i="6" s="1"/>
  <c r="Y73" i="6"/>
  <c r="Y184" i="6" s="1"/>
  <c r="Y192" i="6" s="1"/>
  <c r="Z73" i="6"/>
  <c r="Z184" i="6" s="1"/>
  <c r="Z192" i="6" s="1"/>
  <c r="AG73" i="6"/>
  <c r="AG184" i="6" s="1"/>
  <c r="AG192" i="6" s="1"/>
  <c r="M74" i="6"/>
  <c r="M185" i="6" s="1"/>
  <c r="M193" i="6" s="1"/>
  <c r="P74" i="6"/>
  <c r="P185" i="6" s="1"/>
  <c r="P193" i="6" s="1"/>
  <c r="Q74" i="6"/>
  <c r="Q185" i="6" s="1"/>
  <c r="Q193" i="6" s="1"/>
  <c r="R74" i="6"/>
  <c r="R185" i="6" s="1"/>
  <c r="R193" i="6" s="1"/>
  <c r="S74" i="6"/>
  <c r="S185" i="6" s="1"/>
  <c r="S193" i="6" s="1"/>
  <c r="V74" i="6"/>
  <c r="V185" i="6" s="1"/>
  <c r="V193" i="6" s="1"/>
  <c r="W74" i="6"/>
  <c r="W185" i="6" s="1"/>
  <c r="W193" i="6" s="1"/>
  <c r="X74" i="6"/>
  <c r="X185" i="6" s="1"/>
  <c r="X193" i="6" s="1"/>
  <c r="Y74" i="6"/>
  <c r="Y185" i="6" s="1"/>
  <c r="Y193" i="6" s="1"/>
  <c r="Z74" i="6"/>
  <c r="Z185" i="6" s="1"/>
  <c r="Z193" i="6" s="1"/>
  <c r="AG74" i="6"/>
  <c r="AG185" i="6" s="1"/>
  <c r="AG193" i="6" s="1"/>
  <c r="M240" i="6"/>
  <c r="P240" i="6"/>
  <c r="Q240" i="6"/>
  <c r="R240" i="6"/>
  <c r="S240" i="6"/>
  <c r="V240" i="6"/>
  <c r="W240" i="6"/>
  <c r="X240" i="6"/>
  <c r="Y240" i="6"/>
  <c r="Z240" i="6"/>
  <c r="AG240" i="6"/>
  <c r="M250" i="6"/>
  <c r="P250" i="6"/>
  <c r="Q250" i="6"/>
  <c r="R250" i="6"/>
  <c r="S250" i="6"/>
  <c r="V250" i="6"/>
  <c r="W250" i="6"/>
  <c r="X250" i="6"/>
  <c r="Y250" i="6"/>
  <c r="Z250" i="6"/>
  <c r="AG250" i="6"/>
  <c r="CB202" i="14"/>
  <c r="CB136" i="14"/>
  <c r="CB70" i="14"/>
  <c r="CB3" i="14"/>
  <c r="CS218" i="14"/>
  <c r="CS152" i="14"/>
  <c r="CS86" i="14"/>
  <c r="D61" i="14"/>
  <c r="BL60" i="14"/>
  <c r="AB60" i="14"/>
  <c r="L60" i="14"/>
  <c r="D60" i="14"/>
  <c r="BK56" i="14"/>
  <c r="BD56" i="14"/>
  <c r="D56" i="14"/>
  <c r="CF55" i="14"/>
  <c r="BM55" i="14"/>
  <c r="BL55" i="14"/>
  <c r="BK55" i="14"/>
  <c r="BI55" i="14"/>
  <c r="BD55" i="14"/>
  <c r="AS55" i="14"/>
  <c r="AQ55" i="14"/>
  <c r="AP55" i="14"/>
  <c r="AH55" i="14"/>
  <c r="AB55" i="14"/>
  <c r="U55" i="14"/>
  <c r="P55" i="14"/>
  <c r="O55" i="14"/>
  <c r="L55" i="14"/>
  <c r="D55" i="14"/>
  <c r="B55" i="14"/>
  <c r="Z43" i="14"/>
  <c r="AR42" i="14"/>
  <c r="BH25" i="14"/>
  <c r="AO25" i="14"/>
  <c r="X25" i="14"/>
  <c r="C25" i="14"/>
  <c r="CL24" i="14"/>
  <c r="BY24" i="14"/>
  <c r="BW24" i="14"/>
  <c r="AZ24" i="14"/>
  <c r="AY24" i="14"/>
  <c r="AU24" i="14"/>
  <c r="AM24" i="14"/>
  <c r="AK24" i="14"/>
  <c r="AF24" i="14"/>
  <c r="W24" i="14"/>
  <c r="M24" i="14"/>
  <c r="H24" i="14"/>
  <c r="G24" i="14"/>
  <c r="B24" i="14"/>
  <c r="CO23" i="14"/>
  <c r="CB23" i="14"/>
  <c r="BP23" i="14"/>
  <c r="Z23" i="14"/>
  <c r="S23" i="14"/>
  <c r="P23" i="14"/>
  <c r="CQ22" i="14"/>
  <c r="CO22" i="14"/>
  <c r="CB22" i="14"/>
  <c r="BP22" i="14"/>
  <c r="AR22" i="14"/>
  <c r="AA22" i="14"/>
  <c r="AM21" i="14"/>
  <c r="CR20" i="14"/>
  <c r="CN20" i="14"/>
  <c r="CD20" i="14"/>
  <c r="BV20" i="14"/>
  <c r="AT20" i="14"/>
  <c r="AM20" i="14"/>
  <c r="AD20" i="14"/>
  <c r="CS19" i="14"/>
  <c r="CR19" i="14"/>
  <c r="CQ19" i="14"/>
  <c r="CN19" i="14"/>
  <c r="CE19" i="14"/>
  <c r="CD19" i="14"/>
  <c r="BP19" i="14"/>
  <c r="AT19" i="14"/>
  <c r="AM19" i="14"/>
  <c r="AJ19" i="14"/>
  <c r="AD19" i="14"/>
  <c r="BK18" i="14"/>
  <c r="CA16" i="14"/>
  <c r="BO16" i="14"/>
  <c r="BT15" i="14"/>
  <c r="BO15" i="14"/>
  <c r="BJ15" i="14"/>
  <c r="BI15" i="14"/>
  <c r="BT14" i="14"/>
  <c r="BO14" i="14"/>
  <c r="BJ14" i="14"/>
  <c r="BI14" i="14"/>
  <c r="BT13" i="14"/>
  <c r="BO13" i="14"/>
  <c r="BJ13" i="14"/>
  <c r="BI13" i="14"/>
  <c r="BT12" i="14"/>
  <c r="BO12" i="14"/>
  <c r="BJ12" i="14"/>
  <c r="BI12" i="14"/>
  <c r="BT11" i="14"/>
  <c r="BO11" i="14"/>
  <c r="BJ11" i="14"/>
  <c r="BI11" i="14"/>
  <c r="BT10" i="14"/>
  <c r="BO10" i="14"/>
  <c r="BJ10" i="14"/>
  <c r="BI10" i="14"/>
  <c r="V8" i="14"/>
  <c r="CC7" i="14"/>
  <c r="CP6" i="14"/>
  <c r="BR6" i="14"/>
  <c r="BG6" i="14"/>
  <c r="AW6" i="14"/>
  <c r="AP6" i="14"/>
  <c r="AE6" i="14"/>
  <c r="U6" i="14"/>
  <c r="N6" i="14"/>
  <c r="I6" i="14"/>
  <c r="AL5" i="14"/>
  <c r="Y5" i="14"/>
  <c r="AX4" i="14"/>
  <c r="AG4" i="14"/>
  <c r="J4" i="14"/>
  <c r="D4" i="14"/>
  <c r="CS3" i="14"/>
  <c r="CK3" i="14"/>
  <c r="CI3" i="14"/>
  <c r="CH3" i="14"/>
  <c r="CG3" i="14"/>
  <c r="CA3" i="14"/>
  <c r="BX3" i="14"/>
  <c r="BV3" i="14"/>
  <c r="BO3" i="14"/>
  <c r="BN3" i="14"/>
  <c r="BH3" i="14"/>
  <c r="BF3" i="14"/>
  <c r="BE3" i="14"/>
  <c r="BB3" i="14"/>
  <c r="AX3" i="14"/>
  <c r="AQ3" i="14"/>
  <c r="AO3" i="14"/>
  <c r="AM3" i="14"/>
  <c r="AI3" i="14"/>
  <c r="AG3" i="14"/>
  <c r="AE3" i="14"/>
  <c r="X3" i="14"/>
  <c r="W3" i="14"/>
  <c r="T3" i="14"/>
  <c r="N3" i="14"/>
  <c r="J3" i="14"/>
  <c r="F3" i="14"/>
  <c r="E3" i="14"/>
  <c r="C3" i="14"/>
  <c r="Y4" i="3"/>
  <c r="Y3" i="3"/>
  <c r="X4" i="3"/>
  <c r="X3" i="3"/>
  <c r="W4" i="3"/>
  <c r="W3" i="3"/>
  <c r="V4" i="3"/>
  <c r="V3" i="3"/>
  <c r="AJ131" i="6" a="1"/>
  <c r="AJ132" i="6" a="1"/>
  <c r="AJ130" i="6" a="1"/>
  <c r="AJ131" i="6" l="1"/>
  <c r="AJ132" i="6"/>
  <c r="AJ130" i="6"/>
  <c r="AJ231" i="6"/>
  <c r="AJ217" i="6"/>
  <c r="AJ218" i="6"/>
  <c r="AJ249" i="6" s="1"/>
  <c r="AJ232" i="6"/>
  <c r="AJ246" i="6" s="1"/>
  <c r="AJ216" i="6"/>
  <c r="AJ230" i="6"/>
  <c r="AJ196" i="6"/>
  <c r="AJ198" i="6"/>
  <c r="AJ199" i="6"/>
  <c r="AJ200" i="6"/>
  <c r="AJ197" i="6"/>
  <c r="AJ201" i="6"/>
  <c r="AJ202" i="6"/>
  <c r="AJ203" i="6"/>
  <c r="AJ213" i="6"/>
  <c r="AJ227" i="6"/>
  <c r="AJ214" i="6"/>
  <c r="AJ228" i="6"/>
  <c r="AJ215" i="6"/>
  <c r="AJ229" i="6"/>
  <c r="AJ233" i="6"/>
  <c r="AJ219" i="6"/>
  <c r="AJ245" i="6"/>
  <c r="AJ255" i="6"/>
  <c r="AA205" i="6"/>
  <c r="AA213" i="6" s="1"/>
  <c r="E256" i="6"/>
  <c r="E214" i="6"/>
  <c r="E217" i="6"/>
  <c r="E216" i="6"/>
  <c r="E249" i="6" s="1"/>
  <c r="E218" i="6"/>
  <c r="E219" i="6"/>
  <c r="E215" i="6"/>
  <c r="E245" i="6"/>
  <c r="E213" i="6"/>
  <c r="AB209" i="6"/>
  <c r="AB217" i="6" s="1"/>
  <c r="AB205" i="6"/>
  <c r="AB213" i="6" s="1"/>
  <c r="AB210" i="6"/>
  <c r="AB218" i="6" s="1"/>
  <c r="AB249" i="6" s="1"/>
  <c r="AB207" i="6"/>
  <c r="AB211" i="6"/>
  <c r="AB219" i="6" s="1"/>
  <c r="C217" i="6"/>
  <c r="C214" i="6"/>
  <c r="C219" i="6"/>
  <c r="C256" i="6"/>
  <c r="C215" i="6"/>
  <c r="C213" i="6"/>
  <c r="C218" i="6"/>
  <c r="C216" i="6"/>
  <c r="C249" i="6" s="1"/>
  <c r="AC211" i="6"/>
  <c r="AC219" i="6" s="1"/>
  <c r="AA211" i="6"/>
  <c r="AA219" i="6" s="1"/>
  <c r="AC208" i="6"/>
  <c r="AC216" i="6" s="1"/>
  <c r="AB208" i="6"/>
  <c r="AB216" i="6" s="1"/>
  <c r="AA208" i="6"/>
  <c r="AA216" i="6" s="1"/>
  <c r="AB206" i="6"/>
  <c r="AB214" i="6" s="1"/>
  <c r="AF213" i="6"/>
  <c r="AF218" i="6"/>
  <c r="AF249" i="6" s="1"/>
  <c r="AF214" i="6"/>
  <c r="AF215" i="6"/>
  <c r="AF216" i="6"/>
  <c r="AF217" i="6"/>
  <c r="AF219" i="6"/>
  <c r="AF256" i="6"/>
  <c r="AE218" i="6"/>
  <c r="AE249" i="6" s="1"/>
  <c r="AE217" i="6"/>
  <c r="AE213" i="6"/>
  <c r="AE216" i="6"/>
  <c r="AE215" i="6"/>
  <c r="AE219" i="6"/>
  <c r="AE256" i="6"/>
  <c r="AE214" i="6"/>
  <c r="AD207" i="6"/>
  <c r="AD208" i="6"/>
  <c r="AD206" i="6"/>
  <c r="AD205" i="6"/>
  <c r="AD9" i="6"/>
  <c r="AD19" i="6" s="1" a="1"/>
  <c r="AD19" i="6" s="1"/>
  <c r="AD253" i="6" s="1"/>
  <c r="AD8" i="6"/>
  <c r="AD211" i="6"/>
  <c r="AD7" i="6"/>
  <c r="AD210" i="6"/>
  <c r="AD4" i="6"/>
  <c r="AD209" i="6"/>
  <c r="AC213" i="6"/>
  <c r="AB215" i="6"/>
  <c r="AB7" i="6"/>
  <c r="AA7" i="6"/>
  <c r="AC210" i="6"/>
  <c r="AC207" i="6"/>
  <c r="AC4" i="6"/>
  <c r="AB9" i="6"/>
  <c r="AB19" i="6" s="1" a="1"/>
  <c r="AB19" i="6" s="1"/>
  <c r="AB253" i="6" s="1"/>
  <c r="AB4" i="6"/>
  <c r="AA210" i="6"/>
  <c r="AA207" i="6"/>
  <c r="AA9" i="6"/>
  <c r="AA19" i="6" s="1" a="1"/>
  <c r="AA19" i="6" s="1"/>
  <c r="AA253" i="6" s="1"/>
  <c r="AA4" i="6"/>
  <c r="AC7" i="6"/>
  <c r="AC209" i="6"/>
  <c r="AC206" i="6"/>
  <c r="AC8" i="6"/>
  <c r="AC3" i="6"/>
  <c r="AB8" i="6"/>
  <c r="AA209" i="6"/>
  <c r="AA206" i="6"/>
  <c r="AA8" i="6"/>
  <c r="D207" i="6"/>
  <c r="D206" i="6"/>
  <c r="D208" i="6"/>
  <c r="D205" i="6"/>
  <c r="D9" i="6"/>
  <c r="D19" i="6" s="1" a="1"/>
  <c r="D19" i="6" s="1"/>
  <c r="D253" i="6" s="1"/>
  <c r="D8" i="6"/>
  <c r="D211" i="6"/>
  <c r="D7" i="6"/>
  <c r="D210" i="6"/>
  <c r="D4" i="6"/>
  <c r="D209" i="6"/>
  <c r="F68" i="6"/>
  <c r="F179" i="6" s="1"/>
  <c r="F187" i="6" s="1"/>
  <c r="F259" i="6" s="1"/>
  <c r="F261" i="6" s="1"/>
  <c r="G68" i="6"/>
  <c r="G179" i="6" s="1"/>
  <c r="G187" i="6" s="1"/>
  <c r="G259" i="6" s="1"/>
  <c r="G261" i="6" s="1"/>
  <c r="J68" i="6"/>
  <c r="J179" i="6" s="1"/>
  <c r="J187" i="6" s="1"/>
  <c r="J259" i="6" s="1"/>
  <c r="J261" i="6" s="1"/>
  <c r="L68" i="6"/>
  <c r="L179" i="6" s="1"/>
  <c r="L187" i="6" s="1"/>
  <c r="L259" i="6" s="1"/>
  <c r="L261" i="6" s="1"/>
  <c r="F69" i="6"/>
  <c r="F180" i="6" s="1"/>
  <c r="F188" i="6" s="1"/>
  <c r="G69" i="6"/>
  <c r="G180" i="6" s="1"/>
  <c r="G188" i="6" s="1"/>
  <c r="J69" i="6"/>
  <c r="J180" i="6" s="1"/>
  <c r="J188" i="6" s="1"/>
  <c r="L69" i="6"/>
  <c r="L180" i="6" s="1"/>
  <c r="L188" i="6" s="1"/>
  <c r="F70" i="6"/>
  <c r="F181" i="6" s="1"/>
  <c r="F189" i="6" s="1"/>
  <c r="G70" i="6"/>
  <c r="G181" i="6" s="1"/>
  <c r="G189" i="6" s="1"/>
  <c r="J70" i="6"/>
  <c r="J181" i="6" s="1"/>
  <c r="J189" i="6" s="1"/>
  <c r="L70" i="6"/>
  <c r="L181" i="6" s="1"/>
  <c r="L189" i="6" s="1"/>
  <c r="F71" i="6"/>
  <c r="F182" i="6" s="1"/>
  <c r="F190" i="6" s="1"/>
  <c r="G71" i="6"/>
  <c r="G182" i="6" s="1"/>
  <c r="G190" i="6" s="1"/>
  <c r="J71" i="6"/>
  <c r="J182" i="6" s="1"/>
  <c r="J190" i="6" s="1"/>
  <c r="L71" i="6"/>
  <c r="L182" i="6" s="1"/>
  <c r="L190" i="6" s="1"/>
  <c r="F72" i="6"/>
  <c r="F183" i="6" s="1"/>
  <c r="F191" i="6" s="1"/>
  <c r="G72" i="6"/>
  <c r="G183" i="6" s="1"/>
  <c r="G191" i="6" s="1"/>
  <c r="J72" i="6"/>
  <c r="J183" i="6" s="1"/>
  <c r="J191" i="6" s="1"/>
  <c r="L72" i="6"/>
  <c r="L183" i="6" s="1"/>
  <c r="L191" i="6" s="1"/>
  <c r="F73" i="6"/>
  <c r="F184" i="6" s="1"/>
  <c r="F192" i="6" s="1"/>
  <c r="G73" i="6"/>
  <c r="G184" i="6" s="1"/>
  <c r="G192" i="6" s="1"/>
  <c r="J73" i="6"/>
  <c r="J184" i="6" s="1"/>
  <c r="J192" i="6" s="1"/>
  <c r="L73" i="6"/>
  <c r="L184" i="6" s="1"/>
  <c r="L192" i="6" s="1"/>
  <c r="F74" i="6"/>
  <c r="F185" i="6" s="1"/>
  <c r="F193" i="6" s="1"/>
  <c r="G74" i="6"/>
  <c r="G185" i="6" s="1"/>
  <c r="G193" i="6" s="1"/>
  <c r="J74" i="6"/>
  <c r="J185" i="6" s="1"/>
  <c r="J193" i="6" s="1"/>
  <c r="L74" i="6"/>
  <c r="L185" i="6" s="1"/>
  <c r="L193" i="6" s="1"/>
  <c r="F240" i="6"/>
  <c r="G240" i="6"/>
  <c r="J240" i="6"/>
  <c r="L240" i="6"/>
  <c r="F250" i="6"/>
  <c r="G250" i="6"/>
  <c r="J250" i="6"/>
  <c r="L250" i="6"/>
  <c r="A273" i="6"/>
  <c r="A272" i="6"/>
  <c r="A271" i="6"/>
  <c r="A270" i="6"/>
  <c r="K3" i="11"/>
  <c r="X4" i="7" a="1"/>
  <c r="X4" i="7" s="1"/>
  <c r="AD256" i="6" l="1"/>
  <c r="AD216" i="6"/>
  <c r="AD213" i="6"/>
  <c r="AD217" i="6"/>
  <c r="AD219" i="6"/>
  <c r="AD215" i="6"/>
  <c r="AD218" i="6"/>
  <c r="AD249" i="6" s="1"/>
  <c r="AD214" i="6"/>
  <c r="AC218" i="6"/>
  <c r="AC249" i="6" s="1"/>
  <c r="AA214" i="6"/>
  <c r="AA217" i="6"/>
  <c r="AB256" i="6"/>
  <c r="AC256" i="6"/>
  <c r="AA215" i="6"/>
  <c r="AC9" i="6"/>
  <c r="AC19" i="6" s="1" a="1"/>
  <c r="AC19" i="6" s="1"/>
  <c r="AC253" i="6" s="1"/>
  <c r="AC217" i="6"/>
  <c r="AA218" i="6"/>
  <c r="AA249" i="6" s="1"/>
  <c r="AA256" i="6"/>
  <c r="AC214" i="6"/>
  <c r="AC215" i="6"/>
  <c r="D256" i="6"/>
  <c r="D213" i="6"/>
  <c r="D217" i="6"/>
  <c r="D219" i="6"/>
  <c r="D214" i="6"/>
  <c r="D215" i="6"/>
  <c r="D218" i="6"/>
  <c r="D216" i="6"/>
  <c r="D249" i="6" s="1"/>
  <c r="K241" i="6"/>
  <c r="K252" i="6"/>
  <c r="B68" i="6"/>
  <c r="B179" i="6" s="1"/>
  <c r="B187" i="6" s="1"/>
  <c r="B259" i="6" s="1"/>
  <c r="B261" i="6" s="1"/>
  <c r="B69" i="6"/>
  <c r="B180" i="6" s="1"/>
  <c r="B188" i="6" s="1"/>
  <c r="B70" i="6"/>
  <c r="B181" i="6" s="1"/>
  <c r="B189" i="6" s="1"/>
  <c r="B71" i="6"/>
  <c r="B182" i="6" s="1"/>
  <c r="B190" i="6" s="1"/>
  <c r="B72" i="6"/>
  <c r="B183" i="6" s="1"/>
  <c r="B191" i="6" s="1"/>
  <c r="B73" i="6"/>
  <c r="B184" i="6" s="1"/>
  <c r="B192" i="6" s="1"/>
  <c r="B74" i="6"/>
  <c r="B185" i="6" s="1"/>
  <c r="B193" i="6" s="1"/>
  <c r="B240" i="6"/>
  <c r="B250" i="6"/>
  <c r="Q33" i="11" l="1"/>
  <c r="R33" i="11"/>
  <c r="Q32" i="11"/>
  <c r="R32" i="11"/>
  <c r="Q31" i="11"/>
  <c r="R31" i="11"/>
  <c r="Q30" i="11"/>
  <c r="R30" i="11"/>
  <c r="P30" i="11"/>
  <c r="J45" i="11"/>
  <c r="T33" i="11"/>
  <c r="T32" i="11"/>
  <c r="T31" i="11"/>
  <c r="S33" i="11"/>
  <c r="S32" i="11"/>
  <c r="S31" i="11"/>
  <c r="T30" i="11"/>
  <c r="S30" i="11"/>
  <c r="P33" i="11"/>
  <c r="P32" i="11"/>
  <c r="P31" i="11"/>
  <c r="M32" i="11" a="1"/>
  <c r="M32" i="11" s="1"/>
  <c r="L32" i="11" a="1"/>
  <c r="L32" i="11" s="1"/>
  <c r="K32" i="11" a="1"/>
  <c r="K32" i="11" s="1"/>
  <c r="K39" i="11" s="1"/>
  <c r="M31" i="11"/>
  <c r="L31" i="11"/>
  <c r="M28" i="11"/>
  <c r="L28" i="11"/>
  <c r="K28" i="11"/>
  <c r="J28" i="11"/>
  <c r="M27" i="11"/>
  <c r="L27" i="11"/>
  <c r="K27" i="11"/>
  <c r="J27" i="11"/>
  <c r="M26" i="11"/>
  <c r="L26" i="11"/>
  <c r="K26" i="11"/>
  <c r="J26" i="11"/>
  <c r="M24" i="11"/>
  <c r="L24" i="11"/>
  <c r="K24" i="11"/>
  <c r="J24" i="11"/>
  <c r="M23" i="11"/>
  <c r="L23" i="11"/>
  <c r="K23" i="11"/>
  <c r="J23" i="11"/>
  <c r="L22" i="11"/>
  <c r="J22" i="11"/>
  <c r="M20" i="11"/>
  <c r="L20" i="11"/>
  <c r="K20" i="11"/>
  <c r="J20" i="11"/>
  <c r="M19" i="11"/>
  <c r="L19" i="11"/>
  <c r="K19" i="11"/>
  <c r="J19" i="11"/>
  <c r="L18" i="11"/>
  <c r="K18" i="11"/>
  <c r="J18" i="11"/>
  <c r="M16" i="11"/>
  <c r="L16" i="11"/>
  <c r="K16" i="11"/>
  <c r="J16" i="11"/>
  <c r="M15" i="11"/>
  <c r="L15" i="11"/>
  <c r="K15" i="11"/>
  <c r="J15" i="11"/>
  <c r="M14" i="11"/>
  <c r="L14" i="11"/>
  <c r="K14" i="11"/>
  <c r="J14" i="11"/>
  <c r="AD64" i="12"/>
  <c r="AC64" i="12"/>
  <c r="AB64" i="12"/>
  <c r="AA64" i="12"/>
  <c r="AD63" i="12"/>
  <c r="AC63" i="12"/>
  <c r="AB63" i="12"/>
  <c r="AA63" i="12"/>
  <c r="AD62" i="12"/>
  <c r="AC62" i="12"/>
  <c r="AB62" i="12"/>
  <c r="AA62" i="12"/>
  <c r="Z64" i="12"/>
  <c r="Z63" i="12"/>
  <c r="Z62" i="12"/>
  <c r="AD61" i="12"/>
  <c r="AC61" i="12"/>
  <c r="AB61" i="12"/>
  <c r="AA61" i="12"/>
  <c r="Z61" i="12"/>
  <c r="X5" i="11"/>
  <c r="W5" i="11"/>
  <c r="V5" i="11"/>
  <c r="U5" i="11"/>
  <c r="T5" i="11"/>
  <c r="S5" i="11"/>
  <c r="P5" i="11"/>
  <c r="X4" i="11"/>
  <c r="W4" i="11"/>
  <c r="V4" i="11"/>
  <c r="U4" i="11"/>
  <c r="T4" i="11"/>
  <c r="S4" i="11"/>
  <c r="P4" i="11"/>
  <c r="X3" i="11"/>
  <c r="W3" i="11"/>
  <c r="V3" i="11"/>
  <c r="U3" i="11"/>
  <c r="T3" i="11"/>
  <c r="S3" i="11"/>
  <c r="P3" i="11"/>
  <c r="X2" i="11"/>
  <c r="W2" i="11"/>
  <c r="V2" i="11"/>
  <c r="U2" i="11"/>
  <c r="T2" i="11"/>
  <c r="S2" i="11"/>
  <c r="P2" i="11"/>
  <c r="Z241" i="14"/>
  <c r="Z175" i="14"/>
  <c r="Z109" i="14"/>
  <c r="U165" i="7"/>
  <c r="T171" i="7" s="1" a="1"/>
  <c r="T171" i="7" s="1"/>
  <c r="U113" i="7"/>
  <c r="T119" i="7" s="1" a="1"/>
  <c r="T119" i="7" s="1"/>
  <c r="U61" i="7"/>
  <c r="T67" i="7" s="1" a="1"/>
  <c r="T67" i="7" s="1"/>
  <c r="U9" i="7"/>
  <c r="T15" i="7" s="1" a="1"/>
  <c r="T15" i="7" s="1"/>
  <c r="W163" i="7"/>
  <c r="W162" i="7"/>
  <c r="W161" i="7"/>
  <c r="W160" i="7"/>
  <c r="X160" i="7" s="1" a="1"/>
  <c r="X160" i="7" s="1"/>
  <c r="D162" i="7" s="1"/>
  <c r="W159" i="7"/>
  <c r="X159" i="7" s="1" a="1"/>
  <c r="X159" i="7" s="1"/>
  <c r="D164" i="7" s="1"/>
  <c r="V163" i="7"/>
  <c r="V162" i="7"/>
  <c r="V161" i="7"/>
  <c r="V160" i="7"/>
  <c r="V159" i="7"/>
  <c r="U163" i="7"/>
  <c r="U162" i="7"/>
  <c r="U161" i="7"/>
  <c r="W111" i="7"/>
  <c r="W110" i="7"/>
  <c r="W109" i="7"/>
  <c r="W108" i="7"/>
  <c r="X108" i="7" s="1" a="1"/>
  <c r="X108" i="7" s="1"/>
  <c r="D110" i="7" s="1"/>
  <c r="W107" i="7"/>
  <c r="V111" i="7"/>
  <c r="V110" i="7"/>
  <c r="V109" i="7"/>
  <c r="V108" i="7"/>
  <c r="V107" i="7"/>
  <c r="U109" i="7"/>
  <c r="U110" i="7"/>
  <c r="U111" i="7"/>
  <c r="W59" i="7"/>
  <c r="W58" i="7"/>
  <c r="W57" i="7"/>
  <c r="W56" i="7"/>
  <c r="X56" i="7" s="1" a="1"/>
  <c r="X56" i="7" s="1"/>
  <c r="D58" i="7" s="1"/>
  <c r="W55" i="7"/>
  <c r="W7" i="7"/>
  <c r="W6" i="7"/>
  <c r="W5" i="7"/>
  <c r="W4" i="7"/>
  <c r="W3" i="7"/>
  <c r="V59" i="7"/>
  <c r="V58" i="7"/>
  <c r="V57" i="7"/>
  <c r="V56" i="7"/>
  <c r="V55" i="7"/>
  <c r="U7" i="7"/>
  <c r="X7" i="7" s="1" a="1"/>
  <c r="X7" i="7" s="1"/>
  <c r="U6" i="7"/>
  <c r="X6" i="7" s="1" a="1"/>
  <c r="X6" i="7" s="1"/>
  <c r="U5" i="7"/>
  <c r="X5" i="7" s="1" a="1"/>
  <c r="X5" i="7" s="1"/>
  <c r="V7" i="7"/>
  <c r="V6" i="7"/>
  <c r="V5" i="7"/>
  <c r="V4" i="7"/>
  <c r="V3" i="7"/>
  <c r="U57" i="7"/>
  <c r="U58" i="7"/>
  <c r="U59" i="7"/>
  <c r="U15" i="7"/>
  <c r="U119" i="7"/>
  <c r="U67" i="7"/>
  <c r="U171" i="7"/>
  <c r="D167" i="7" l="1"/>
  <c r="X109" i="7" a="1"/>
  <c r="X109" i="7" s="1"/>
  <c r="V31" i="11"/>
  <c r="U32" i="11"/>
  <c r="U33" i="11"/>
  <c r="V32" i="11"/>
  <c r="V33" i="11"/>
  <c r="M39" i="11" l="1"/>
  <c r="L38" i="11"/>
  <c r="L39" i="11"/>
  <c r="M38" i="11"/>
  <c r="U114" i="7" a="1"/>
  <c r="U114" i="7" s="1"/>
  <c r="Q131" i="7" s="1"/>
  <c r="U116" i="7" a="1"/>
  <c r="U116" i="7" s="1"/>
  <c r="Q130" i="7" s="1"/>
  <c r="U115" i="7" a="1"/>
  <c r="U115" i="7" s="1"/>
  <c r="Q129" i="7" s="1"/>
  <c r="T169" i="7" a="1"/>
  <c r="T169" i="7" s="1"/>
  <c r="T117" i="7" a="1"/>
  <c r="T117" i="7" s="1"/>
  <c r="T170" i="7" a="1"/>
  <c r="T170" i="7" s="1"/>
  <c r="T118" i="7" a="1"/>
  <c r="T118" i="7" s="1"/>
  <c r="T66" i="7" a="1"/>
  <c r="T66" i="7" s="1"/>
  <c r="T65" i="7" a="1"/>
  <c r="T65" i="7" s="1"/>
  <c r="X3" i="7" a="1"/>
  <c r="X3" i="7" s="1"/>
  <c r="D8" i="7" s="1"/>
  <c r="D148" i="7"/>
  <c r="D138" i="7"/>
  <c r="D13" i="7"/>
  <c r="X55" i="7" a="1"/>
  <c r="X55" i="7" s="1"/>
  <c r="D60" i="7" s="1"/>
  <c r="D64" i="7"/>
  <c r="D66" i="7"/>
  <c r="D88" i="7"/>
  <c r="D116" i="7"/>
  <c r="D69" i="7"/>
  <c r="D101" i="7"/>
  <c r="D100" i="7"/>
  <c r="D99" i="7"/>
  <c r="D90" i="7"/>
  <c r="T13" i="7" a="1"/>
  <c r="T13" i="7" s="1"/>
  <c r="T14" i="7" a="1"/>
  <c r="T14" i="7" s="1"/>
  <c r="D128" i="7"/>
  <c r="D127" i="7"/>
  <c r="D89" i="7"/>
  <c r="D154" i="7"/>
  <c r="X161" i="7" a="1"/>
  <c r="X161" i="7" s="1"/>
  <c r="D166" i="7" s="1"/>
  <c r="D119" i="7"/>
  <c r="D153" i="7"/>
  <c r="D115" i="7"/>
  <c r="D78" i="7"/>
  <c r="D151" i="7"/>
  <c r="D202" i="7"/>
  <c r="D87" i="7"/>
  <c r="D77" i="7"/>
  <c r="D150" i="7"/>
  <c r="D201" i="7"/>
  <c r="D152" i="7"/>
  <c r="X59" i="7" a="1"/>
  <c r="X59" i="7" s="1"/>
  <c r="D65" i="7" s="1"/>
  <c r="D76" i="7"/>
  <c r="D142" i="7"/>
  <c r="D190" i="7"/>
  <c r="D84" i="7"/>
  <c r="D75" i="7"/>
  <c r="D141" i="7"/>
  <c r="D189" i="7"/>
  <c r="D102" i="7"/>
  <c r="D74" i="7"/>
  <c r="X107" i="7" a="1"/>
  <c r="X107" i="7" s="1"/>
  <c r="D112" i="7" s="1"/>
  <c r="D140" i="7"/>
  <c r="D139" i="7"/>
  <c r="D177" i="7"/>
  <c r="D126" i="7"/>
  <c r="D200" i="7"/>
  <c r="D188" i="7"/>
  <c r="D176" i="7"/>
  <c r="D73" i="7"/>
  <c r="D149" i="7"/>
  <c r="D137" i="7"/>
  <c r="D125" i="7"/>
  <c r="X162" i="7" a="1"/>
  <c r="X162" i="7" s="1"/>
  <c r="D178" i="7" s="1"/>
  <c r="D199" i="7"/>
  <c r="D187" i="7"/>
  <c r="D175" i="7"/>
  <c r="X163" i="7" a="1"/>
  <c r="X163" i="7" s="1"/>
  <c r="D169" i="7" s="1"/>
  <c r="D198" i="7"/>
  <c r="D186" i="7"/>
  <c r="D174" i="7"/>
  <c r="D98" i="7"/>
  <c r="D85" i="7"/>
  <c r="X58" i="7" a="1"/>
  <c r="X58" i="7" s="1"/>
  <c r="D72" i="7" s="1"/>
  <c r="D95" i="7"/>
  <c r="D83" i="7"/>
  <c r="D71" i="7"/>
  <c r="X110" i="7" a="1"/>
  <c r="X110" i="7" s="1"/>
  <c r="D124" i="7" s="1"/>
  <c r="D147" i="7"/>
  <c r="D135" i="7"/>
  <c r="D197" i="7"/>
  <c r="D185" i="7"/>
  <c r="D173" i="7"/>
  <c r="D96" i="7"/>
  <c r="D94" i="7"/>
  <c r="D82" i="7"/>
  <c r="D70" i="7"/>
  <c r="D146" i="7"/>
  <c r="D134" i="7"/>
  <c r="D122" i="7"/>
  <c r="D196" i="7"/>
  <c r="D184" i="7"/>
  <c r="D172" i="7"/>
  <c r="D97" i="7"/>
  <c r="X111" i="7" a="1"/>
  <c r="X111" i="7" s="1"/>
  <c r="D117" i="7" s="1"/>
  <c r="D136" i="7"/>
  <c r="D93" i="7"/>
  <c r="D81" i="7"/>
  <c r="D113" i="7"/>
  <c r="D145" i="7"/>
  <c r="D133" i="7"/>
  <c r="D121" i="7"/>
  <c r="D207" i="7"/>
  <c r="D195" i="7"/>
  <c r="D183" i="7"/>
  <c r="X57" i="7" a="1"/>
  <c r="X57" i="7" s="1"/>
  <c r="D62" i="7" s="1"/>
  <c r="D6" i="7"/>
  <c r="D92" i="7"/>
  <c r="D80" i="7"/>
  <c r="D68" i="7"/>
  <c r="D114" i="7"/>
  <c r="D144" i="7"/>
  <c r="D132" i="7"/>
  <c r="D120" i="7"/>
  <c r="D206" i="7"/>
  <c r="D194" i="7"/>
  <c r="D182" i="7"/>
  <c r="D170" i="7"/>
  <c r="D86" i="7"/>
  <c r="D103" i="7"/>
  <c r="D91" i="7"/>
  <c r="D79" i="7"/>
  <c r="D67" i="7"/>
  <c r="D155" i="7"/>
  <c r="D143" i="7"/>
  <c r="D131" i="7"/>
  <c r="D205" i="7"/>
  <c r="D193" i="7"/>
  <c r="D181" i="7"/>
  <c r="D130" i="7"/>
  <c r="D118" i="7"/>
  <c r="D204" i="7"/>
  <c r="D192" i="7"/>
  <c r="D180" i="7"/>
  <c r="D168" i="7"/>
  <c r="D129" i="7"/>
  <c r="D203" i="7"/>
  <c r="D191" i="7"/>
  <c r="D179" i="7"/>
  <c r="D12" i="7"/>
  <c r="D10" i="7"/>
  <c r="D33" i="7"/>
  <c r="D22" i="7"/>
  <c r="D45" i="7"/>
  <c r="D21" i="7"/>
  <c r="D44" i="7"/>
  <c r="D32" i="7"/>
  <c r="D20" i="7"/>
  <c r="D43" i="7"/>
  <c r="D31" i="7"/>
  <c r="D23" i="7"/>
  <c r="D42" i="7"/>
  <c r="D30" i="7"/>
  <c r="D18" i="7"/>
  <c r="D9" i="7"/>
  <c r="D41" i="7"/>
  <c r="D29" i="7"/>
  <c r="D17" i="7"/>
  <c r="D40" i="7"/>
  <c r="D28" i="7"/>
  <c r="D16" i="7"/>
  <c r="D47" i="7"/>
  <c r="D34" i="7"/>
  <c r="D51" i="7"/>
  <c r="D39" i="7"/>
  <c r="D27" i="7"/>
  <c r="D15" i="7"/>
  <c r="D38" i="7"/>
  <c r="D35" i="7"/>
  <c r="D46" i="7"/>
  <c r="D50" i="7"/>
  <c r="D26" i="7"/>
  <c r="D49" i="7"/>
  <c r="D37" i="7"/>
  <c r="D25" i="7"/>
  <c r="D48" i="7"/>
  <c r="D36" i="7"/>
  <c r="D24" i="7"/>
  <c r="U169" i="7"/>
  <c r="U65" i="7"/>
  <c r="U170" i="7"/>
  <c r="U14" i="7"/>
  <c r="U118" i="7"/>
  <c r="U13" i="7"/>
  <c r="U117" i="7"/>
  <c r="U66" i="7"/>
  <c r="D171" i="7" l="1"/>
  <c r="D63" i="7"/>
  <c r="D61" i="7"/>
  <c r="D14" i="7"/>
  <c r="E11" i="7"/>
  <c r="E25" i="7"/>
  <c r="E37" i="7"/>
  <c r="E49" i="7"/>
  <c r="E12" i="7"/>
  <c r="E26" i="7"/>
  <c r="E38" i="7"/>
  <c r="E50" i="7"/>
  <c r="E15" i="7"/>
  <c r="E27" i="7"/>
  <c r="E39" i="7"/>
  <c r="E51" i="7"/>
  <c r="E16" i="7"/>
  <c r="E28" i="7"/>
  <c r="E40" i="7"/>
  <c r="E10" i="7"/>
  <c r="E23" i="7"/>
  <c r="E17" i="7"/>
  <c r="E29" i="7"/>
  <c r="E41" i="7"/>
  <c r="E9" i="7"/>
  <c r="E18" i="7"/>
  <c r="E30" i="7"/>
  <c r="E42" i="7"/>
  <c r="E19" i="7"/>
  <c r="E31" i="7"/>
  <c r="E43" i="7"/>
  <c r="E35" i="7"/>
  <c r="E20" i="7"/>
  <c r="E32" i="7"/>
  <c r="E44" i="7"/>
  <c r="E47" i="7"/>
  <c r="E21" i="7"/>
  <c r="E33" i="7"/>
  <c r="E45" i="7"/>
  <c r="E22" i="7"/>
  <c r="E34" i="7"/>
  <c r="E46" i="7"/>
  <c r="E24" i="7"/>
  <c r="E36" i="7"/>
  <c r="E48" i="7"/>
  <c r="E13" i="7"/>
  <c r="E14" i="7"/>
  <c r="D123" i="7"/>
  <c r="D19" i="7"/>
  <c r="D11" i="7"/>
  <c r="E66" i="7"/>
  <c r="E118" i="7"/>
  <c r="E117" i="7"/>
  <c r="E119" i="7"/>
  <c r="E165" i="7"/>
  <c r="E61" i="7"/>
  <c r="E65" i="7"/>
  <c r="E114" i="7"/>
  <c r="E129" i="7"/>
  <c r="E141" i="7"/>
  <c r="E153" i="7"/>
  <c r="E115" i="7"/>
  <c r="E130" i="7"/>
  <c r="E142" i="7"/>
  <c r="E154" i="7"/>
  <c r="E128" i="7"/>
  <c r="E116" i="7"/>
  <c r="E131" i="7"/>
  <c r="E143" i="7"/>
  <c r="E155" i="7"/>
  <c r="E120" i="7"/>
  <c r="E132" i="7"/>
  <c r="E144" i="7"/>
  <c r="E113" i="7"/>
  <c r="E121" i="7"/>
  <c r="E133" i="7"/>
  <c r="E145" i="7"/>
  <c r="E140" i="7"/>
  <c r="E122" i="7"/>
  <c r="E134" i="7"/>
  <c r="E146" i="7"/>
  <c r="E123" i="7"/>
  <c r="E135" i="7"/>
  <c r="E147" i="7"/>
  <c r="E124" i="7"/>
  <c r="E136" i="7"/>
  <c r="E148" i="7"/>
  <c r="E125" i="7"/>
  <c r="E137" i="7"/>
  <c r="E149" i="7"/>
  <c r="E126" i="7"/>
  <c r="E138" i="7"/>
  <c r="E150" i="7"/>
  <c r="E127" i="7"/>
  <c r="E139" i="7"/>
  <c r="E151" i="7"/>
  <c r="E152" i="7"/>
  <c r="E179" i="7"/>
  <c r="E191" i="7"/>
  <c r="E203" i="7"/>
  <c r="E166" i="7"/>
  <c r="E180" i="7"/>
  <c r="E192" i="7"/>
  <c r="E204" i="7"/>
  <c r="E167" i="7"/>
  <c r="E181" i="7"/>
  <c r="E193" i="7"/>
  <c r="E205" i="7"/>
  <c r="E168" i="7"/>
  <c r="E182" i="7"/>
  <c r="E194" i="7"/>
  <c r="E206" i="7"/>
  <c r="E171" i="7"/>
  <c r="E183" i="7"/>
  <c r="E195" i="7"/>
  <c r="E207" i="7"/>
  <c r="E202" i="7"/>
  <c r="E172" i="7"/>
  <c r="E184" i="7"/>
  <c r="E196" i="7"/>
  <c r="E190" i="7"/>
  <c r="E173" i="7"/>
  <c r="E185" i="7"/>
  <c r="E197" i="7"/>
  <c r="E174" i="7"/>
  <c r="E186" i="7"/>
  <c r="E198" i="7"/>
  <c r="E175" i="7"/>
  <c r="E187" i="7"/>
  <c r="E199" i="7"/>
  <c r="E176" i="7"/>
  <c r="E188" i="7"/>
  <c r="E200" i="7"/>
  <c r="E177" i="7"/>
  <c r="E189" i="7"/>
  <c r="E201" i="7"/>
  <c r="E178" i="7"/>
  <c r="E170" i="7"/>
  <c r="E169" i="7"/>
  <c r="E63" i="7"/>
  <c r="E77" i="7"/>
  <c r="E89" i="7"/>
  <c r="E101" i="7"/>
  <c r="E78" i="7"/>
  <c r="E90" i="7"/>
  <c r="E95" i="7"/>
  <c r="E64" i="7"/>
  <c r="E102" i="7"/>
  <c r="E76" i="7"/>
  <c r="E67" i="7"/>
  <c r="E79" i="7"/>
  <c r="E91" i="7"/>
  <c r="E103" i="7"/>
  <c r="E93" i="7"/>
  <c r="E94" i="7"/>
  <c r="E68" i="7"/>
  <c r="E80" i="7"/>
  <c r="E92" i="7"/>
  <c r="E81" i="7"/>
  <c r="E69" i="7"/>
  <c r="E88" i="7"/>
  <c r="E70" i="7"/>
  <c r="E82" i="7"/>
  <c r="E62" i="7"/>
  <c r="E100" i="7"/>
  <c r="E71" i="7"/>
  <c r="E83" i="7"/>
  <c r="E72" i="7"/>
  <c r="E84" i="7"/>
  <c r="E96" i="7"/>
  <c r="E75" i="7"/>
  <c r="E99" i="7"/>
  <c r="E73" i="7"/>
  <c r="E85" i="7"/>
  <c r="E97" i="7"/>
  <c r="E87" i="7"/>
  <c r="E74" i="7"/>
  <c r="E86" i="7"/>
  <c r="E98" i="7"/>
  <c r="D165" i="7"/>
  <c r="Q161" i="7" l="1"/>
  <c r="U166" i="7" l="1" a="1"/>
  <c r="U166" i="7" s="1"/>
  <c r="Q183" i="7" s="1"/>
  <c r="U168" i="7" a="1"/>
  <c r="U168" i="7" s="1"/>
  <c r="Q182" i="7" s="1"/>
  <c r="U167" i="7" a="1"/>
  <c r="U167" i="7" s="1"/>
  <c r="Q181" i="7" s="1"/>
  <c r="Z18" i="18"/>
  <c r="M10" i="11"/>
  <c r="M9" i="11"/>
  <c r="M8" i="11"/>
  <c r="L10" i="11"/>
  <c r="L9" i="11"/>
  <c r="L8" i="11"/>
  <c r="K10" i="11"/>
  <c r="K9" i="11"/>
  <c r="K8" i="11"/>
  <c r="I18" i="11"/>
  <c r="I19" i="11"/>
  <c r="I20" i="11"/>
  <c r="J10" i="11"/>
  <c r="J9" i="11"/>
  <c r="J8" i="11"/>
  <c r="I16" i="11"/>
  <c r="I15" i="11"/>
  <c r="I14" i="11"/>
  <c r="C14" i="6" l="1"/>
  <c r="C242" i="6" s="1"/>
  <c r="E12" i="6"/>
  <c r="E235" i="6" s="1"/>
  <c r="AF12" i="6"/>
  <c r="AF235" i="6" s="1"/>
  <c r="AE13" i="6"/>
  <c r="AE239" i="6" s="1"/>
  <c r="C12" i="6"/>
  <c r="C235" i="6" s="1"/>
  <c r="E11" i="6"/>
  <c r="E236" i="6" s="1"/>
  <c r="AE12" i="6"/>
  <c r="AE235" i="6" s="1"/>
  <c r="E13" i="6"/>
  <c r="E239" i="6" s="1"/>
  <c r="AF13" i="6"/>
  <c r="AF239" i="6" s="1"/>
  <c r="AF11" i="6"/>
  <c r="AF236" i="6" s="1"/>
  <c r="AF14" i="6"/>
  <c r="AF242" i="6" s="1"/>
  <c r="C11" i="6"/>
  <c r="C236" i="6" s="1"/>
  <c r="AE14" i="6"/>
  <c r="AE242" i="6" s="1"/>
  <c r="C13" i="6"/>
  <c r="C239" i="6" s="1"/>
  <c r="AE11" i="6"/>
  <c r="AE236" i="6" s="1"/>
  <c r="E14" i="6"/>
  <c r="E242" i="6" s="1"/>
  <c r="AC11" i="6"/>
  <c r="AC236" i="6" s="1"/>
  <c r="D14" i="6"/>
  <c r="D242" i="6" s="1"/>
  <c r="AD13" i="6"/>
  <c r="AD239" i="6" s="1"/>
  <c r="AC12" i="6"/>
  <c r="AC235" i="6" s="1"/>
  <c r="D13" i="6"/>
  <c r="D239" i="6" s="1"/>
  <c r="D12" i="6"/>
  <c r="D235" i="6" s="1"/>
  <c r="AB11" i="6"/>
  <c r="AB236" i="6" s="1"/>
  <c r="AD12" i="6"/>
  <c r="AD235" i="6" s="1"/>
  <c r="AB13" i="6"/>
  <c r="AB239" i="6" s="1"/>
  <c r="AA14" i="6"/>
  <c r="AA242" i="6" s="1"/>
  <c r="D11" i="6"/>
  <c r="D236" i="6" s="1"/>
  <c r="AD14" i="6"/>
  <c r="AD242" i="6" s="1"/>
  <c r="AA11" i="6"/>
  <c r="AA236" i="6" s="1"/>
  <c r="AB14" i="6"/>
  <c r="AB242" i="6" s="1"/>
  <c r="AC14" i="6"/>
  <c r="AC242" i="6" s="1"/>
  <c r="AD11" i="6"/>
  <c r="AD236" i="6" s="1"/>
  <c r="AA12" i="6"/>
  <c r="AA235" i="6" s="1"/>
  <c r="AA13" i="6"/>
  <c r="AA239" i="6" s="1"/>
  <c r="AC13" i="6"/>
  <c r="AC239" i="6" s="1"/>
  <c r="AB12" i="6"/>
  <c r="AB235" i="6" s="1"/>
  <c r="I28" i="11"/>
  <c r="I27" i="11"/>
  <c r="I26" i="11"/>
  <c r="I24" i="11"/>
  <c r="I23" i="11"/>
  <c r="I22" i="11"/>
  <c r="BK254" i="14"/>
  <c r="BD254" i="14"/>
  <c r="D259" i="14"/>
  <c r="D254" i="14"/>
  <c r="D193" i="14"/>
  <c r="D188" i="14"/>
  <c r="BD188" i="14"/>
  <c r="M22" i="11" s="1"/>
  <c r="BK188" i="14"/>
  <c r="BD122" i="14"/>
  <c r="BK122" i="14"/>
  <c r="M18" i="11" s="1"/>
  <c r="I163" i="7"/>
  <c r="I164" i="7"/>
  <c r="I165" i="7"/>
  <c r="I166" i="7"/>
  <c r="I167" i="7"/>
  <c r="I168" i="7"/>
  <c r="I169" i="7"/>
  <c r="I170" i="7"/>
  <c r="I171" i="7"/>
  <c r="I172" i="7"/>
  <c r="I173" i="7"/>
  <c r="I174" i="7"/>
  <c r="I175" i="7"/>
  <c r="I176" i="7"/>
  <c r="I177" i="7"/>
  <c r="I178" i="7"/>
  <c r="I179" i="7"/>
  <c r="I180" i="7"/>
  <c r="I181" i="7"/>
  <c r="I182" i="7"/>
  <c r="I183" i="7"/>
  <c r="I184" i="7"/>
  <c r="I185" i="7"/>
  <c r="I186" i="7"/>
  <c r="I187" i="7"/>
  <c r="I188" i="7"/>
  <c r="I189" i="7"/>
  <c r="I190" i="7"/>
  <c r="I191" i="7"/>
  <c r="I192" i="7"/>
  <c r="I193" i="7"/>
  <c r="I194" i="7"/>
  <c r="I195" i="7"/>
  <c r="I196" i="7"/>
  <c r="I197" i="7"/>
  <c r="I198" i="7"/>
  <c r="I199" i="7"/>
  <c r="I200" i="7"/>
  <c r="I201" i="7"/>
  <c r="I202" i="7"/>
  <c r="I203" i="7"/>
  <c r="I204" i="7"/>
  <c r="I205" i="7"/>
  <c r="I206" i="7"/>
  <c r="I207" i="7"/>
  <c r="I162" i="7"/>
  <c r="H163" i="7"/>
  <c r="H164" i="7"/>
  <c r="H165" i="7"/>
  <c r="H166" i="7"/>
  <c r="H167" i="7"/>
  <c r="H168" i="7"/>
  <c r="H169" i="7"/>
  <c r="H170" i="7"/>
  <c r="H171" i="7"/>
  <c r="H172" i="7"/>
  <c r="H173" i="7"/>
  <c r="H174" i="7"/>
  <c r="H175" i="7"/>
  <c r="H176" i="7"/>
  <c r="H177" i="7"/>
  <c r="H178" i="7"/>
  <c r="H179" i="7"/>
  <c r="H180" i="7"/>
  <c r="H181" i="7"/>
  <c r="H182" i="7"/>
  <c r="H183" i="7"/>
  <c r="H184" i="7"/>
  <c r="H185" i="7"/>
  <c r="H186" i="7"/>
  <c r="H187" i="7"/>
  <c r="H188" i="7"/>
  <c r="H189" i="7"/>
  <c r="H190" i="7"/>
  <c r="H191" i="7"/>
  <c r="H192" i="7"/>
  <c r="H193" i="7"/>
  <c r="H194" i="7"/>
  <c r="H195" i="7"/>
  <c r="H196" i="7"/>
  <c r="H197" i="7"/>
  <c r="H198" i="7"/>
  <c r="H199" i="7"/>
  <c r="H200" i="7"/>
  <c r="H201" i="7"/>
  <c r="H202" i="7"/>
  <c r="H203" i="7"/>
  <c r="H204" i="7"/>
  <c r="H205" i="7"/>
  <c r="H206" i="7"/>
  <c r="H207" i="7"/>
  <c r="H162" i="7"/>
  <c r="H6" i="7"/>
  <c r="G163" i="7"/>
  <c r="G164" i="7"/>
  <c r="G165" i="7"/>
  <c r="G166" i="7"/>
  <c r="G167" i="7"/>
  <c r="G168" i="7"/>
  <c r="G169" i="7"/>
  <c r="G170" i="7"/>
  <c r="G171" i="7"/>
  <c r="G172" i="7"/>
  <c r="G173" i="7"/>
  <c r="G174" i="7"/>
  <c r="G175" i="7"/>
  <c r="G176" i="7"/>
  <c r="G177" i="7"/>
  <c r="G178" i="7"/>
  <c r="G179" i="7"/>
  <c r="G180" i="7"/>
  <c r="G181" i="7"/>
  <c r="G182" i="7"/>
  <c r="G183" i="7"/>
  <c r="G185" i="7"/>
  <c r="G186" i="7"/>
  <c r="G187" i="7"/>
  <c r="G188" i="7"/>
  <c r="G189" i="7"/>
  <c r="G190" i="7"/>
  <c r="G191" i="7"/>
  <c r="G192" i="7"/>
  <c r="G193" i="7"/>
  <c r="G194" i="7"/>
  <c r="G195" i="7"/>
  <c r="G196" i="7"/>
  <c r="G197" i="7"/>
  <c r="G198" i="7"/>
  <c r="G199" i="7"/>
  <c r="G200" i="7"/>
  <c r="G201" i="7"/>
  <c r="G202" i="7"/>
  <c r="G203" i="7"/>
  <c r="G204" i="7"/>
  <c r="G205" i="7"/>
  <c r="G206" i="7"/>
  <c r="G207" i="7"/>
  <c r="G162" i="7"/>
  <c r="F163" i="7"/>
  <c r="F164" i="7"/>
  <c r="F165" i="7"/>
  <c r="F167" i="7"/>
  <c r="F168" i="7"/>
  <c r="F169" i="7"/>
  <c r="F170" i="7"/>
  <c r="F171" i="7"/>
  <c r="F173" i="7"/>
  <c r="F174" i="7"/>
  <c r="F175" i="7"/>
  <c r="F176" i="7"/>
  <c r="F177" i="7"/>
  <c r="F178" i="7"/>
  <c r="F179" i="7"/>
  <c r="F180" i="7"/>
  <c r="F181" i="7"/>
  <c r="F182" i="7"/>
  <c r="F183" i="7"/>
  <c r="F184" i="7"/>
  <c r="F185" i="7"/>
  <c r="F186" i="7"/>
  <c r="F187" i="7"/>
  <c r="F188" i="7"/>
  <c r="F189" i="7"/>
  <c r="F190" i="7"/>
  <c r="F191" i="7"/>
  <c r="F192" i="7"/>
  <c r="F193" i="7"/>
  <c r="F194" i="7"/>
  <c r="F195" i="7"/>
  <c r="F196" i="7"/>
  <c r="F197" i="7"/>
  <c r="F198" i="7"/>
  <c r="F199" i="7"/>
  <c r="F200" i="7"/>
  <c r="F201" i="7"/>
  <c r="F202" i="7"/>
  <c r="F203" i="7"/>
  <c r="F204" i="7"/>
  <c r="F205" i="7"/>
  <c r="F206" i="7"/>
  <c r="F207" i="7"/>
  <c r="F162" i="7"/>
  <c r="Q190" i="7"/>
  <c r="Q189" i="7"/>
  <c r="Q180" i="7"/>
  <c r="Q173" i="7"/>
  <c r="Q172" i="7"/>
  <c r="Q174" i="7" s="1"/>
  <c r="J46" i="11" s="1"/>
  <c r="Q138" i="7"/>
  <c r="Q137" i="7"/>
  <c r="I111" i="7"/>
  <c r="I112" i="7"/>
  <c r="I113" i="7"/>
  <c r="I114" i="7"/>
  <c r="I115" i="7"/>
  <c r="I116" i="7"/>
  <c r="I117" i="7"/>
  <c r="I118" i="7"/>
  <c r="I119" i="7"/>
  <c r="I120" i="7"/>
  <c r="I121" i="7"/>
  <c r="I122" i="7"/>
  <c r="I123" i="7"/>
  <c r="I124" i="7"/>
  <c r="I125" i="7"/>
  <c r="I126" i="7"/>
  <c r="I127" i="7"/>
  <c r="I128" i="7"/>
  <c r="I129" i="7"/>
  <c r="I130" i="7"/>
  <c r="I131" i="7"/>
  <c r="I132" i="7"/>
  <c r="I133" i="7"/>
  <c r="I134" i="7"/>
  <c r="I135" i="7"/>
  <c r="I136" i="7"/>
  <c r="I137" i="7"/>
  <c r="I138" i="7"/>
  <c r="I139" i="7"/>
  <c r="I140" i="7"/>
  <c r="I141" i="7"/>
  <c r="I142" i="7"/>
  <c r="I143" i="7"/>
  <c r="I144" i="7"/>
  <c r="I145" i="7"/>
  <c r="I146" i="7"/>
  <c r="I147" i="7"/>
  <c r="I148" i="7"/>
  <c r="I149" i="7"/>
  <c r="I150" i="7"/>
  <c r="I151" i="7"/>
  <c r="I152" i="7"/>
  <c r="I153" i="7"/>
  <c r="I154" i="7"/>
  <c r="I155" i="7"/>
  <c r="I110" i="7"/>
  <c r="H111" i="7"/>
  <c r="H112" i="7"/>
  <c r="H113" i="7"/>
  <c r="H114" i="7"/>
  <c r="H115" i="7"/>
  <c r="H116" i="7"/>
  <c r="H117" i="7"/>
  <c r="H118" i="7"/>
  <c r="H119" i="7"/>
  <c r="H120" i="7"/>
  <c r="H121" i="7"/>
  <c r="H122" i="7"/>
  <c r="H123" i="7"/>
  <c r="H124" i="7"/>
  <c r="H125" i="7"/>
  <c r="H126" i="7"/>
  <c r="H127" i="7"/>
  <c r="H128" i="7"/>
  <c r="H129" i="7"/>
  <c r="H130" i="7"/>
  <c r="H131" i="7"/>
  <c r="H132" i="7"/>
  <c r="H133" i="7"/>
  <c r="H134" i="7"/>
  <c r="H135" i="7"/>
  <c r="H136" i="7"/>
  <c r="H137" i="7"/>
  <c r="H138" i="7"/>
  <c r="H139" i="7"/>
  <c r="H140" i="7"/>
  <c r="H141" i="7"/>
  <c r="H142" i="7"/>
  <c r="H143" i="7"/>
  <c r="H144" i="7"/>
  <c r="H145" i="7"/>
  <c r="H146" i="7"/>
  <c r="H147" i="7"/>
  <c r="H148" i="7"/>
  <c r="H149" i="7"/>
  <c r="H150" i="7"/>
  <c r="H151" i="7"/>
  <c r="H152" i="7"/>
  <c r="H153" i="7"/>
  <c r="H154" i="7"/>
  <c r="H155" i="7"/>
  <c r="H110" i="7"/>
  <c r="G114" i="7"/>
  <c r="G116" i="7"/>
  <c r="G117" i="7"/>
  <c r="G118" i="7"/>
  <c r="G119" i="7"/>
  <c r="G120" i="7"/>
  <c r="G121" i="7"/>
  <c r="G122" i="7"/>
  <c r="G124" i="7"/>
  <c r="G125" i="7"/>
  <c r="G126" i="7"/>
  <c r="G127" i="7"/>
  <c r="G128" i="7"/>
  <c r="G129" i="7"/>
  <c r="G130" i="7"/>
  <c r="G131" i="7"/>
  <c r="G132" i="7"/>
  <c r="G133" i="7"/>
  <c r="G134" i="7"/>
  <c r="G135" i="7"/>
  <c r="G136" i="7"/>
  <c r="G137" i="7"/>
  <c r="G138" i="7"/>
  <c r="G139" i="7"/>
  <c r="G140" i="7"/>
  <c r="G141" i="7"/>
  <c r="G142" i="7"/>
  <c r="G143" i="7"/>
  <c r="G144" i="7"/>
  <c r="G145" i="7"/>
  <c r="G146" i="7"/>
  <c r="G147" i="7"/>
  <c r="G148" i="7"/>
  <c r="G149" i="7"/>
  <c r="G150" i="7"/>
  <c r="G151" i="7"/>
  <c r="G152" i="7"/>
  <c r="G153" i="7"/>
  <c r="G154" i="7"/>
  <c r="G155" i="7"/>
  <c r="G111" i="7"/>
  <c r="G112" i="7"/>
  <c r="G113" i="7"/>
  <c r="G110" i="7"/>
  <c r="D127" i="14"/>
  <c r="D122" i="14"/>
  <c r="CB222" i="14"/>
  <c r="CB221" i="14"/>
  <c r="CB156" i="14"/>
  <c r="CB155" i="14"/>
  <c r="F114" i="7"/>
  <c r="CB90" i="14"/>
  <c r="CB89" i="14"/>
  <c r="F111" i="7"/>
  <c r="F112" i="7"/>
  <c r="F113" i="7"/>
  <c r="F115" i="7"/>
  <c r="F116" i="7"/>
  <c r="F117" i="7"/>
  <c r="F118" i="7"/>
  <c r="F119" i="7"/>
  <c r="F121" i="7"/>
  <c r="F122" i="7"/>
  <c r="F123" i="7"/>
  <c r="F124" i="7"/>
  <c r="F125" i="7"/>
  <c r="F126" i="7"/>
  <c r="F127" i="7"/>
  <c r="F128" i="7"/>
  <c r="F129" i="7"/>
  <c r="F130" i="7"/>
  <c r="F131" i="7"/>
  <c r="F132" i="7"/>
  <c r="F133" i="7"/>
  <c r="F134" i="7"/>
  <c r="F135" i="7"/>
  <c r="F136" i="7"/>
  <c r="F137" i="7"/>
  <c r="F138" i="7"/>
  <c r="F139" i="7"/>
  <c r="F140" i="7"/>
  <c r="F141" i="7"/>
  <c r="F142" i="7"/>
  <c r="F143" i="7"/>
  <c r="F144" i="7"/>
  <c r="F145" i="7"/>
  <c r="F146" i="7"/>
  <c r="F147" i="7"/>
  <c r="F148" i="7"/>
  <c r="F149" i="7"/>
  <c r="F150" i="7"/>
  <c r="F151" i="7"/>
  <c r="F152" i="7"/>
  <c r="F153" i="7"/>
  <c r="F154" i="7"/>
  <c r="F155" i="7"/>
  <c r="F110" i="7"/>
  <c r="Q128" i="7"/>
  <c r="Q121" i="7"/>
  <c r="Q109" i="7"/>
  <c r="Q120" i="7" s="1"/>
  <c r="Q122" i="7" s="1"/>
  <c r="Q57" i="7"/>
  <c r="Q86" i="7"/>
  <c r="Q85" i="7"/>
  <c r="K31" i="11" s="1"/>
  <c r="Q76" i="7"/>
  <c r="Q69" i="7"/>
  <c r="I59" i="7"/>
  <c r="I60" i="7"/>
  <c r="I61" i="7"/>
  <c r="I62" i="7"/>
  <c r="I63" i="7"/>
  <c r="I64" i="7"/>
  <c r="I65" i="7"/>
  <c r="I66" i="7"/>
  <c r="I67" i="7"/>
  <c r="I68" i="7"/>
  <c r="I69" i="7"/>
  <c r="I70" i="7"/>
  <c r="I71" i="7"/>
  <c r="I73" i="7"/>
  <c r="I74" i="7"/>
  <c r="I75" i="7"/>
  <c r="I76" i="7"/>
  <c r="I77" i="7"/>
  <c r="I78" i="7"/>
  <c r="I79" i="7"/>
  <c r="I80" i="7"/>
  <c r="I81" i="7"/>
  <c r="I82" i="7"/>
  <c r="I83" i="7"/>
  <c r="I84" i="7"/>
  <c r="I85" i="7"/>
  <c r="I86" i="7"/>
  <c r="I87" i="7"/>
  <c r="I88" i="7"/>
  <c r="I89" i="7"/>
  <c r="I90" i="7"/>
  <c r="I91" i="7"/>
  <c r="I92" i="7"/>
  <c r="I93" i="7"/>
  <c r="I94" i="7"/>
  <c r="I95" i="7"/>
  <c r="I96" i="7"/>
  <c r="I97" i="7"/>
  <c r="I98" i="7"/>
  <c r="I99" i="7"/>
  <c r="I100" i="7"/>
  <c r="I101" i="7"/>
  <c r="I102" i="7"/>
  <c r="I103" i="7"/>
  <c r="H59" i="7"/>
  <c r="H60" i="7"/>
  <c r="H61" i="7"/>
  <c r="H62" i="7"/>
  <c r="H63" i="7"/>
  <c r="H64" i="7"/>
  <c r="H65" i="7"/>
  <c r="H66" i="7"/>
  <c r="H67" i="7"/>
  <c r="H68" i="7"/>
  <c r="H69" i="7"/>
  <c r="H70" i="7"/>
  <c r="H71" i="7"/>
  <c r="H72" i="7"/>
  <c r="H73" i="7"/>
  <c r="H74" i="7"/>
  <c r="H75" i="7"/>
  <c r="H76" i="7"/>
  <c r="H77" i="7"/>
  <c r="H78" i="7"/>
  <c r="H79" i="7"/>
  <c r="H80" i="7"/>
  <c r="H81" i="7"/>
  <c r="H82" i="7"/>
  <c r="H83" i="7"/>
  <c r="H84" i="7"/>
  <c r="H85" i="7"/>
  <c r="H86" i="7"/>
  <c r="H87" i="7"/>
  <c r="H88" i="7"/>
  <c r="H89" i="7"/>
  <c r="H90" i="7"/>
  <c r="H91" i="7"/>
  <c r="H92" i="7"/>
  <c r="H93" i="7"/>
  <c r="H94" i="7"/>
  <c r="H95" i="7"/>
  <c r="H96" i="7"/>
  <c r="H97" i="7"/>
  <c r="H98" i="7"/>
  <c r="H99" i="7"/>
  <c r="H100" i="7"/>
  <c r="H101" i="7"/>
  <c r="H102" i="7"/>
  <c r="H103" i="7"/>
  <c r="H58" i="7"/>
  <c r="G59" i="7"/>
  <c r="G60" i="7"/>
  <c r="G61" i="7"/>
  <c r="G62" i="7"/>
  <c r="G63" i="7"/>
  <c r="G64" i="7"/>
  <c r="G65" i="7"/>
  <c r="G66" i="7"/>
  <c r="G67" i="7"/>
  <c r="G68" i="7"/>
  <c r="G69" i="7"/>
  <c r="G70" i="7"/>
  <c r="G71" i="7"/>
  <c r="G73" i="7"/>
  <c r="G74" i="7"/>
  <c r="G75" i="7"/>
  <c r="G76" i="7"/>
  <c r="G77" i="7"/>
  <c r="G78" i="7"/>
  <c r="G79" i="7"/>
  <c r="G81" i="7"/>
  <c r="G82" i="7"/>
  <c r="G83" i="7"/>
  <c r="G84" i="7"/>
  <c r="G85" i="7"/>
  <c r="G86" i="7"/>
  <c r="G87" i="7"/>
  <c r="G88" i="7"/>
  <c r="G89" i="7"/>
  <c r="G90" i="7"/>
  <c r="G91" i="7"/>
  <c r="G92" i="7"/>
  <c r="G93" i="7"/>
  <c r="G94" i="7"/>
  <c r="G95" i="7"/>
  <c r="G96" i="7"/>
  <c r="G97" i="7"/>
  <c r="G98" i="7"/>
  <c r="G99" i="7"/>
  <c r="G100" i="7"/>
  <c r="G101" i="7"/>
  <c r="G102" i="7"/>
  <c r="G103" i="7"/>
  <c r="G58" i="7"/>
  <c r="T212" i="15"/>
  <c r="S212" i="15"/>
  <c r="R212" i="15"/>
  <c r="X211" i="15"/>
  <c r="B211" i="15"/>
  <c r="S209" i="15"/>
  <c r="R209" i="15"/>
  <c r="S207" i="15"/>
  <c r="W205" i="15"/>
  <c r="S203" i="15"/>
  <c r="R203" i="15"/>
  <c r="B202" i="15"/>
  <c r="S201" i="15"/>
  <c r="R201" i="15"/>
  <c r="N199" i="15"/>
  <c r="M199" i="15"/>
  <c r="L199" i="15"/>
  <c r="K199" i="15"/>
  <c r="J199" i="15"/>
  <c r="I199" i="15"/>
  <c r="H199" i="15"/>
  <c r="O198" i="15"/>
  <c r="W193" i="15"/>
  <c r="S192" i="15"/>
  <c r="E191" i="15"/>
  <c r="N190" i="15"/>
  <c r="M190" i="15"/>
  <c r="L190" i="15"/>
  <c r="K190" i="15"/>
  <c r="J215" i="15"/>
  <c r="C215" i="15"/>
  <c r="H210" i="15"/>
  <c r="B210" i="15"/>
  <c r="E208" i="15"/>
  <c r="K194" i="15"/>
  <c r="J161" i="15"/>
  <c r="G123" i="7" s="1"/>
  <c r="C161" i="15"/>
  <c r="G115" i="7" s="1"/>
  <c r="H156" i="15"/>
  <c r="B156" i="15"/>
  <c r="E154" i="15"/>
  <c r="K140" i="15"/>
  <c r="T158" i="15"/>
  <c r="S158" i="15"/>
  <c r="R158" i="15"/>
  <c r="X157" i="15"/>
  <c r="B157" i="15"/>
  <c r="S155" i="15"/>
  <c r="R155" i="15"/>
  <c r="S153" i="15"/>
  <c r="W151" i="15"/>
  <c r="S149" i="15"/>
  <c r="R149" i="15"/>
  <c r="B148" i="15"/>
  <c r="S147" i="15"/>
  <c r="R147" i="15"/>
  <c r="N145" i="15"/>
  <c r="M145" i="15"/>
  <c r="L145" i="15"/>
  <c r="K145" i="15"/>
  <c r="J145" i="15"/>
  <c r="I145" i="15"/>
  <c r="H145" i="15"/>
  <c r="O144" i="15"/>
  <c r="W139" i="15"/>
  <c r="S138" i="15"/>
  <c r="E137" i="15"/>
  <c r="N136" i="15"/>
  <c r="M136" i="15"/>
  <c r="L136" i="15"/>
  <c r="K136" i="15"/>
  <c r="T104" i="15"/>
  <c r="S104" i="15"/>
  <c r="R104" i="15"/>
  <c r="X103" i="15"/>
  <c r="B103" i="15"/>
  <c r="S101" i="15"/>
  <c r="R101" i="15"/>
  <c r="S99" i="15"/>
  <c r="W97" i="15"/>
  <c r="S95" i="15"/>
  <c r="R95" i="15"/>
  <c r="B94" i="15"/>
  <c r="S93" i="15"/>
  <c r="R93" i="15"/>
  <c r="N91" i="15"/>
  <c r="M91" i="15"/>
  <c r="L91" i="15"/>
  <c r="K91" i="15"/>
  <c r="J91" i="15"/>
  <c r="I91" i="15"/>
  <c r="H91" i="15"/>
  <c r="O90" i="15"/>
  <c r="W85" i="15"/>
  <c r="S84" i="15"/>
  <c r="E83" i="15"/>
  <c r="N82" i="15"/>
  <c r="M82" i="15"/>
  <c r="L82" i="15"/>
  <c r="K82" i="15"/>
  <c r="J107" i="15"/>
  <c r="C107" i="15"/>
  <c r="H102" i="15"/>
  <c r="B102" i="15"/>
  <c r="E100" i="15"/>
  <c r="K86" i="15"/>
  <c r="G72" i="7" s="1"/>
  <c r="F59" i="7"/>
  <c r="F60" i="7"/>
  <c r="F61" i="7"/>
  <c r="F63" i="7"/>
  <c r="F64" i="7"/>
  <c r="F65" i="7"/>
  <c r="F66" i="7"/>
  <c r="F69" i="7"/>
  <c r="F70" i="7"/>
  <c r="F71" i="7"/>
  <c r="F72" i="7"/>
  <c r="F73" i="7"/>
  <c r="F74" i="7"/>
  <c r="F75" i="7"/>
  <c r="F76" i="7"/>
  <c r="F77" i="7"/>
  <c r="F78" i="7"/>
  <c r="F79" i="7"/>
  <c r="F81" i="7"/>
  <c r="F82" i="7"/>
  <c r="F83" i="7"/>
  <c r="F84" i="7"/>
  <c r="F85" i="7"/>
  <c r="F86" i="7"/>
  <c r="F87" i="7"/>
  <c r="F88" i="7"/>
  <c r="F89" i="7"/>
  <c r="F90" i="7"/>
  <c r="F91" i="7"/>
  <c r="F92" i="7"/>
  <c r="F93" i="7"/>
  <c r="F94" i="7"/>
  <c r="F95" i="7"/>
  <c r="F96" i="7"/>
  <c r="F97" i="7"/>
  <c r="F98" i="7"/>
  <c r="F99" i="7"/>
  <c r="F101" i="7"/>
  <c r="F102" i="7"/>
  <c r="F103" i="7"/>
  <c r="F58" i="7"/>
  <c r="BL258" i="14"/>
  <c r="AB258" i="14"/>
  <c r="L258" i="14"/>
  <c r="D258" i="14"/>
  <c r="CF253" i="14"/>
  <c r="BM253" i="14"/>
  <c r="BL253" i="14"/>
  <c r="BK253" i="14"/>
  <c r="BI253" i="14"/>
  <c r="BD253" i="14"/>
  <c r="AS253" i="14"/>
  <c r="AQ253" i="14"/>
  <c r="AP253" i="14"/>
  <c r="AH253" i="14"/>
  <c r="AB253" i="14"/>
  <c r="U253" i="14"/>
  <c r="P253" i="14"/>
  <c r="O253" i="14"/>
  <c r="L253" i="14"/>
  <c r="D253" i="14"/>
  <c r="B253" i="14"/>
  <c r="AR240" i="14"/>
  <c r="BH224" i="14"/>
  <c r="AO224" i="14"/>
  <c r="X224" i="14"/>
  <c r="C224" i="14"/>
  <c r="CL223" i="14"/>
  <c r="BY223" i="14"/>
  <c r="BW223" i="14"/>
  <c r="AZ223" i="14"/>
  <c r="F172" i="7" s="1"/>
  <c r="AY223" i="14"/>
  <c r="AU223" i="14"/>
  <c r="AM223" i="14"/>
  <c r="AK223" i="14"/>
  <c r="AF223" i="14"/>
  <c r="W223" i="14"/>
  <c r="M223" i="14"/>
  <c r="H223" i="14"/>
  <c r="G223" i="14"/>
  <c r="B223" i="14"/>
  <c r="CO222" i="14"/>
  <c r="BP222" i="14"/>
  <c r="Z222" i="14"/>
  <c r="S222" i="14"/>
  <c r="P222" i="14"/>
  <c r="CQ221" i="14"/>
  <c r="CO221" i="14"/>
  <c r="BP221" i="14"/>
  <c r="AR221" i="14"/>
  <c r="AA221" i="14"/>
  <c r="AM220" i="14"/>
  <c r="CR219" i="14"/>
  <c r="CN219" i="14"/>
  <c r="CD219" i="14"/>
  <c r="BV219" i="14"/>
  <c r="AT219" i="14"/>
  <c r="AM219" i="14"/>
  <c r="AD219" i="14"/>
  <c r="CR218" i="14"/>
  <c r="CQ218" i="14"/>
  <c r="CN218" i="14"/>
  <c r="CE218" i="14"/>
  <c r="CD218" i="14"/>
  <c r="BP218" i="14"/>
  <c r="AT218" i="14"/>
  <c r="AM218" i="14"/>
  <c r="AJ218" i="14"/>
  <c r="AD218" i="14"/>
  <c r="BK217" i="14"/>
  <c r="CA215" i="14"/>
  <c r="BO215" i="14"/>
  <c r="BT214" i="14"/>
  <c r="BO214" i="14"/>
  <c r="BJ214" i="14"/>
  <c r="BI214" i="14"/>
  <c r="BT213" i="14"/>
  <c r="BO213" i="14"/>
  <c r="BJ213" i="14"/>
  <c r="BI213" i="14"/>
  <c r="BT212" i="14"/>
  <c r="BO212" i="14"/>
  <c r="BJ212" i="14"/>
  <c r="BI212" i="14"/>
  <c r="BT211" i="14"/>
  <c r="BO211" i="14"/>
  <c r="BJ211" i="14"/>
  <c r="BI211" i="14"/>
  <c r="BT210" i="14"/>
  <c r="BO210" i="14"/>
  <c r="BJ210" i="14"/>
  <c r="BI210" i="14"/>
  <c r="BT209" i="14"/>
  <c r="BO209" i="14"/>
  <c r="BJ209" i="14"/>
  <c r="BI209" i="14"/>
  <c r="V207" i="14"/>
  <c r="CC206" i="14"/>
  <c r="CP205" i="14"/>
  <c r="BR205" i="14"/>
  <c r="BG205" i="14"/>
  <c r="AW205" i="14"/>
  <c r="AP205" i="14"/>
  <c r="AE205" i="14"/>
  <c r="U205" i="14"/>
  <c r="N205" i="14"/>
  <c r="I205" i="14"/>
  <c r="AL204" i="14"/>
  <c r="Y204" i="14"/>
  <c r="AX203" i="14"/>
  <c r="AG203" i="14"/>
  <c r="J203" i="14"/>
  <c r="D203" i="14"/>
  <c r="CS202" i="14"/>
  <c r="CK202" i="14"/>
  <c r="CI202" i="14"/>
  <c r="CH202" i="14"/>
  <c r="CG202" i="14"/>
  <c r="CA202" i="14"/>
  <c r="BX202" i="14"/>
  <c r="BV202" i="14"/>
  <c r="BO202" i="14"/>
  <c r="BN202" i="14"/>
  <c r="BH202" i="14"/>
  <c r="BF202" i="14"/>
  <c r="BE202" i="14"/>
  <c r="BB202" i="14"/>
  <c r="AX202" i="14"/>
  <c r="AQ202" i="14"/>
  <c r="AO202" i="14"/>
  <c r="AM202" i="14"/>
  <c r="AI202" i="14"/>
  <c r="AG202" i="14"/>
  <c r="AE202" i="14"/>
  <c r="X202" i="14"/>
  <c r="W202" i="14"/>
  <c r="T202" i="14"/>
  <c r="N202" i="14"/>
  <c r="J202" i="14"/>
  <c r="F202" i="14"/>
  <c r="E202" i="14"/>
  <c r="C202" i="14"/>
  <c r="CE219" i="14"/>
  <c r="AZ157" i="14"/>
  <c r="W157" i="14"/>
  <c r="G157" i="14"/>
  <c r="S156" i="14"/>
  <c r="CD153" i="14"/>
  <c r="AD153" i="14"/>
  <c r="CD152" i="14"/>
  <c r="AD152" i="14"/>
  <c r="BT148" i="14"/>
  <c r="BJ148" i="14"/>
  <c r="BT147" i="14"/>
  <c r="BJ147" i="14"/>
  <c r="BT146" i="14"/>
  <c r="BJ146" i="14"/>
  <c r="BT145" i="14"/>
  <c r="BJ145" i="14"/>
  <c r="BT144" i="14"/>
  <c r="BJ144" i="14"/>
  <c r="BT143" i="14"/>
  <c r="BJ143" i="14"/>
  <c r="CP139" i="14"/>
  <c r="BR139" i="14"/>
  <c r="AW139" i="14"/>
  <c r="AE139" i="14"/>
  <c r="N139" i="14"/>
  <c r="I139" i="14"/>
  <c r="AX137" i="14"/>
  <c r="J137" i="14"/>
  <c r="CH136" i="14"/>
  <c r="CG136" i="14"/>
  <c r="BX136" i="14"/>
  <c r="BH136" i="14"/>
  <c r="BB136" i="14"/>
  <c r="AX136" i="14"/>
  <c r="AO136" i="14"/>
  <c r="AI136" i="14"/>
  <c r="AE136" i="14"/>
  <c r="X136" i="14"/>
  <c r="W136" i="14"/>
  <c r="T136" i="14"/>
  <c r="N136" i="14"/>
  <c r="J136" i="14"/>
  <c r="C136" i="14"/>
  <c r="BL192" i="14"/>
  <c r="AB192" i="14"/>
  <c r="L192" i="14"/>
  <c r="D192" i="14"/>
  <c r="CF187" i="14"/>
  <c r="BM187" i="14"/>
  <c r="BL187" i="14"/>
  <c r="BK187" i="14"/>
  <c r="BI187" i="14"/>
  <c r="BD187" i="14"/>
  <c r="K22" i="11" s="1"/>
  <c r="AS187" i="14"/>
  <c r="AQ187" i="14"/>
  <c r="AP187" i="14"/>
  <c r="AH187" i="14"/>
  <c r="AB187" i="14"/>
  <c r="U187" i="14"/>
  <c r="P187" i="14"/>
  <c r="O187" i="14"/>
  <c r="L187" i="14"/>
  <c r="D187" i="14"/>
  <c r="B187" i="14"/>
  <c r="AR174" i="14"/>
  <c r="BH158" i="14"/>
  <c r="AO158" i="14"/>
  <c r="X158" i="14"/>
  <c r="C158" i="14"/>
  <c r="CL157" i="14"/>
  <c r="BY157" i="14"/>
  <c r="BW157" i="14"/>
  <c r="AY157" i="14"/>
  <c r="AU157" i="14"/>
  <c r="F120" i="7" s="1"/>
  <c r="AM157" i="14"/>
  <c r="AK157" i="14"/>
  <c r="AF157" i="14"/>
  <c r="M157" i="14"/>
  <c r="H157" i="14"/>
  <c r="B157" i="14"/>
  <c r="CO156" i="14"/>
  <c r="BP156" i="14"/>
  <c r="Z156" i="14"/>
  <c r="P156" i="14"/>
  <c r="CQ155" i="14"/>
  <c r="CO155" i="14"/>
  <c r="BP155" i="14"/>
  <c r="AR155" i="14"/>
  <c r="AA155" i="14"/>
  <c r="AM154" i="14"/>
  <c r="CR153" i="14"/>
  <c r="CN153" i="14"/>
  <c r="BV153" i="14"/>
  <c r="AT153" i="14"/>
  <c r="AM153" i="14"/>
  <c r="CR152" i="14"/>
  <c r="CQ152" i="14"/>
  <c r="CN152" i="14"/>
  <c r="CE152" i="14"/>
  <c r="BP152" i="14"/>
  <c r="AT152" i="14"/>
  <c r="AM152" i="14"/>
  <c r="AJ152" i="14"/>
  <c r="BK151" i="14"/>
  <c r="CA149" i="14"/>
  <c r="BO149" i="14"/>
  <c r="BO148" i="14"/>
  <c r="BI148" i="14"/>
  <c r="BO147" i="14"/>
  <c r="BI147" i="14"/>
  <c r="BO146" i="14"/>
  <c r="BI146" i="14"/>
  <c r="BO145" i="14"/>
  <c r="BI145" i="14"/>
  <c r="BO144" i="14"/>
  <c r="BI144" i="14"/>
  <c r="BO143" i="14"/>
  <c r="BI143" i="14"/>
  <c r="V141" i="14"/>
  <c r="CC140" i="14"/>
  <c r="BG139" i="14"/>
  <c r="AP139" i="14"/>
  <c r="U139" i="14"/>
  <c r="AL138" i="14"/>
  <c r="Y138" i="14"/>
  <c r="AG137" i="14"/>
  <c r="D137" i="14"/>
  <c r="CS136" i="14"/>
  <c r="CK136" i="14"/>
  <c r="CI136" i="14"/>
  <c r="CA136" i="14"/>
  <c r="BV136" i="14"/>
  <c r="BO136" i="14"/>
  <c r="BN136" i="14"/>
  <c r="BF136" i="14"/>
  <c r="BE136" i="14"/>
  <c r="AQ136" i="14"/>
  <c r="AM136" i="14"/>
  <c r="AG136" i="14"/>
  <c r="F136" i="14"/>
  <c r="E136" i="14"/>
  <c r="CE153" i="14"/>
  <c r="CL91" i="14"/>
  <c r="BY91" i="14"/>
  <c r="BW91" i="14"/>
  <c r="AY91" i="14"/>
  <c r="AU91" i="14"/>
  <c r="AK91" i="14"/>
  <c r="AF91" i="14"/>
  <c r="F68" i="7" s="1"/>
  <c r="M91" i="14"/>
  <c r="H91" i="14"/>
  <c r="BP90" i="14"/>
  <c r="CQ89" i="14"/>
  <c r="BP89" i="14"/>
  <c r="AM88" i="14"/>
  <c r="CR87" i="14"/>
  <c r="CN87" i="14"/>
  <c r="BV87" i="14"/>
  <c r="AM87" i="14"/>
  <c r="CR86" i="14"/>
  <c r="CQ86" i="14"/>
  <c r="CN86" i="14"/>
  <c r="BP86" i="14"/>
  <c r="AM86" i="14"/>
  <c r="CA83" i="14"/>
  <c r="BO83" i="14"/>
  <c r="BO82" i="14"/>
  <c r="BO81" i="14"/>
  <c r="BO80" i="14"/>
  <c r="BO79" i="14"/>
  <c r="BO78" i="14"/>
  <c r="BO77" i="14"/>
  <c r="V75" i="14"/>
  <c r="F67" i="7" s="1"/>
  <c r="BG73" i="14"/>
  <c r="CK70" i="14"/>
  <c r="CI70" i="14"/>
  <c r="CA70" i="14"/>
  <c r="BV70" i="14"/>
  <c r="BO70" i="14"/>
  <c r="BN70" i="14"/>
  <c r="BH70" i="14"/>
  <c r="BF70" i="14"/>
  <c r="BE70" i="14"/>
  <c r="AO70" i="14"/>
  <c r="AM70" i="14"/>
  <c r="AG70" i="14"/>
  <c r="X70" i="14"/>
  <c r="F70" i="14"/>
  <c r="E70" i="14"/>
  <c r="C70" i="14"/>
  <c r="AZ91" i="14"/>
  <c r="W91" i="14"/>
  <c r="G91" i="14"/>
  <c r="S90" i="14"/>
  <c r="CD87" i="14"/>
  <c r="AD87" i="14"/>
  <c r="CD86" i="14"/>
  <c r="AD86" i="14"/>
  <c r="BT82" i="14"/>
  <c r="BJ82" i="14"/>
  <c r="BT81" i="14"/>
  <c r="BJ81" i="14"/>
  <c r="BT80" i="14"/>
  <c r="BJ80" i="14"/>
  <c r="BT79" i="14"/>
  <c r="BJ79" i="14"/>
  <c r="BT78" i="14"/>
  <c r="BJ78" i="14"/>
  <c r="BT77" i="14"/>
  <c r="BJ77" i="14"/>
  <c r="CP73" i="14"/>
  <c r="BR73" i="14"/>
  <c r="AW73" i="14"/>
  <c r="AE73" i="14"/>
  <c r="N73" i="14"/>
  <c r="I73" i="14"/>
  <c r="AX71" i="14"/>
  <c r="J71" i="14"/>
  <c r="CH70" i="14"/>
  <c r="CG70" i="14"/>
  <c r="BX70" i="14"/>
  <c r="BB70" i="14"/>
  <c r="AX70" i="14"/>
  <c r="AI70" i="14"/>
  <c r="AE70" i="14"/>
  <c r="W70" i="14"/>
  <c r="T70" i="14"/>
  <c r="N70" i="14"/>
  <c r="J70" i="14"/>
  <c r="BL126" i="14"/>
  <c r="AB126" i="14"/>
  <c r="L126" i="14"/>
  <c r="D126" i="14"/>
  <c r="CF121" i="14"/>
  <c r="BM121" i="14"/>
  <c r="BL121" i="14"/>
  <c r="BK121" i="14"/>
  <c r="BI121" i="14"/>
  <c r="BD121" i="14"/>
  <c r="AS121" i="14"/>
  <c r="AQ121" i="14"/>
  <c r="AP121" i="14"/>
  <c r="AH121" i="14"/>
  <c r="AB121" i="14"/>
  <c r="U121" i="14"/>
  <c r="P121" i="14"/>
  <c r="O121" i="14"/>
  <c r="L121" i="14"/>
  <c r="D121" i="14"/>
  <c r="B121" i="14"/>
  <c r="F100" i="7"/>
  <c r="AR108" i="14"/>
  <c r="BH92" i="14"/>
  <c r="AO92" i="14"/>
  <c r="X92" i="14"/>
  <c r="C92" i="14"/>
  <c r="AM91" i="14"/>
  <c r="B91" i="14"/>
  <c r="CO90" i="14"/>
  <c r="Z90" i="14"/>
  <c r="F80" i="7" s="1"/>
  <c r="P90" i="14"/>
  <c r="CO89" i="14"/>
  <c r="AR89" i="14"/>
  <c r="AA89" i="14"/>
  <c r="AT87" i="14"/>
  <c r="CE86" i="14"/>
  <c r="AT86" i="14"/>
  <c r="AJ86" i="14"/>
  <c r="BK85" i="14"/>
  <c r="BI82" i="14"/>
  <c r="BI81" i="14"/>
  <c r="BI80" i="14"/>
  <c r="BI79" i="14"/>
  <c r="BI78" i="14"/>
  <c r="BI77" i="14"/>
  <c r="CC74" i="14"/>
  <c r="AP73" i="14"/>
  <c r="U73" i="14"/>
  <c r="AL72" i="14"/>
  <c r="Y72" i="14"/>
  <c r="AG71" i="14"/>
  <c r="D71" i="14"/>
  <c r="CS70" i="14"/>
  <c r="AQ70" i="14"/>
  <c r="CE87" i="14"/>
  <c r="CE20" i="14"/>
  <c r="A5" i="11"/>
  <c r="K4" i="11" s="1"/>
  <c r="A4" i="11"/>
  <c r="A3" i="11"/>
  <c r="Q34" i="7"/>
  <c r="J32" i="11" s="1"/>
  <c r="Q33" i="7"/>
  <c r="J31" i="11" s="1"/>
  <c r="Q5" i="7"/>
  <c r="Q24" i="7"/>
  <c r="Q17" i="7"/>
  <c r="G7" i="7"/>
  <c r="G8" i="7"/>
  <c r="G9" i="7"/>
  <c r="G10" i="7"/>
  <c r="G12" i="7"/>
  <c r="G14" i="7"/>
  <c r="G15" i="7"/>
  <c r="G16" i="7"/>
  <c r="G17" i="7"/>
  <c r="G18" i="7"/>
  <c r="G20" i="7"/>
  <c r="G21" i="7"/>
  <c r="G22" i="7"/>
  <c r="G23" i="7"/>
  <c r="G26" i="7"/>
  <c r="G27" i="7"/>
  <c r="G29" i="7"/>
  <c r="G30" i="7"/>
  <c r="G31" i="7"/>
  <c r="G32" i="7"/>
  <c r="G33" i="7"/>
  <c r="G34" i="7"/>
  <c r="G35" i="7"/>
  <c r="G36" i="7"/>
  <c r="G37" i="7"/>
  <c r="G38" i="7"/>
  <c r="G39" i="7"/>
  <c r="G40" i="7"/>
  <c r="G41" i="7"/>
  <c r="G42" i="7"/>
  <c r="G43" i="7"/>
  <c r="G44" i="7"/>
  <c r="G45" i="7"/>
  <c r="G46" i="7"/>
  <c r="G47" i="7"/>
  <c r="G48" i="7"/>
  <c r="G49" i="7"/>
  <c r="G50" i="7"/>
  <c r="G51" i="7"/>
  <c r="G6" i="7"/>
  <c r="F40" i="7"/>
  <c r="H40" i="7"/>
  <c r="I40" i="7"/>
  <c r="F41" i="7"/>
  <c r="H41" i="7"/>
  <c r="I41" i="7"/>
  <c r="T50" i="15"/>
  <c r="S50" i="15"/>
  <c r="R50" i="15"/>
  <c r="X49" i="15"/>
  <c r="B49" i="15"/>
  <c r="S47" i="15"/>
  <c r="G25" i="7" s="1"/>
  <c r="R47" i="15"/>
  <c r="G24" i="7" s="1"/>
  <c r="S45" i="15"/>
  <c r="W43" i="15"/>
  <c r="S41" i="15"/>
  <c r="R41" i="15"/>
  <c r="B40" i="15"/>
  <c r="S39" i="15"/>
  <c r="R39" i="15"/>
  <c r="N37" i="15"/>
  <c r="M37" i="15"/>
  <c r="L37" i="15"/>
  <c r="K37" i="15"/>
  <c r="J37" i="15"/>
  <c r="I37" i="15"/>
  <c r="H37" i="15"/>
  <c r="O36" i="15"/>
  <c r="W31" i="15"/>
  <c r="S30" i="15"/>
  <c r="E29" i="15"/>
  <c r="N28" i="15"/>
  <c r="M28" i="15"/>
  <c r="L28" i="15"/>
  <c r="K28" i="15"/>
  <c r="J53" i="15"/>
  <c r="G19" i="7" s="1"/>
  <c r="C53" i="15"/>
  <c r="G11" i="7" s="1"/>
  <c r="H48" i="15"/>
  <c r="B48" i="15"/>
  <c r="E46" i="15"/>
  <c r="G13" i="7" s="1"/>
  <c r="K32" i="15"/>
  <c r="AH21" i="6" l="1"/>
  <c r="AI21" i="6"/>
  <c r="O21" i="6"/>
  <c r="H21" i="6"/>
  <c r="H13" i="6" s="1"/>
  <c r="H239" i="6" s="1"/>
  <c r="K21" i="6"/>
  <c r="K11" i="6" s="1"/>
  <c r="K236" i="6" s="1"/>
  <c r="T21" i="6"/>
  <c r="I21" i="6"/>
  <c r="I12" i="6" s="1"/>
  <c r="I235" i="6" s="1"/>
  <c r="N21" i="6"/>
  <c r="U21" i="6"/>
  <c r="K2" i="11"/>
  <c r="AF76" i="6"/>
  <c r="AE76" i="6"/>
  <c r="Y76" i="6"/>
  <c r="AC76" i="6"/>
  <c r="X76" i="6"/>
  <c r="I58" i="7"/>
  <c r="AD76" i="6"/>
  <c r="Z76" i="6"/>
  <c r="AA76" i="6"/>
  <c r="AB76" i="6"/>
  <c r="K14" i="6"/>
  <c r="K242" i="6" s="1"/>
  <c r="K12" i="6"/>
  <c r="K235" i="6" s="1"/>
  <c r="K13" i="6"/>
  <c r="K239" i="6" s="1"/>
  <c r="Q68" i="7"/>
  <c r="Q70" i="7" s="1"/>
  <c r="J44" i="11" s="1"/>
  <c r="U63" i="7" a="1"/>
  <c r="U63" i="7" s="1"/>
  <c r="Q77" i="7" s="1"/>
  <c r="U62" i="7" a="1"/>
  <c r="U62" i="7" s="1"/>
  <c r="Q79" i="7" s="1"/>
  <c r="U64" i="7" a="1"/>
  <c r="U64" i="7" s="1"/>
  <c r="Q78" i="7" s="1"/>
  <c r="AN13" i="14"/>
  <c r="AN146" i="14"/>
  <c r="AN12" i="14"/>
  <c r="AN145" i="14"/>
  <c r="AN11" i="14"/>
  <c r="AN144" i="14"/>
  <c r="AN10" i="14"/>
  <c r="AN143" i="14"/>
  <c r="AN82" i="14"/>
  <c r="AN209" i="14"/>
  <c r="AN81" i="14"/>
  <c r="AN210" i="14" a="1"/>
  <c r="AN210" i="14" s="1"/>
  <c r="AN212" i="14" a="1"/>
  <c r="AN212" i="14" s="1"/>
  <c r="AN80" i="14"/>
  <c r="AN211" i="14" a="1"/>
  <c r="AN211" i="14" s="1"/>
  <c r="AN79" i="14"/>
  <c r="AN14" i="14"/>
  <c r="AN78" i="14"/>
  <c r="AN213" i="14" a="1"/>
  <c r="AN213" i="14" s="1"/>
  <c r="AN77" i="14"/>
  <c r="AN214" i="14" a="1"/>
  <c r="AN214" i="14" s="1"/>
  <c r="AN147" i="14"/>
  <c r="AN15" i="14"/>
  <c r="AN148" i="14"/>
  <c r="V30" i="11"/>
  <c r="J39" i="11"/>
  <c r="U30" i="11"/>
  <c r="J38" i="11"/>
  <c r="K38" i="11"/>
  <c r="U31" i="11"/>
  <c r="Q16" i="7"/>
  <c r="Q18" i="7" s="1"/>
  <c r="J43" i="11" s="1"/>
  <c r="U10" i="7" a="1"/>
  <c r="U10" i="7" s="1"/>
  <c r="Q27" i="7" s="1"/>
  <c r="U12" i="7" a="1"/>
  <c r="U12" i="7" s="1"/>
  <c r="Q26" i="7" s="1"/>
  <c r="U11" i="7" a="1"/>
  <c r="U11" i="7" s="1"/>
  <c r="Q25" i="7" s="1"/>
  <c r="K169" i="7"/>
  <c r="AG13" i="7" s="1"/>
  <c r="K117" i="7"/>
  <c r="K171" i="7"/>
  <c r="AG15" i="7" s="1"/>
  <c r="K119" i="7"/>
  <c r="K164" i="7"/>
  <c r="AG8" i="7" s="1"/>
  <c r="K165" i="7"/>
  <c r="K202" i="7"/>
  <c r="AG46" i="7" s="1"/>
  <c r="K190" i="7"/>
  <c r="AG34" i="7" s="1"/>
  <c r="K178" i="7"/>
  <c r="AG22" i="7" s="1"/>
  <c r="K177" i="7"/>
  <c r="AG21" i="7" s="1"/>
  <c r="K200" i="7"/>
  <c r="AG44" i="7" s="1"/>
  <c r="K188" i="7"/>
  <c r="AG32" i="7" s="1"/>
  <c r="K176" i="7"/>
  <c r="AG20" i="7" s="1"/>
  <c r="K189" i="7"/>
  <c r="AG33" i="7" s="1"/>
  <c r="K199" i="7"/>
  <c r="AG43" i="7" s="1"/>
  <c r="K187" i="7"/>
  <c r="AG31" i="7" s="1"/>
  <c r="K175" i="7"/>
  <c r="AG19" i="7" s="1"/>
  <c r="K198" i="7"/>
  <c r="AG42" i="7" s="1"/>
  <c r="K186" i="7"/>
  <c r="AG30" i="7" s="1"/>
  <c r="K174" i="7"/>
  <c r="AG18" i="7" s="1"/>
  <c r="K197" i="7"/>
  <c r="K185" i="7"/>
  <c r="AG29" i="7" s="1"/>
  <c r="K173" i="7"/>
  <c r="AG17" i="7" s="1"/>
  <c r="K196" i="7"/>
  <c r="K172" i="7"/>
  <c r="AG16" i="7" s="1"/>
  <c r="K207" i="7"/>
  <c r="AG51" i="7" s="1"/>
  <c r="K195" i="7"/>
  <c r="AG39" i="7" s="1"/>
  <c r="K183" i="7"/>
  <c r="AG27" i="7" s="1"/>
  <c r="K201" i="7"/>
  <c r="AG45" i="7" s="1"/>
  <c r="K206" i="7"/>
  <c r="AG50" i="7" s="1"/>
  <c r="K194" i="7"/>
  <c r="AG38" i="7" s="1"/>
  <c r="K182" i="7"/>
  <c r="AG26" i="7" s="1"/>
  <c r="K170" i="7"/>
  <c r="AG14" i="7" s="1"/>
  <c r="K205" i="7"/>
  <c r="AG49" i="7" s="1"/>
  <c r="K193" i="7"/>
  <c r="AG37" i="7" s="1"/>
  <c r="K181" i="7"/>
  <c r="AG25" i="7" s="1"/>
  <c r="K204" i="7"/>
  <c r="AG48" i="7" s="1"/>
  <c r="K192" i="7"/>
  <c r="AG36" i="7" s="1"/>
  <c r="K180" i="7"/>
  <c r="AG24" i="7" s="1"/>
  <c r="K168" i="7"/>
  <c r="AG12" i="7" s="1"/>
  <c r="K203" i="7"/>
  <c r="AG47" i="7" s="1"/>
  <c r="K191" i="7"/>
  <c r="AG35" i="7" s="1"/>
  <c r="K179" i="7"/>
  <c r="AG23" i="7" s="1"/>
  <c r="K167" i="7"/>
  <c r="AG11" i="7" s="1"/>
  <c r="K163" i="7"/>
  <c r="AG7" i="7" s="1"/>
  <c r="K162" i="7"/>
  <c r="AG6" i="7" s="1"/>
  <c r="K112" i="7"/>
  <c r="AF8" i="7" s="1"/>
  <c r="K24" i="6" s="1"/>
  <c r="K135" i="6" s="1"/>
  <c r="K114" i="7"/>
  <c r="AF10" i="7" s="1"/>
  <c r="K26" i="6" s="1"/>
  <c r="K137" i="6" s="1"/>
  <c r="K150" i="7"/>
  <c r="AF46" i="7" s="1"/>
  <c r="K62" i="6" s="1"/>
  <c r="K173" i="6" s="1"/>
  <c r="K138" i="7"/>
  <c r="AF34" i="7" s="1"/>
  <c r="K50" i="6" s="1"/>
  <c r="K161" i="6" s="1"/>
  <c r="K126" i="7"/>
  <c r="K149" i="7"/>
  <c r="AF45" i="7" s="1"/>
  <c r="K61" i="6" s="1"/>
  <c r="K172" i="6" s="1"/>
  <c r="K148" i="7"/>
  <c r="AF44" i="7" s="1"/>
  <c r="K60" i="6" s="1"/>
  <c r="K171" i="6" s="1"/>
  <c r="K136" i="7"/>
  <c r="AF32" i="7" s="1"/>
  <c r="K48" i="6" s="1"/>
  <c r="K159" i="6" s="1"/>
  <c r="K124" i="7"/>
  <c r="K125" i="7"/>
  <c r="K147" i="7"/>
  <c r="AF43" i="7" s="1"/>
  <c r="K59" i="6" s="1"/>
  <c r="K170" i="6" s="1"/>
  <c r="K135" i="7"/>
  <c r="AF31" i="7" s="1"/>
  <c r="K47" i="6" s="1"/>
  <c r="K158" i="6" s="1"/>
  <c r="K123" i="7"/>
  <c r="K137" i="7"/>
  <c r="AF33" i="7" s="1"/>
  <c r="K49" i="6" s="1"/>
  <c r="K160" i="6" s="1"/>
  <c r="K146" i="7"/>
  <c r="AF42" i="7" s="1"/>
  <c r="K58" i="6" s="1"/>
  <c r="K169" i="6" s="1"/>
  <c r="K134" i="7"/>
  <c r="AF30" i="7" s="1"/>
  <c r="K46" i="6" s="1"/>
  <c r="K157" i="6" s="1"/>
  <c r="K122" i="7"/>
  <c r="K145" i="7"/>
  <c r="K133" i="7"/>
  <c r="AF29" i="7" s="1"/>
  <c r="K45" i="6" s="1"/>
  <c r="K156" i="6" s="1"/>
  <c r="K121" i="7"/>
  <c r="K144" i="7"/>
  <c r="K132" i="7"/>
  <c r="K120" i="7"/>
  <c r="K155" i="7"/>
  <c r="AF51" i="7" s="1"/>
  <c r="K67" i="6" s="1"/>
  <c r="K178" i="6" s="1"/>
  <c r="K143" i="7"/>
  <c r="AF39" i="7" s="1"/>
  <c r="K55" i="6" s="1"/>
  <c r="K166" i="6" s="1"/>
  <c r="K131" i="7"/>
  <c r="K154" i="7"/>
  <c r="AF50" i="7" s="1"/>
  <c r="K66" i="6" s="1"/>
  <c r="K177" i="6" s="1"/>
  <c r="K142" i="7"/>
  <c r="AF38" i="7" s="1"/>
  <c r="K54" i="6" s="1"/>
  <c r="K165" i="6" s="1"/>
  <c r="K130" i="7"/>
  <c r="K118" i="7"/>
  <c r="K153" i="7"/>
  <c r="AF49" i="7" s="1"/>
  <c r="K65" i="6" s="1"/>
  <c r="K176" i="6" s="1"/>
  <c r="K141" i="7"/>
  <c r="K129" i="7"/>
  <c r="K152" i="7"/>
  <c r="AF48" i="7" s="1"/>
  <c r="K64" i="6" s="1"/>
  <c r="K175" i="6" s="1"/>
  <c r="K140" i="7"/>
  <c r="AF36" i="7" s="1"/>
  <c r="K52" i="6" s="1"/>
  <c r="K163" i="6" s="1"/>
  <c r="K251" i="6" s="1"/>
  <c r="K128" i="7"/>
  <c r="K116" i="7"/>
  <c r="AF12" i="7" s="1"/>
  <c r="K28" i="6" s="1"/>
  <c r="K139" i="6" s="1"/>
  <c r="K151" i="7"/>
  <c r="AF47" i="7" s="1"/>
  <c r="K63" i="6" s="1"/>
  <c r="K174" i="6" s="1"/>
  <c r="K139" i="7"/>
  <c r="AF35" i="7" s="1"/>
  <c r="K51" i="6" s="1"/>
  <c r="K162" i="6" s="1"/>
  <c r="K127" i="7"/>
  <c r="K115" i="7"/>
  <c r="AF11" i="7" s="1"/>
  <c r="K113" i="7"/>
  <c r="K111" i="7"/>
  <c r="AF7" i="7" s="1"/>
  <c r="K23" i="6" s="1"/>
  <c r="K134" i="6" s="1"/>
  <c r="K110" i="7"/>
  <c r="AF6" i="7" s="1"/>
  <c r="K22" i="6" s="1"/>
  <c r="K133" i="6" s="1"/>
  <c r="F7" i="7"/>
  <c r="F8" i="7"/>
  <c r="F9" i="7"/>
  <c r="F11" i="7"/>
  <c r="F12" i="7"/>
  <c r="F13" i="7"/>
  <c r="F14" i="7"/>
  <c r="F16" i="7"/>
  <c r="F17" i="7"/>
  <c r="F18" i="7"/>
  <c r="F19" i="7"/>
  <c r="F20" i="7"/>
  <c r="F21" i="7"/>
  <c r="F22" i="7"/>
  <c r="F23" i="7"/>
  <c r="F24" i="7"/>
  <c r="F25" i="7"/>
  <c r="F26" i="7"/>
  <c r="F27" i="7"/>
  <c r="F28" i="7"/>
  <c r="F29" i="7"/>
  <c r="F30" i="7"/>
  <c r="F31" i="7"/>
  <c r="F32" i="7"/>
  <c r="F33" i="7"/>
  <c r="F34" i="7"/>
  <c r="F35" i="7"/>
  <c r="F36" i="7"/>
  <c r="F37" i="7"/>
  <c r="F39" i="7"/>
  <c r="F42" i="7"/>
  <c r="F43" i="7"/>
  <c r="F44" i="7"/>
  <c r="F45" i="7"/>
  <c r="F46" i="7"/>
  <c r="F47" i="7"/>
  <c r="F48" i="7"/>
  <c r="F49" i="7"/>
  <c r="F50" i="7"/>
  <c r="F51" i="7"/>
  <c r="F6" i="7"/>
  <c r="F15" i="7"/>
  <c r="F38" i="7"/>
  <c r="K130" i="6" a="1"/>
  <c r="K132" i="6" a="1"/>
  <c r="I11" i="6" l="1"/>
  <c r="I236" i="6" s="1"/>
  <c r="I13" i="6"/>
  <c r="I239" i="6" s="1"/>
  <c r="I14" i="6"/>
  <c r="I242" i="6" s="1"/>
  <c r="AI3" i="6"/>
  <c r="AI195" i="6"/>
  <c r="AI209" i="6"/>
  <c r="AI207" i="6"/>
  <c r="AI14" i="6"/>
  <c r="AI242" i="6" s="1"/>
  <c r="AI206" i="6"/>
  <c r="AI208" i="6"/>
  <c r="AI7" i="6"/>
  <c r="AI12" i="6"/>
  <c r="AI8" i="6"/>
  <c r="AI4" i="6"/>
  <c r="AI13" i="6"/>
  <c r="AI239" i="6" s="1"/>
  <c r="AI210" i="6"/>
  <c r="AI205" i="6"/>
  <c r="AI211" i="6"/>
  <c r="AI11" i="6"/>
  <c r="H14" i="6"/>
  <c r="H242" i="6" s="1"/>
  <c r="AH3" i="6"/>
  <c r="AH9" i="6" s="1"/>
  <c r="AH19" i="6" s="1" a="1"/>
  <c r="AH19" i="6" s="1"/>
  <c r="AH253" i="6" s="1"/>
  <c r="AH211" i="6"/>
  <c r="AH219" i="6" s="1"/>
  <c r="AH7" i="6"/>
  <c r="AH209" i="6"/>
  <c r="AH217" i="6" s="1"/>
  <c r="AH210" i="6"/>
  <c r="AH218" i="6" s="1"/>
  <c r="AH195" i="6"/>
  <c r="AH4" i="6"/>
  <c r="AH207" i="6"/>
  <c r="AH215" i="6" s="1"/>
  <c r="AH206" i="6"/>
  <c r="AH214" i="6" s="1"/>
  <c r="AH208" i="6"/>
  <c r="AH216" i="6" s="1"/>
  <c r="AH8" i="6"/>
  <c r="AH205" i="6"/>
  <c r="AH213" i="6" s="1"/>
  <c r="AH12" i="6"/>
  <c r="AH11" i="6"/>
  <c r="AH14" i="6"/>
  <c r="AH242" i="6" s="1"/>
  <c r="H12" i="6"/>
  <c r="H235" i="6" s="1"/>
  <c r="K27" i="6"/>
  <c r="K138" i="6" s="1"/>
  <c r="H11" i="6"/>
  <c r="H236" i="6" s="1"/>
  <c r="AH13" i="6"/>
  <c r="AH239" i="6" s="1"/>
  <c r="U3" i="6"/>
  <c r="U9" i="6" s="1"/>
  <c r="U19" i="6" s="1" a="1"/>
  <c r="U19" i="6" s="1"/>
  <c r="U253" i="6" s="1"/>
  <c r="U205" i="6"/>
  <c r="U213" i="6" s="1"/>
  <c r="U207" i="6"/>
  <c r="U215" i="6" s="1"/>
  <c r="U208" i="6"/>
  <c r="U216" i="6" s="1"/>
  <c r="U210" i="6"/>
  <c r="U218" i="6" s="1"/>
  <c r="U8" i="6"/>
  <c r="U211" i="6"/>
  <c r="U219" i="6" s="1"/>
  <c r="U209" i="6"/>
  <c r="U217" i="6" s="1"/>
  <c r="U206" i="6"/>
  <c r="U214" i="6" s="1"/>
  <c r="U7" i="6"/>
  <c r="U4" i="6"/>
  <c r="U13" i="6"/>
  <c r="U239" i="6" s="1"/>
  <c r="U11" i="6"/>
  <c r="U236" i="6" s="1"/>
  <c r="U12" i="6"/>
  <c r="U235" i="6" s="1"/>
  <c r="U14" i="6"/>
  <c r="U242" i="6" s="1"/>
  <c r="N3" i="6"/>
  <c r="N9" i="6" s="1"/>
  <c r="N19" i="6" s="1" a="1"/>
  <c r="N19" i="6" s="1"/>
  <c r="N253" i="6" s="1"/>
  <c r="N8" i="6"/>
  <c r="N208" i="6"/>
  <c r="N216" i="6" s="1"/>
  <c r="N207" i="6"/>
  <c r="N215" i="6" s="1"/>
  <c r="N211" i="6"/>
  <c r="N219" i="6" s="1"/>
  <c r="N4" i="6"/>
  <c r="N7" i="6"/>
  <c r="N210" i="6"/>
  <c r="N218" i="6" s="1"/>
  <c r="N205" i="6"/>
  <c r="N213" i="6" s="1"/>
  <c r="N209" i="6"/>
  <c r="N217" i="6" s="1"/>
  <c r="N206" i="6"/>
  <c r="N214" i="6" s="1"/>
  <c r="N11" i="6"/>
  <c r="N236" i="6" s="1"/>
  <c r="N12" i="6"/>
  <c r="N235" i="6" s="1"/>
  <c r="N13" i="6"/>
  <c r="N239" i="6" s="1"/>
  <c r="N14" i="6"/>
  <c r="N242" i="6" s="1"/>
  <c r="I3" i="6"/>
  <c r="I9" i="6" s="1"/>
  <c r="I19" i="6" s="1" a="1"/>
  <c r="I19" i="6" s="1"/>
  <c r="I253" i="6" s="1"/>
  <c r="I8" i="6"/>
  <c r="I211" i="6"/>
  <c r="I219" i="6" s="1"/>
  <c r="I7" i="6"/>
  <c r="I256" i="6" s="1"/>
  <c r="I210" i="6"/>
  <c r="I218" i="6" s="1"/>
  <c r="I4" i="6"/>
  <c r="I209" i="6"/>
  <c r="I217" i="6" s="1"/>
  <c r="I207" i="6"/>
  <c r="I215" i="6" s="1"/>
  <c r="I195" i="6"/>
  <c r="I208" i="6"/>
  <c r="I216" i="6" s="1"/>
  <c r="I205" i="6"/>
  <c r="I213" i="6" s="1"/>
  <c r="I206" i="6"/>
  <c r="I214" i="6" s="1"/>
  <c r="T3" i="6"/>
  <c r="T9" i="6" s="1"/>
  <c r="T19" i="6" s="1" a="1"/>
  <c r="T19" i="6" s="1"/>
  <c r="T253" i="6" s="1"/>
  <c r="T205" i="6"/>
  <c r="T213" i="6" s="1"/>
  <c r="T8" i="6"/>
  <c r="T208" i="6"/>
  <c r="T216" i="6" s="1"/>
  <c r="T207" i="6"/>
  <c r="T215" i="6" s="1"/>
  <c r="T211" i="6"/>
  <c r="T219" i="6" s="1"/>
  <c r="T7" i="6"/>
  <c r="T209" i="6"/>
  <c r="T217" i="6" s="1"/>
  <c r="T210" i="6"/>
  <c r="T218" i="6" s="1"/>
  <c r="T4" i="6"/>
  <c r="T206" i="6"/>
  <c r="T214" i="6" s="1"/>
  <c r="T14" i="6"/>
  <c r="T242" i="6" s="1"/>
  <c r="T11" i="6"/>
  <c r="T236" i="6" s="1"/>
  <c r="T12" i="6"/>
  <c r="T235" i="6" s="1"/>
  <c r="T13" i="6"/>
  <c r="T239" i="6" s="1"/>
  <c r="K3" i="6"/>
  <c r="K9" i="6" s="1"/>
  <c r="K19" i="6" s="1" a="1"/>
  <c r="K19" i="6" s="1"/>
  <c r="K253" i="6" s="1"/>
  <c r="K208" i="6"/>
  <c r="K216" i="6" s="1"/>
  <c r="K205" i="6"/>
  <c r="K213" i="6" s="1"/>
  <c r="K211" i="6"/>
  <c r="K219" i="6" s="1"/>
  <c r="K7" i="6"/>
  <c r="K256" i="6" s="1"/>
  <c r="K209" i="6"/>
  <c r="K217" i="6" s="1"/>
  <c r="K206" i="6"/>
  <c r="K214" i="6" s="1"/>
  <c r="K8" i="6"/>
  <c r="K210" i="6"/>
  <c r="K218" i="6" s="1"/>
  <c r="K4" i="6"/>
  <c r="K245" i="6" s="1"/>
  <c r="K207" i="6"/>
  <c r="K215" i="6" s="1"/>
  <c r="K195" i="6"/>
  <c r="H3" i="6"/>
  <c r="H9" i="6" s="1"/>
  <c r="H19" i="6" s="1" a="1"/>
  <c r="H19" i="6" s="1"/>
  <c r="H253" i="6" s="1"/>
  <c r="H206" i="6"/>
  <c r="H214" i="6" s="1"/>
  <c r="H209" i="6"/>
  <c r="H217" i="6" s="1"/>
  <c r="H195" i="6"/>
  <c r="H8" i="6"/>
  <c r="H208" i="6"/>
  <c r="H216" i="6" s="1"/>
  <c r="H211" i="6"/>
  <c r="H219" i="6" s="1"/>
  <c r="H7" i="6"/>
  <c r="H256" i="6" s="1"/>
  <c r="H207" i="6"/>
  <c r="H215" i="6" s="1"/>
  <c r="H205" i="6"/>
  <c r="H213" i="6" s="1"/>
  <c r="H210" i="6"/>
  <c r="H218" i="6" s="1"/>
  <c r="H4" i="6"/>
  <c r="O3" i="6"/>
  <c r="O9" i="6" s="1"/>
  <c r="O19" i="6" s="1" a="1"/>
  <c r="O19" i="6" s="1"/>
  <c r="O253" i="6" s="1"/>
  <c r="O207" i="6"/>
  <c r="O215" i="6" s="1"/>
  <c r="O208" i="6"/>
  <c r="O216" i="6" s="1"/>
  <c r="O206" i="6"/>
  <c r="O214" i="6" s="1"/>
  <c r="O210" i="6"/>
  <c r="O218" i="6" s="1"/>
  <c r="O209" i="6"/>
  <c r="O217" i="6" s="1"/>
  <c r="O205" i="6"/>
  <c r="O213" i="6" s="1"/>
  <c r="O8" i="6"/>
  <c r="O211" i="6"/>
  <c r="O219" i="6" s="1"/>
  <c r="O7" i="6"/>
  <c r="O4" i="6"/>
  <c r="O245" i="6" s="1"/>
  <c r="O13" i="6"/>
  <c r="O239" i="6" s="1"/>
  <c r="O14" i="6"/>
  <c r="O242" i="6" s="1"/>
  <c r="O11" i="6"/>
  <c r="O236" i="6" s="1"/>
  <c r="O12" i="6"/>
  <c r="O235" i="6" s="1"/>
  <c r="I41" i="6"/>
  <c r="I152" i="6" s="1"/>
  <c r="I223" i="6" s="1"/>
  <c r="H41" i="6"/>
  <c r="H152" i="6" s="1"/>
  <c r="H223" i="6" s="1"/>
  <c r="I53" i="6"/>
  <c r="I164" i="6" s="1"/>
  <c r="H53" i="6"/>
  <c r="H164" i="6" s="1"/>
  <c r="I33" i="6"/>
  <c r="I144" i="6" s="1"/>
  <c r="H33" i="6"/>
  <c r="H144" i="6" s="1"/>
  <c r="I60" i="6"/>
  <c r="I171" i="6" s="1"/>
  <c r="H60" i="6"/>
  <c r="H171" i="6" s="1"/>
  <c r="I22" i="6"/>
  <c r="I133" i="6" s="1"/>
  <c r="H22" i="6"/>
  <c r="H133" i="6" s="1"/>
  <c r="I65" i="6"/>
  <c r="I176" i="6" s="1"/>
  <c r="H65" i="6"/>
  <c r="H176" i="6" s="1"/>
  <c r="I45" i="6"/>
  <c r="I156" i="6" s="1"/>
  <c r="H45" i="6"/>
  <c r="H156" i="6" s="1"/>
  <c r="I37" i="6"/>
  <c r="I148" i="6" s="1"/>
  <c r="H37" i="6"/>
  <c r="H148" i="6" s="1"/>
  <c r="I54" i="6"/>
  <c r="I165" i="6" s="1"/>
  <c r="H54" i="6"/>
  <c r="H165" i="6" s="1"/>
  <c r="I46" i="6"/>
  <c r="I157" i="6" s="1"/>
  <c r="H46" i="6"/>
  <c r="H157" i="6" s="1"/>
  <c r="I62" i="6"/>
  <c r="I173" i="6" s="1"/>
  <c r="H62" i="6"/>
  <c r="H173" i="6" s="1"/>
  <c r="I39" i="6"/>
  <c r="I150" i="6" s="1"/>
  <c r="H39" i="6"/>
  <c r="H150" i="6" s="1"/>
  <c r="I51" i="6"/>
  <c r="I162" i="6" s="1"/>
  <c r="H51" i="6"/>
  <c r="H162" i="6" s="1"/>
  <c r="I66" i="6"/>
  <c r="I177" i="6" s="1"/>
  <c r="H66" i="6"/>
  <c r="H177" i="6" s="1"/>
  <c r="I58" i="6"/>
  <c r="I169" i="6" s="1"/>
  <c r="H58" i="6"/>
  <c r="H169" i="6" s="1"/>
  <c r="I34" i="6"/>
  <c r="I145" i="6" s="1"/>
  <c r="H34" i="6"/>
  <c r="H145" i="6" s="1"/>
  <c r="I63" i="6"/>
  <c r="I174" i="6" s="1"/>
  <c r="H63" i="6"/>
  <c r="H174" i="6" s="1"/>
  <c r="I61" i="6"/>
  <c r="I172" i="6" s="1"/>
  <c r="H61" i="6"/>
  <c r="H172" i="6" s="1"/>
  <c r="I35" i="6"/>
  <c r="I146" i="6" s="1"/>
  <c r="H35" i="6"/>
  <c r="H146" i="6" s="1"/>
  <c r="I24" i="6"/>
  <c r="I135" i="6" s="1"/>
  <c r="H24" i="6"/>
  <c r="H135" i="6" s="1"/>
  <c r="I42" i="6"/>
  <c r="I153" i="6" s="1"/>
  <c r="I224" i="6" s="1"/>
  <c r="H42" i="6"/>
  <c r="H153" i="6" s="1"/>
  <c r="H224" i="6" s="1"/>
  <c r="I28" i="6"/>
  <c r="I139" i="6" s="1"/>
  <c r="H28" i="6"/>
  <c r="H139" i="6" s="1"/>
  <c r="I43" i="6"/>
  <c r="I154" i="6" s="1"/>
  <c r="I225" i="6" s="1"/>
  <c r="H43" i="6"/>
  <c r="H154" i="6" s="1"/>
  <c r="H225" i="6" s="1"/>
  <c r="I47" i="6"/>
  <c r="I158" i="6" s="1"/>
  <c r="H47" i="6"/>
  <c r="H158" i="6" s="1"/>
  <c r="I48" i="6"/>
  <c r="I159" i="6" s="1"/>
  <c r="H48" i="6"/>
  <c r="H159" i="6" s="1"/>
  <c r="I23" i="6"/>
  <c r="I134" i="6" s="1"/>
  <c r="H23" i="6"/>
  <c r="H134" i="6" s="1"/>
  <c r="I40" i="6"/>
  <c r="I151" i="6" s="1"/>
  <c r="I222" i="6" s="1"/>
  <c r="H40" i="6"/>
  <c r="H151" i="6" s="1"/>
  <c r="H222" i="6" s="1"/>
  <c r="I55" i="6"/>
  <c r="I166" i="6" s="1"/>
  <c r="H55" i="6"/>
  <c r="H166" i="6" s="1"/>
  <c r="I59" i="6"/>
  <c r="I170" i="6" s="1"/>
  <c r="H59" i="6"/>
  <c r="H170" i="6" s="1"/>
  <c r="I31" i="6"/>
  <c r="I142" i="6" s="1"/>
  <c r="H31" i="6"/>
  <c r="H142" i="6" s="1"/>
  <c r="I38" i="6"/>
  <c r="I149" i="6" s="1"/>
  <c r="H38" i="6"/>
  <c r="H149" i="6" s="1"/>
  <c r="I27" i="6"/>
  <c r="I138" i="6" s="1"/>
  <c r="H27" i="6"/>
  <c r="H138" i="6" s="1"/>
  <c r="I50" i="6"/>
  <c r="I161" i="6" s="1"/>
  <c r="H50" i="6"/>
  <c r="H161" i="6" s="1"/>
  <c r="I52" i="6"/>
  <c r="I163" i="6" s="1"/>
  <c r="H52" i="6"/>
  <c r="H163" i="6" s="1"/>
  <c r="I67" i="6"/>
  <c r="I178" i="6" s="1"/>
  <c r="H67" i="6"/>
  <c r="H178" i="6" s="1"/>
  <c r="I49" i="6"/>
  <c r="I160" i="6" s="1"/>
  <c r="H49" i="6"/>
  <c r="H160" i="6" s="1"/>
  <c r="I64" i="6"/>
  <c r="I175" i="6" s="1"/>
  <c r="H64" i="6"/>
  <c r="H175" i="6" s="1"/>
  <c r="I32" i="6"/>
  <c r="I143" i="6" s="1"/>
  <c r="I221" i="6" s="1"/>
  <c r="H32" i="6"/>
  <c r="H143" i="6" s="1"/>
  <c r="H221" i="6" s="1"/>
  <c r="I36" i="6"/>
  <c r="I147" i="6" s="1"/>
  <c r="H36" i="6"/>
  <c r="H147" i="6" s="1"/>
  <c r="I29" i="6"/>
  <c r="I140" i="6" s="1"/>
  <c r="H29" i="6"/>
  <c r="H140" i="6" s="1"/>
  <c r="I30" i="6"/>
  <c r="I141" i="6" s="1"/>
  <c r="H30" i="6"/>
  <c r="H141" i="6" s="1"/>
  <c r="K130" i="6"/>
  <c r="K132" i="6"/>
  <c r="O195" i="6"/>
  <c r="T195" i="6"/>
  <c r="U195" i="6"/>
  <c r="N195" i="6"/>
  <c r="E195" i="6"/>
  <c r="AF195" i="6"/>
  <c r="AE195" i="6"/>
  <c r="C195" i="6"/>
  <c r="AA195" i="6"/>
  <c r="AC195" i="6"/>
  <c r="AD195" i="6"/>
  <c r="D195" i="6"/>
  <c r="AB195" i="6"/>
  <c r="AG41" i="7"/>
  <c r="Q39" i="11"/>
  <c r="AF41" i="7"/>
  <c r="K57" i="6" s="1"/>
  <c r="K168" i="6" s="1"/>
  <c r="Q38" i="11"/>
  <c r="AF40" i="7"/>
  <c r="K56" i="6" s="1"/>
  <c r="K167" i="6" s="1"/>
  <c r="P38" i="11"/>
  <c r="AG40" i="7"/>
  <c r="P39" i="11"/>
  <c r="I72" i="7"/>
  <c r="K72" i="7" s="1"/>
  <c r="AE20" i="7" s="1"/>
  <c r="AH36" i="6" s="1"/>
  <c r="AH147" i="6" s="1"/>
  <c r="AG9" i="7"/>
  <c r="Q202" i="7" a="1"/>
  <c r="Q202" i="7" s="1"/>
  <c r="Q203" i="7" a="1"/>
  <c r="Q203" i="7" s="1"/>
  <c r="AF18" i="17"/>
  <c r="AF16" i="7"/>
  <c r="K32" i="6" s="1"/>
  <c r="K143" i="6" s="1"/>
  <c r="K221" i="6" s="1"/>
  <c r="AF27" i="17"/>
  <c r="AF25" i="7"/>
  <c r="K41" i="6" s="1"/>
  <c r="K152" i="6" s="1"/>
  <c r="K223" i="6" s="1"/>
  <c r="AF22" i="17"/>
  <c r="AF20" i="7"/>
  <c r="K36" i="6" s="1"/>
  <c r="K147" i="6" s="1"/>
  <c r="Q144" i="7"/>
  <c r="P16" i="11" s="1"/>
  <c r="AF37" i="7"/>
  <c r="K53" i="6" s="1"/>
  <c r="K164" i="6" s="1"/>
  <c r="AF19" i="17"/>
  <c r="AF17" i="7"/>
  <c r="K33" i="6" s="1"/>
  <c r="K144" i="6" s="1"/>
  <c r="AF21" i="17"/>
  <c r="AF19" i="7"/>
  <c r="K35" i="6" s="1"/>
  <c r="K146" i="6" s="1"/>
  <c r="AF16" i="17"/>
  <c r="AF13" i="7"/>
  <c r="AJ29" i="6" s="1"/>
  <c r="AJ140" i="6" s="1"/>
  <c r="AF17" i="17"/>
  <c r="AF14" i="7"/>
  <c r="AJ30" i="6" s="1"/>
  <c r="AJ141" i="6" s="1"/>
  <c r="AF28" i="17"/>
  <c r="AF26" i="7"/>
  <c r="K42" i="6" s="1"/>
  <c r="K153" i="6" s="1"/>
  <c r="K224" i="6" s="1"/>
  <c r="AF20" i="17"/>
  <c r="AF18" i="7"/>
  <c r="K34" i="6" s="1"/>
  <c r="K145" i="6" s="1"/>
  <c r="AF24" i="17"/>
  <c r="AF22" i="7"/>
  <c r="K38" i="6" s="1"/>
  <c r="K149" i="6" s="1"/>
  <c r="AF14" i="17"/>
  <c r="AF15" i="7"/>
  <c r="AJ31" i="6" s="1"/>
  <c r="AJ142" i="6" s="1"/>
  <c r="AF26" i="17"/>
  <c r="AF24" i="7"/>
  <c r="K40" i="6" s="1"/>
  <c r="K151" i="6" s="1"/>
  <c r="K222" i="6" s="1"/>
  <c r="AF30" i="17"/>
  <c r="AF28" i="7"/>
  <c r="K44" i="6" s="1"/>
  <c r="K155" i="6" s="1"/>
  <c r="K226" i="6" s="1"/>
  <c r="AF25" i="17"/>
  <c r="AF23" i="7"/>
  <c r="K39" i="6" s="1"/>
  <c r="K150" i="6" s="1"/>
  <c r="AF23" i="17"/>
  <c r="AF21" i="7"/>
  <c r="K37" i="6" s="1"/>
  <c r="K148" i="6" s="1"/>
  <c r="AF15" i="17"/>
  <c r="AF9" i="7"/>
  <c r="K25" i="6" s="1"/>
  <c r="K136" i="6" s="1"/>
  <c r="AF29" i="17"/>
  <c r="AF27" i="7"/>
  <c r="K43" i="6" s="1"/>
  <c r="K154" i="6" s="1"/>
  <c r="K225" i="6" s="1"/>
  <c r="AF29" i="18"/>
  <c r="AF21" i="18"/>
  <c r="AF26" i="18"/>
  <c r="AF16" i="18"/>
  <c r="AF14" i="18"/>
  <c r="AF18" i="18"/>
  <c r="AF27" i="18"/>
  <c r="AF22" i="18"/>
  <c r="Q196" i="7"/>
  <c r="P17" i="11" s="1"/>
  <c r="AF19" i="18"/>
  <c r="AF17" i="18"/>
  <c r="AF23" i="18"/>
  <c r="AF15" i="18"/>
  <c r="AF28" i="18"/>
  <c r="AF24" i="18"/>
  <c r="AF25" i="18"/>
  <c r="AF20" i="18"/>
  <c r="V202" i="14"/>
  <c r="F166" i="7" s="1"/>
  <c r="K166" i="7" s="1"/>
  <c r="V213" i="15"/>
  <c r="G184" i="7" s="1"/>
  <c r="K184" i="7" s="1"/>
  <c r="AG28" i="7" s="1"/>
  <c r="V136" i="14"/>
  <c r="V159" i="15"/>
  <c r="K65" i="7"/>
  <c r="AE13" i="7" s="1"/>
  <c r="K67" i="7"/>
  <c r="Q150" i="7"/>
  <c r="Q152" i="7"/>
  <c r="Q151" i="7"/>
  <c r="K87" i="7"/>
  <c r="AE35" i="7" s="1"/>
  <c r="AH51" i="6" s="1"/>
  <c r="AH162" i="6" s="1"/>
  <c r="K89" i="7"/>
  <c r="AE37" i="7" s="1"/>
  <c r="AH53" i="6" s="1"/>
  <c r="AH164" i="6" s="1"/>
  <c r="K96" i="7"/>
  <c r="AE44" i="7" s="1"/>
  <c r="AH60" i="6" s="1"/>
  <c r="AH171" i="6" s="1"/>
  <c r="K78" i="7"/>
  <c r="AE26" i="7" s="1"/>
  <c r="AH42" i="6" s="1"/>
  <c r="AH153" i="6" s="1"/>
  <c r="AH224" i="6" s="1"/>
  <c r="K91" i="7"/>
  <c r="AE39" i="7" s="1"/>
  <c r="AH55" i="6" s="1"/>
  <c r="AH166" i="6" s="1"/>
  <c r="K86" i="7"/>
  <c r="AE34" i="7" s="1"/>
  <c r="AH50" i="6" s="1"/>
  <c r="AH161" i="6" s="1"/>
  <c r="K103" i="7"/>
  <c r="AE51" i="7" s="1"/>
  <c r="AH67" i="6" s="1"/>
  <c r="AH178" i="6" s="1"/>
  <c r="K81" i="7"/>
  <c r="AE29" i="7" s="1"/>
  <c r="AH45" i="6" s="1"/>
  <c r="AH156" i="6" s="1"/>
  <c r="K63" i="7"/>
  <c r="K73" i="7"/>
  <c r="AE21" i="7" s="1"/>
  <c r="AH37" i="6" s="1"/>
  <c r="AH148" i="6" s="1"/>
  <c r="K61" i="7"/>
  <c r="AE9" i="7" s="1"/>
  <c r="K90" i="7"/>
  <c r="AE38" i="7" s="1"/>
  <c r="AH54" i="6" s="1"/>
  <c r="AH165" i="6" s="1"/>
  <c r="K93" i="7"/>
  <c r="K68" i="7"/>
  <c r="AE16" i="7" s="1"/>
  <c r="AH32" i="6" s="1"/>
  <c r="AH143" i="6" s="1"/>
  <c r="AH221" i="6" s="1"/>
  <c r="K98" i="7"/>
  <c r="AE46" i="7" s="1"/>
  <c r="AH62" i="6" s="1"/>
  <c r="AH173" i="6" s="1"/>
  <c r="K100" i="7"/>
  <c r="AE48" i="7" s="1"/>
  <c r="AH64" i="6" s="1"/>
  <c r="AH175" i="6" s="1"/>
  <c r="K84" i="7"/>
  <c r="AE32" i="7" s="1"/>
  <c r="AH48" i="6" s="1"/>
  <c r="AH159" i="6" s="1"/>
  <c r="K92" i="7"/>
  <c r="K88" i="7"/>
  <c r="AE36" i="7" s="1"/>
  <c r="AH52" i="6" s="1"/>
  <c r="AH163" i="6" s="1"/>
  <c r="K102" i="7"/>
  <c r="AE50" i="7" s="1"/>
  <c r="AH66" i="6" s="1"/>
  <c r="AH177" i="6" s="1"/>
  <c r="K60" i="7"/>
  <c r="AE8" i="7" s="1"/>
  <c r="AH24" i="6" s="1"/>
  <c r="AH135" i="6" s="1"/>
  <c r="K76" i="7"/>
  <c r="AE24" i="7" s="1"/>
  <c r="AH40" i="6" s="1"/>
  <c r="AH151" i="6" s="1"/>
  <c r="AH222" i="6" s="1"/>
  <c r="K97" i="7"/>
  <c r="AE45" i="7" s="1"/>
  <c r="AH61" i="6" s="1"/>
  <c r="AH172" i="6" s="1"/>
  <c r="K71" i="7"/>
  <c r="AE19" i="7" s="1"/>
  <c r="AH35" i="6" s="1"/>
  <c r="AH146" i="6" s="1"/>
  <c r="K74" i="7"/>
  <c r="AE22" i="7" s="1"/>
  <c r="AH38" i="6" s="1"/>
  <c r="AH149" i="6" s="1"/>
  <c r="K95" i="7"/>
  <c r="AE43" i="7" s="1"/>
  <c r="AH59" i="6" s="1"/>
  <c r="AH170" i="6" s="1"/>
  <c r="K77" i="7"/>
  <c r="AE25" i="7" s="1"/>
  <c r="AH41" i="6" s="1"/>
  <c r="AH152" i="6" s="1"/>
  <c r="AH223" i="6" s="1"/>
  <c r="K64" i="7"/>
  <c r="AE12" i="7" s="1"/>
  <c r="AH28" i="6" s="1"/>
  <c r="AH139" i="6" s="1"/>
  <c r="K99" i="7"/>
  <c r="AE47" i="7" s="1"/>
  <c r="AH63" i="6" s="1"/>
  <c r="AH174" i="6" s="1"/>
  <c r="K59" i="7"/>
  <c r="AE7" i="7" s="1"/>
  <c r="AH23" i="6" s="1"/>
  <c r="AH134" i="6" s="1"/>
  <c r="K83" i="7"/>
  <c r="AE31" i="7" s="1"/>
  <c r="AH47" i="6" s="1"/>
  <c r="AH158" i="6" s="1"/>
  <c r="K94" i="7"/>
  <c r="AE42" i="7" s="1"/>
  <c r="AH58" i="6" s="1"/>
  <c r="AH169" i="6" s="1"/>
  <c r="K75" i="7"/>
  <c r="AE23" i="7" s="1"/>
  <c r="AH39" i="6" s="1"/>
  <c r="AH150" i="6" s="1"/>
  <c r="K66" i="7"/>
  <c r="AE14" i="7" s="1"/>
  <c r="K82" i="7"/>
  <c r="AE30" i="7" s="1"/>
  <c r="AH46" i="6" s="1"/>
  <c r="AH157" i="6" s="1"/>
  <c r="K101" i="7"/>
  <c r="AE49" i="7" s="1"/>
  <c r="AH65" i="6" s="1"/>
  <c r="AH176" i="6" s="1"/>
  <c r="K79" i="7"/>
  <c r="AE27" i="7" s="1"/>
  <c r="AH43" i="6" s="1"/>
  <c r="AH154" i="6" s="1"/>
  <c r="AH225" i="6" s="1"/>
  <c r="K85" i="7"/>
  <c r="AE33" i="7" s="1"/>
  <c r="AH49" i="6" s="1"/>
  <c r="AH160" i="6" s="1"/>
  <c r="K70" i="7"/>
  <c r="AE18" i="7" s="1"/>
  <c r="AH34" i="6" s="1"/>
  <c r="AH145" i="6" s="1"/>
  <c r="K69" i="7"/>
  <c r="AE17" i="7" s="1"/>
  <c r="AH33" i="6" s="1"/>
  <c r="AH144" i="6" s="1"/>
  <c r="K58" i="7"/>
  <c r="AE6" i="7" s="1"/>
  <c r="AH22" i="6" s="1"/>
  <c r="AH133" i="6" s="1"/>
  <c r="K40" i="7"/>
  <c r="K41" i="7"/>
  <c r="I11" i="7"/>
  <c r="I12" i="7"/>
  <c r="I13" i="7"/>
  <c r="I14" i="7"/>
  <c r="I15" i="7"/>
  <c r="I16" i="7"/>
  <c r="I17" i="7"/>
  <c r="I18" i="7"/>
  <c r="I19" i="7"/>
  <c r="I20" i="7"/>
  <c r="I21" i="7"/>
  <c r="I22" i="7"/>
  <c r="I24" i="7"/>
  <c r="I25" i="7"/>
  <c r="I26" i="7"/>
  <c r="I27" i="7"/>
  <c r="I28" i="7"/>
  <c r="I29" i="7"/>
  <c r="I30" i="7"/>
  <c r="I31" i="7"/>
  <c r="I32" i="7"/>
  <c r="I33" i="7"/>
  <c r="I34" i="7"/>
  <c r="I35" i="7"/>
  <c r="I36" i="7"/>
  <c r="I37" i="7"/>
  <c r="I38" i="7"/>
  <c r="I39" i="7"/>
  <c r="I42" i="7"/>
  <c r="I43" i="7"/>
  <c r="I44" i="7"/>
  <c r="I45" i="7"/>
  <c r="I46" i="7"/>
  <c r="I47" i="7"/>
  <c r="I48" i="7"/>
  <c r="I49" i="7"/>
  <c r="I50" i="7"/>
  <c r="I51" i="7"/>
  <c r="I7" i="7"/>
  <c r="I8" i="7"/>
  <c r="I9" i="7"/>
  <c r="I10" i="7"/>
  <c r="H7" i="7"/>
  <c r="H8" i="7"/>
  <c r="H9" i="7"/>
  <c r="H10" i="7"/>
  <c r="H11" i="7"/>
  <c r="H12" i="7"/>
  <c r="H13" i="7"/>
  <c r="H14" i="7"/>
  <c r="H15" i="7"/>
  <c r="H16" i="7"/>
  <c r="H17" i="7"/>
  <c r="H18" i="7"/>
  <c r="H19" i="7"/>
  <c r="H20" i="7"/>
  <c r="H21" i="7"/>
  <c r="H22" i="7"/>
  <c r="H23" i="7"/>
  <c r="H24" i="7"/>
  <c r="H25" i="7"/>
  <c r="H26" i="7"/>
  <c r="H27" i="7"/>
  <c r="H28" i="7"/>
  <c r="H29" i="7"/>
  <c r="H30" i="7"/>
  <c r="H31" i="7"/>
  <c r="H32" i="7"/>
  <c r="H33" i="7"/>
  <c r="H34" i="7"/>
  <c r="H35" i="7"/>
  <c r="H36" i="7"/>
  <c r="H37" i="7"/>
  <c r="H38" i="7"/>
  <c r="H39" i="7"/>
  <c r="H42" i="7"/>
  <c r="H43" i="7"/>
  <c r="H44" i="7"/>
  <c r="H45" i="7"/>
  <c r="H46" i="7"/>
  <c r="H47" i="7"/>
  <c r="H48" i="7"/>
  <c r="H49" i="7"/>
  <c r="H50" i="7"/>
  <c r="H51" i="7"/>
  <c r="K131" i="6" a="1"/>
  <c r="AH132" i="6" a="1"/>
  <c r="I131" i="6" a="1"/>
  <c r="H131" i="6" a="1"/>
  <c r="H132" i="6" a="1"/>
  <c r="I132" i="6" a="1"/>
  <c r="AH249" i="6" l="1"/>
  <c r="O249" i="6"/>
  <c r="AJ247" i="6"/>
  <c r="AJ237" i="6"/>
  <c r="AJ243" i="6" s="1"/>
  <c r="AI64" i="6"/>
  <c r="AI175" i="6" s="1"/>
  <c r="AI32" i="6"/>
  <c r="AI143" i="6" s="1"/>
  <c r="AI221" i="6" s="1"/>
  <c r="AI63" i="6"/>
  <c r="AI174" i="6" s="1"/>
  <c r="AI49" i="6"/>
  <c r="AI160" i="6" s="1"/>
  <c r="AI33" i="6"/>
  <c r="AI144" i="6" s="1"/>
  <c r="AI66" i="6"/>
  <c r="AI177" i="6" s="1"/>
  <c r="AI28" i="6"/>
  <c r="AI139" i="6" s="1"/>
  <c r="AI38" i="6"/>
  <c r="AI149" i="6" s="1"/>
  <c r="AI35" i="6"/>
  <c r="AI146" i="6" s="1"/>
  <c r="AI54" i="6"/>
  <c r="AI165" i="6" s="1"/>
  <c r="AI47" i="6"/>
  <c r="AI158" i="6" s="1"/>
  <c r="AI55" i="6"/>
  <c r="AI166" i="6" s="1"/>
  <c r="AI22" i="6"/>
  <c r="AI133" i="6" s="1"/>
  <c r="AI39" i="6"/>
  <c r="AI150" i="6" s="1"/>
  <c r="AI42" i="6"/>
  <c r="AI153" i="6" s="1"/>
  <c r="AI224" i="6" s="1"/>
  <c r="AI36" i="6"/>
  <c r="AI147" i="6" s="1"/>
  <c r="AI34" i="6"/>
  <c r="AI145" i="6" s="1"/>
  <c r="AI61" i="6"/>
  <c r="AI172" i="6" s="1"/>
  <c r="AI40" i="6"/>
  <c r="AI151" i="6" s="1"/>
  <c r="AI222" i="6" s="1"/>
  <c r="AI45" i="6"/>
  <c r="AI156" i="6" s="1"/>
  <c r="AI41" i="6"/>
  <c r="AI152" i="6" s="1"/>
  <c r="AI223" i="6" s="1"/>
  <c r="AI67" i="6"/>
  <c r="AI178" i="6" s="1"/>
  <c r="AI53" i="6"/>
  <c r="AI164" i="6" s="1"/>
  <c r="AI48" i="6"/>
  <c r="AI159" i="6" s="1"/>
  <c r="AI46" i="6"/>
  <c r="AI157" i="6" s="1"/>
  <c r="AI58" i="6"/>
  <c r="AI169" i="6" s="1"/>
  <c r="AI50" i="6"/>
  <c r="AI161" i="6" s="1"/>
  <c r="AI43" i="6"/>
  <c r="AI154" i="6" s="1"/>
  <c r="AI225" i="6" s="1"/>
  <c r="AI52" i="6"/>
  <c r="AI163" i="6" s="1"/>
  <c r="AI23" i="6"/>
  <c r="AI134" i="6" s="1"/>
  <c r="AI59" i="6"/>
  <c r="AI170" i="6" s="1"/>
  <c r="AI62" i="6"/>
  <c r="AI173" i="6" s="1"/>
  <c r="AI37" i="6"/>
  <c r="AI148" i="6" s="1"/>
  <c r="AI60" i="6"/>
  <c r="AI171" i="6" s="1"/>
  <c r="AI65" i="6"/>
  <c r="AI176" i="6" s="1"/>
  <c r="AI51" i="6"/>
  <c r="AI162" i="6" s="1"/>
  <c r="AI24" i="6"/>
  <c r="AI135" i="6" s="1"/>
  <c r="K131" i="6"/>
  <c r="AI218" i="6"/>
  <c r="AH256" i="6"/>
  <c r="AI219" i="6"/>
  <c r="AI216" i="6"/>
  <c r="N256" i="6"/>
  <c r="U256" i="6"/>
  <c r="AI249" i="6"/>
  <c r="AI213" i="6"/>
  <c r="AI215" i="6"/>
  <c r="AI9" i="6"/>
  <c r="AI19" i="6" s="1" a="1"/>
  <c r="AI19" i="6" s="1"/>
  <c r="AI253" i="6" s="1"/>
  <c r="AI217" i="6"/>
  <c r="AI214" i="6"/>
  <c r="O256" i="6"/>
  <c r="AH29" i="6"/>
  <c r="AH140" i="6" s="1"/>
  <c r="AI29" i="6"/>
  <c r="AI140" i="6" s="1"/>
  <c r="AH25" i="6"/>
  <c r="AH136" i="6" s="1"/>
  <c r="AH196" i="6" s="1"/>
  <c r="AI25" i="6"/>
  <c r="AI136" i="6" s="1"/>
  <c r="AH30" i="6"/>
  <c r="AH141" i="6" s="1"/>
  <c r="AI30" i="6"/>
  <c r="AI141" i="6" s="1"/>
  <c r="AH132" i="6"/>
  <c r="AH230" i="6"/>
  <c r="AH232" i="6"/>
  <c r="AH231" i="6"/>
  <c r="AH227" i="6"/>
  <c r="AH236" i="6" s="1"/>
  <c r="AH229" i="6"/>
  <c r="AH228" i="6"/>
  <c r="H249" i="6"/>
  <c r="K249" i="6"/>
  <c r="N249" i="6"/>
  <c r="T249" i="6"/>
  <c r="I249" i="6"/>
  <c r="U249" i="6"/>
  <c r="T256" i="6"/>
  <c r="K30" i="6"/>
  <c r="K141" i="6" s="1"/>
  <c r="K29" i="6"/>
  <c r="K140" i="6" s="1"/>
  <c r="K31" i="6"/>
  <c r="K142" i="6" s="1"/>
  <c r="I228" i="6"/>
  <c r="I232" i="6"/>
  <c r="I229" i="6"/>
  <c r="I132" i="6"/>
  <c r="H131" i="6"/>
  <c r="I131" i="6"/>
  <c r="H132" i="6"/>
  <c r="H248" i="6"/>
  <c r="H238" i="6"/>
  <c r="I230" i="6"/>
  <c r="I246" i="6" s="1"/>
  <c r="H228" i="6"/>
  <c r="H227" i="6"/>
  <c r="H229" i="6"/>
  <c r="I44" i="6"/>
  <c r="I155" i="6" s="1"/>
  <c r="I226" i="6" s="1"/>
  <c r="I233" i="6" s="1"/>
  <c r="H44" i="6"/>
  <c r="H155" i="6" s="1"/>
  <c r="H226" i="6" s="1"/>
  <c r="H233" i="6" s="1"/>
  <c r="I56" i="6"/>
  <c r="I167" i="6" s="1"/>
  <c r="H56" i="6"/>
  <c r="H167" i="6" s="1"/>
  <c r="I231" i="6"/>
  <c r="I57" i="6"/>
  <c r="I168" i="6" s="1"/>
  <c r="H57" i="6"/>
  <c r="H168" i="6" s="1"/>
  <c r="I25" i="6"/>
  <c r="I136" i="6" s="1"/>
  <c r="I198" i="6" s="1"/>
  <c r="H25" i="6"/>
  <c r="H136" i="6" s="1"/>
  <c r="I227" i="6"/>
  <c r="H232" i="6"/>
  <c r="H246" i="6" s="1"/>
  <c r="H231" i="6"/>
  <c r="H230" i="6"/>
  <c r="I237" i="6"/>
  <c r="I247" i="6"/>
  <c r="H247" i="6"/>
  <c r="H237" i="6"/>
  <c r="I248" i="6"/>
  <c r="I238" i="6"/>
  <c r="K231" i="6"/>
  <c r="K230" i="6"/>
  <c r="K232" i="6"/>
  <c r="K246" i="6" s="1"/>
  <c r="K233" i="6"/>
  <c r="K228" i="6"/>
  <c r="K229" i="6"/>
  <c r="K227" i="6"/>
  <c r="K198" i="6"/>
  <c r="K199" i="6"/>
  <c r="K200" i="6"/>
  <c r="K201" i="6"/>
  <c r="K202" i="6"/>
  <c r="K203" i="6"/>
  <c r="K196" i="6"/>
  <c r="K197" i="6"/>
  <c r="K248" i="6"/>
  <c r="K238" i="6"/>
  <c r="O22" i="6"/>
  <c r="O133" i="6" s="1"/>
  <c r="U22" i="6"/>
  <c r="U133" i="6" s="1"/>
  <c r="N22" i="6"/>
  <c r="N133" i="6" s="1"/>
  <c r="T22" i="6"/>
  <c r="T133" i="6" s="1"/>
  <c r="O63" i="6"/>
  <c r="O174" i="6" s="1"/>
  <c r="N63" i="6"/>
  <c r="N174" i="6" s="1"/>
  <c r="T63" i="6"/>
  <c r="T174" i="6" s="1"/>
  <c r="U63" i="6"/>
  <c r="U174" i="6" s="1"/>
  <c r="O48" i="6"/>
  <c r="O159" i="6" s="1"/>
  <c r="N48" i="6"/>
  <c r="N159" i="6" s="1"/>
  <c r="T48" i="6"/>
  <c r="T159" i="6" s="1"/>
  <c r="U48" i="6"/>
  <c r="U159" i="6" s="1"/>
  <c r="O55" i="6"/>
  <c r="O166" i="6" s="1"/>
  <c r="U55" i="6"/>
  <c r="U166" i="6" s="1"/>
  <c r="N55" i="6"/>
  <c r="N166" i="6" s="1"/>
  <c r="T55" i="6"/>
  <c r="T166" i="6" s="1"/>
  <c r="O50" i="6"/>
  <c r="O161" i="6" s="1"/>
  <c r="N50" i="6"/>
  <c r="N161" i="6" s="1"/>
  <c r="T50" i="6"/>
  <c r="T161" i="6" s="1"/>
  <c r="U50" i="6"/>
  <c r="U161" i="6" s="1"/>
  <c r="O64" i="6"/>
  <c r="O175" i="6" s="1"/>
  <c r="T64" i="6"/>
  <c r="T175" i="6" s="1"/>
  <c r="N64" i="6"/>
  <c r="N175" i="6" s="1"/>
  <c r="U64" i="6"/>
  <c r="U175" i="6" s="1"/>
  <c r="O34" i="6"/>
  <c r="O145" i="6" s="1"/>
  <c r="U34" i="6"/>
  <c r="U145" i="6" s="1"/>
  <c r="N34" i="6"/>
  <c r="N145" i="6" s="1"/>
  <c r="T34" i="6"/>
  <c r="T145" i="6" s="1"/>
  <c r="O41" i="6"/>
  <c r="O152" i="6" s="1"/>
  <c r="O223" i="6" s="1"/>
  <c r="T41" i="6"/>
  <c r="T152" i="6" s="1"/>
  <c r="T223" i="6" s="1"/>
  <c r="N41" i="6"/>
  <c r="N152" i="6" s="1"/>
  <c r="N223" i="6" s="1"/>
  <c r="U41" i="6"/>
  <c r="U152" i="6" s="1"/>
  <c r="U223" i="6" s="1"/>
  <c r="O62" i="6"/>
  <c r="O173" i="6" s="1"/>
  <c r="T62" i="6"/>
  <c r="T173" i="6" s="1"/>
  <c r="N62" i="6"/>
  <c r="N173" i="6" s="1"/>
  <c r="U62" i="6"/>
  <c r="U173" i="6" s="1"/>
  <c r="O60" i="6"/>
  <c r="O171" i="6" s="1"/>
  <c r="T60" i="6"/>
  <c r="T171" i="6" s="1"/>
  <c r="U60" i="6"/>
  <c r="U171" i="6" s="1"/>
  <c r="N60" i="6"/>
  <c r="N171" i="6" s="1"/>
  <c r="O49" i="6"/>
  <c r="O160" i="6" s="1"/>
  <c r="T49" i="6"/>
  <c r="T160" i="6" s="1"/>
  <c r="U49" i="6"/>
  <c r="U160" i="6" s="1"/>
  <c r="N49" i="6"/>
  <c r="N160" i="6" s="1"/>
  <c r="O59" i="6"/>
  <c r="O170" i="6" s="1"/>
  <c r="U59" i="6"/>
  <c r="U170" i="6" s="1"/>
  <c r="N59" i="6"/>
  <c r="N170" i="6" s="1"/>
  <c r="T59" i="6"/>
  <c r="T170" i="6" s="1"/>
  <c r="O32" i="6"/>
  <c r="O143" i="6" s="1"/>
  <c r="O221" i="6" s="1"/>
  <c r="U32" i="6"/>
  <c r="U143" i="6" s="1"/>
  <c r="U221" i="6" s="1"/>
  <c r="N32" i="6"/>
  <c r="N143" i="6" s="1"/>
  <c r="N221" i="6" s="1"/>
  <c r="T32" i="6"/>
  <c r="T143" i="6" s="1"/>
  <c r="T221" i="6" s="1"/>
  <c r="O53" i="6"/>
  <c r="O164" i="6" s="1"/>
  <c r="N53" i="6"/>
  <c r="N164" i="6" s="1"/>
  <c r="T53" i="6"/>
  <c r="T164" i="6" s="1"/>
  <c r="U53" i="6"/>
  <c r="U164" i="6" s="1"/>
  <c r="O38" i="6"/>
  <c r="O149" i="6" s="1"/>
  <c r="U38" i="6"/>
  <c r="U149" i="6" s="1"/>
  <c r="N38" i="6"/>
  <c r="N149" i="6" s="1"/>
  <c r="T38" i="6"/>
  <c r="T149" i="6" s="1"/>
  <c r="O65" i="6"/>
  <c r="O176" i="6" s="1"/>
  <c r="U65" i="6"/>
  <c r="U176" i="6" s="1"/>
  <c r="N65" i="6"/>
  <c r="N176" i="6" s="1"/>
  <c r="T65" i="6"/>
  <c r="T176" i="6" s="1"/>
  <c r="O54" i="6"/>
  <c r="O165" i="6" s="1"/>
  <c r="U54" i="6"/>
  <c r="U165" i="6" s="1"/>
  <c r="T54" i="6"/>
  <c r="T165" i="6" s="1"/>
  <c r="N54" i="6"/>
  <c r="N165" i="6" s="1"/>
  <c r="O46" i="6"/>
  <c r="O157" i="6" s="1"/>
  <c r="U46" i="6"/>
  <c r="U157" i="6" s="1"/>
  <c r="N46" i="6"/>
  <c r="N157" i="6" s="1"/>
  <c r="T46" i="6"/>
  <c r="T157" i="6" s="1"/>
  <c r="O61" i="6"/>
  <c r="O172" i="6" s="1"/>
  <c r="U61" i="6"/>
  <c r="U172" i="6" s="1"/>
  <c r="N61" i="6"/>
  <c r="N172" i="6" s="1"/>
  <c r="T61" i="6"/>
  <c r="T172" i="6" s="1"/>
  <c r="O52" i="6"/>
  <c r="O163" i="6" s="1"/>
  <c r="U52" i="6"/>
  <c r="U163" i="6" s="1"/>
  <c r="N52" i="6"/>
  <c r="N163" i="6" s="1"/>
  <c r="T52" i="6"/>
  <c r="T163" i="6" s="1"/>
  <c r="T251" i="6" s="1"/>
  <c r="O36" i="6"/>
  <c r="O147" i="6" s="1"/>
  <c r="N36" i="6"/>
  <c r="N147" i="6" s="1"/>
  <c r="U36" i="6"/>
  <c r="U147" i="6" s="1"/>
  <c r="T36" i="6"/>
  <c r="T147" i="6" s="1"/>
  <c r="O33" i="6"/>
  <c r="O144" i="6" s="1"/>
  <c r="N33" i="6"/>
  <c r="N144" i="6" s="1"/>
  <c r="T33" i="6"/>
  <c r="T144" i="6" s="1"/>
  <c r="U33" i="6"/>
  <c r="U144" i="6" s="1"/>
  <c r="O42" i="6"/>
  <c r="O153" i="6" s="1"/>
  <c r="O224" i="6" s="1"/>
  <c r="U42" i="6"/>
  <c r="U153" i="6" s="1"/>
  <c r="U224" i="6" s="1"/>
  <c r="T42" i="6"/>
  <c r="T153" i="6" s="1"/>
  <c r="T224" i="6" s="1"/>
  <c r="N42" i="6"/>
  <c r="N153" i="6" s="1"/>
  <c r="N224" i="6" s="1"/>
  <c r="O43" i="6"/>
  <c r="O154" i="6" s="1"/>
  <c r="O225" i="6" s="1"/>
  <c r="N43" i="6"/>
  <c r="N154" i="6" s="1"/>
  <c r="N225" i="6" s="1"/>
  <c r="U43" i="6"/>
  <c r="U154" i="6" s="1"/>
  <c r="U225" i="6" s="1"/>
  <c r="T43" i="6"/>
  <c r="T154" i="6" s="1"/>
  <c r="T225" i="6" s="1"/>
  <c r="O40" i="6"/>
  <c r="O151" i="6" s="1"/>
  <c r="O222" i="6" s="1"/>
  <c r="U40" i="6"/>
  <c r="U151" i="6" s="1"/>
  <c r="U222" i="6" s="1"/>
  <c r="N40" i="6"/>
  <c r="N151" i="6" s="1"/>
  <c r="N222" i="6" s="1"/>
  <c r="T40" i="6"/>
  <c r="T151" i="6" s="1"/>
  <c r="T222" i="6" s="1"/>
  <c r="O37" i="6"/>
  <c r="O148" i="6" s="1"/>
  <c r="U37" i="6"/>
  <c r="U148" i="6" s="1"/>
  <c r="N37" i="6"/>
  <c r="N148" i="6" s="1"/>
  <c r="T37" i="6"/>
  <c r="T148" i="6" s="1"/>
  <c r="O47" i="6"/>
  <c r="O158" i="6" s="1"/>
  <c r="N47" i="6"/>
  <c r="N158" i="6" s="1"/>
  <c r="T47" i="6"/>
  <c r="T158" i="6" s="1"/>
  <c r="U47" i="6"/>
  <c r="U158" i="6" s="1"/>
  <c r="O67" i="6"/>
  <c r="O178" i="6" s="1"/>
  <c r="U67" i="6"/>
  <c r="U178" i="6" s="1"/>
  <c r="T67" i="6"/>
  <c r="T178" i="6" s="1"/>
  <c r="N67" i="6"/>
  <c r="N178" i="6" s="1"/>
  <c r="O23" i="6"/>
  <c r="O134" i="6" s="1"/>
  <c r="T23" i="6"/>
  <c r="T134" i="6" s="1"/>
  <c r="U23" i="6"/>
  <c r="U134" i="6" s="1"/>
  <c r="N23" i="6"/>
  <c r="N134" i="6" s="1"/>
  <c r="O28" i="6"/>
  <c r="O139" i="6" s="1"/>
  <c r="U28" i="6"/>
  <c r="U139" i="6" s="1"/>
  <c r="N28" i="6"/>
  <c r="N139" i="6" s="1"/>
  <c r="T28" i="6"/>
  <c r="T139" i="6" s="1"/>
  <c r="O51" i="6"/>
  <c r="O162" i="6" s="1"/>
  <c r="N51" i="6"/>
  <c r="N162" i="6" s="1"/>
  <c r="U51" i="6"/>
  <c r="U162" i="6" s="1"/>
  <c r="T51" i="6"/>
  <c r="T162" i="6" s="1"/>
  <c r="O35" i="6"/>
  <c r="O146" i="6" s="1"/>
  <c r="U35" i="6"/>
  <c r="U146" i="6" s="1"/>
  <c r="N35" i="6"/>
  <c r="N146" i="6" s="1"/>
  <c r="T35" i="6"/>
  <c r="T146" i="6" s="1"/>
  <c r="O39" i="6"/>
  <c r="O150" i="6" s="1"/>
  <c r="N39" i="6"/>
  <c r="N150" i="6" s="1"/>
  <c r="T39" i="6"/>
  <c r="T150" i="6" s="1"/>
  <c r="U39" i="6"/>
  <c r="U150" i="6" s="1"/>
  <c r="O24" i="6"/>
  <c r="O135" i="6" s="1"/>
  <c r="U24" i="6"/>
  <c r="U135" i="6" s="1"/>
  <c r="N24" i="6"/>
  <c r="N135" i="6" s="1"/>
  <c r="T24" i="6"/>
  <c r="T135" i="6" s="1"/>
  <c r="O58" i="6"/>
  <c r="O169" i="6" s="1"/>
  <c r="U58" i="6"/>
  <c r="U169" i="6" s="1"/>
  <c r="N58" i="6"/>
  <c r="N169" i="6" s="1"/>
  <c r="T58" i="6"/>
  <c r="T169" i="6" s="1"/>
  <c r="O66" i="6"/>
  <c r="O177" i="6" s="1"/>
  <c r="U66" i="6"/>
  <c r="U177" i="6" s="1"/>
  <c r="T66" i="6"/>
  <c r="T177" i="6" s="1"/>
  <c r="N66" i="6"/>
  <c r="N177" i="6" s="1"/>
  <c r="O45" i="6"/>
  <c r="O156" i="6" s="1"/>
  <c r="T45" i="6"/>
  <c r="T156" i="6" s="1"/>
  <c r="N45" i="6"/>
  <c r="N156" i="6" s="1"/>
  <c r="U45" i="6"/>
  <c r="U156" i="6" s="1"/>
  <c r="U29" i="6"/>
  <c r="U140" i="6" s="1"/>
  <c r="O29" i="6"/>
  <c r="O140" i="6" s="1"/>
  <c r="U25" i="6"/>
  <c r="U136" i="6" s="1"/>
  <c r="O25" i="6"/>
  <c r="O136" i="6" s="1"/>
  <c r="U30" i="6"/>
  <c r="U141" i="6" s="1"/>
  <c r="O30" i="6"/>
  <c r="O141" i="6" s="1"/>
  <c r="T25" i="6"/>
  <c r="T136" i="6" s="1"/>
  <c r="N25" i="6"/>
  <c r="N136" i="6" s="1"/>
  <c r="T29" i="6"/>
  <c r="T140" i="6" s="1"/>
  <c r="N29" i="6"/>
  <c r="N140" i="6" s="1"/>
  <c r="T30" i="6"/>
  <c r="T141" i="6" s="1"/>
  <c r="N30" i="6"/>
  <c r="N141" i="6" s="1"/>
  <c r="T252" i="6"/>
  <c r="T241" i="6"/>
  <c r="AF30" i="18"/>
  <c r="AE41" i="7"/>
  <c r="Q37" i="11"/>
  <c r="AE40" i="7"/>
  <c r="P37" i="11"/>
  <c r="AD41" i="7"/>
  <c r="Q36" i="11"/>
  <c r="AD40" i="7"/>
  <c r="P36" i="11"/>
  <c r="AJ256" i="6" s="1"/>
  <c r="AE15" i="7"/>
  <c r="AE11" i="7"/>
  <c r="Q99" i="7"/>
  <c r="S9" i="11" s="1"/>
  <c r="AG10" i="7"/>
  <c r="Q204" i="7" a="1"/>
  <c r="Q204" i="7" s="1"/>
  <c r="AF13" i="18" s="1"/>
  <c r="AF11" i="18"/>
  <c r="T11" i="11"/>
  <c r="AF11" i="17"/>
  <c r="T10" i="11"/>
  <c r="AF12" i="18"/>
  <c r="S11" i="11"/>
  <c r="AF12" i="17"/>
  <c r="S10" i="11"/>
  <c r="AF13" i="17"/>
  <c r="P10" i="11"/>
  <c r="AF24" i="16"/>
  <c r="AF20" i="16"/>
  <c r="AF28" i="16"/>
  <c r="AF27" i="16"/>
  <c r="AF29" i="16"/>
  <c r="AF18" i="16"/>
  <c r="Q92" i="7"/>
  <c r="P15" i="11" s="1"/>
  <c r="AF17" i="16"/>
  <c r="AF15" i="16"/>
  <c r="AF21" i="16"/>
  <c r="AF25" i="16"/>
  <c r="AF26" i="16"/>
  <c r="AF23" i="16"/>
  <c r="AF22" i="16"/>
  <c r="AF19" i="16"/>
  <c r="AF16" i="16"/>
  <c r="V105" i="15"/>
  <c r="G80" i="7" s="1"/>
  <c r="K80" i="7" s="1"/>
  <c r="AE28" i="7" s="1"/>
  <c r="V70" i="14" a="1"/>
  <c r="V70" i="14" s="1"/>
  <c r="AF14" i="16"/>
  <c r="Y244" i="14"/>
  <c r="AL244" i="14"/>
  <c r="AL178" i="14"/>
  <c r="Y178" i="14"/>
  <c r="Q98" i="7"/>
  <c r="A2" i="11"/>
  <c r="D818" i="3"/>
  <c r="E818" i="3"/>
  <c r="F818" i="3"/>
  <c r="G818" i="3"/>
  <c r="H818" i="3"/>
  <c r="I818" i="3"/>
  <c r="J818" i="3"/>
  <c r="K818" i="3"/>
  <c r="L818" i="3"/>
  <c r="M818" i="3"/>
  <c r="N818" i="3"/>
  <c r="O818" i="3"/>
  <c r="P818" i="3"/>
  <c r="Q818" i="3"/>
  <c r="C818" i="3"/>
  <c r="D568" i="3"/>
  <c r="E568" i="3"/>
  <c r="F568" i="3"/>
  <c r="G568" i="3"/>
  <c r="H568" i="3"/>
  <c r="I568" i="3"/>
  <c r="J568" i="3"/>
  <c r="K568" i="3"/>
  <c r="L568" i="3"/>
  <c r="M568" i="3"/>
  <c r="N568" i="3"/>
  <c r="O568" i="3"/>
  <c r="P568" i="3"/>
  <c r="Q568" i="3"/>
  <c r="C568" i="3"/>
  <c r="D315" i="3"/>
  <c r="E315" i="3"/>
  <c r="F315" i="3"/>
  <c r="G315" i="3"/>
  <c r="H315" i="3"/>
  <c r="I315" i="3"/>
  <c r="J315" i="3"/>
  <c r="K315" i="3"/>
  <c r="L315" i="3"/>
  <c r="M315" i="3"/>
  <c r="N315" i="3"/>
  <c r="O315" i="3"/>
  <c r="P315" i="3"/>
  <c r="Q315" i="3"/>
  <c r="C315" i="3"/>
  <c r="D291" i="3"/>
  <c r="E291" i="3"/>
  <c r="F291" i="3"/>
  <c r="G291" i="3"/>
  <c r="H291" i="3"/>
  <c r="I291" i="3"/>
  <c r="J291" i="3"/>
  <c r="K291" i="3"/>
  <c r="L291" i="3"/>
  <c r="M291" i="3"/>
  <c r="N291" i="3"/>
  <c r="O291" i="3"/>
  <c r="P291" i="3"/>
  <c r="Q291" i="3"/>
  <c r="C291" i="3"/>
  <c r="D164" i="3"/>
  <c r="E164" i="3"/>
  <c r="F164" i="3"/>
  <c r="G164" i="3"/>
  <c r="H164" i="3"/>
  <c r="I164" i="3"/>
  <c r="J164" i="3"/>
  <c r="K164" i="3"/>
  <c r="L164" i="3"/>
  <c r="M164" i="3"/>
  <c r="N164" i="3"/>
  <c r="O164" i="3"/>
  <c r="P164" i="3"/>
  <c r="Q164" i="3"/>
  <c r="C164" i="3"/>
  <c r="D88" i="3"/>
  <c r="E88" i="3"/>
  <c r="F88" i="3"/>
  <c r="G88" i="3"/>
  <c r="H88" i="3"/>
  <c r="I88" i="3"/>
  <c r="J88" i="3"/>
  <c r="K88" i="3"/>
  <c r="L88" i="3"/>
  <c r="M88" i="3"/>
  <c r="N88" i="3"/>
  <c r="O88" i="3"/>
  <c r="P88" i="3"/>
  <c r="Q88" i="3"/>
  <c r="C88" i="3"/>
  <c r="D87" i="3"/>
  <c r="E87" i="3"/>
  <c r="F87" i="3"/>
  <c r="G87" i="3"/>
  <c r="H87" i="3"/>
  <c r="I87" i="3"/>
  <c r="J87" i="3"/>
  <c r="K87" i="3"/>
  <c r="L87" i="3"/>
  <c r="M87" i="3"/>
  <c r="N87" i="3"/>
  <c r="O87" i="3"/>
  <c r="P87" i="3"/>
  <c r="Q87" i="3"/>
  <c r="C87" i="3"/>
  <c r="D84" i="3"/>
  <c r="E84" i="3"/>
  <c r="F84" i="3"/>
  <c r="G84" i="3"/>
  <c r="H84" i="3"/>
  <c r="I84" i="3"/>
  <c r="J84" i="3"/>
  <c r="K84" i="3"/>
  <c r="L84" i="3"/>
  <c r="M84" i="3"/>
  <c r="N84" i="3"/>
  <c r="O84" i="3"/>
  <c r="P84" i="3"/>
  <c r="Q84" i="3"/>
  <c r="C84" i="3"/>
  <c r="D83" i="3"/>
  <c r="E83" i="3"/>
  <c r="F83" i="3"/>
  <c r="G83" i="3"/>
  <c r="H83" i="3"/>
  <c r="I83" i="3"/>
  <c r="J83" i="3"/>
  <c r="K83" i="3"/>
  <c r="L83" i="3"/>
  <c r="M83" i="3"/>
  <c r="N83" i="3"/>
  <c r="O83" i="3"/>
  <c r="P83" i="3"/>
  <c r="Q83" i="3"/>
  <c r="C83" i="3"/>
  <c r="T132" i="6" a="1"/>
  <c r="U132" i="6" a="1"/>
  <c r="N132" i="6" a="1"/>
  <c r="O132" i="6" a="1"/>
  <c r="AI132" i="6" a="1"/>
  <c r="AI230" i="6" l="1"/>
  <c r="AI227" i="6"/>
  <c r="AI236" i="6" s="1"/>
  <c r="AI229" i="6"/>
  <c r="AI231" i="6"/>
  <c r="AI232" i="6"/>
  <c r="AI246" i="6" s="1"/>
  <c r="AI228" i="6"/>
  <c r="AI132" i="6"/>
  <c r="AH31" i="6"/>
  <c r="AH142" i="6" s="1"/>
  <c r="AI31" i="6"/>
  <c r="AI142" i="6" s="1"/>
  <c r="AH27" i="6"/>
  <c r="AH138" i="6" s="1"/>
  <c r="AI27" i="6"/>
  <c r="AI138" i="6" s="1"/>
  <c r="AH44" i="6"/>
  <c r="AH155" i="6" s="1"/>
  <c r="AH226" i="6" s="1"/>
  <c r="AH233" i="6" s="1"/>
  <c r="AI44" i="6"/>
  <c r="AI155" i="6" s="1"/>
  <c r="AI226" i="6" s="1"/>
  <c r="AI233" i="6" s="1"/>
  <c r="AH56" i="6"/>
  <c r="AH167" i="6" s="1"/>
  <c r="AI56" i="6"/>
  <c r="AI167" i="6" s="1"/>
  <c r="AH246" i="6"/>
  <c r="AH57" i="6"/>
  <c r="AH168" i="6" s="1"/>
  <c r="AI57" i="6"/>
  <c r="AI168" i="6" s="1"/>
  <c r="AI248" i="6"/>
  <c r="AI238" i="6"/>
  <c r="AH201" i="6"/>
  <c r="AH203" i="6"/>
  <c r="AH237" i="6"/>
  <c r="AH200" i="6"/>
  <c r="AH197" i="6"/>
  <c r="AH198" i="6"/>
  <c r="AH202" i="6"/>
  <c r="AH199" i="6"/>
  <c r="AI196" i="6"/>
  <c r="AI201" i="6"/>
  <c r="AI197" i="6"/>
  <c r="AI198" i="6"/>
  <c r="AI199" i="6"/>
  <c r="AI200" i="6"/>
  <c r="AI202" i="6"/>
  <c r="AI203" i="6"/>
  <c r="AH247" i="6"/>
  <c r="AI237" i="6"/>
  <c r="AI247" i="6"/>
  <c r="AH248" i="6"/>
  <c r="AH238" i="6"/>
  <c r="K237" i="6"/>
  <c r="K243" i="6" s="1"/>
  <c r="K247" i="6"/>
  <c r="I196" i="6"/>
  <c r="I202" i="6"/>
  <c r="I203" i="6"/>
  <c r="I199" i="6"/>
  <c r="I243" i="6"/>
  <c r="I201" i="6"/>
  <c r="I200" i="6"/>
  <c r="H199" i="6"/>
  <c r="H200" i="6"/>
  <c r="H201" i="6"/>
  <c r="H203" i="6"/>
  <c r="H202" i="6"/>
  <c r="H198" i="6"/>
  <c r="H196" i="6"/>
  <c r="H197" i="6"/>
  <c r="H243" i="6"/>
  <c r="I197" i="6"/>
  <c r="I26" i="6"/>
  <c r="I137" i="6" s="1"/>
  <c r="H26" i="6"/>
  <c r="H137" i="6" s="1"/>
  <c r="K255" i="6"/>
  <c r="T202" i="6"/>
  <c r="N132" i="6"/>
  <c r="U132" i="6"/>
  <c r="O132" i="6"/>
  <c r="T132" i="6"/>
  <c r="O56" i="6"/>
  <c r="O167" i="6" s="1"/>
  <c r="T56" i="6"/>
  <c r="T167" i="6" s="1"/>
  <c r="U56" i="6"/>
  <c r="U167" i="6" s="1"/>
  <c r="N56" i="6"/>
  <c r="N167" i="6" s="1"/>
  <c r="U230" i="6"/>
  <c r="U232" i="6"/>
  <c r="U246" i="6" s="1"/>
  <c r="U231" i="6"/>
  <c r="O57" i="6"/>
  <c r="O168" i="6" s="1"/>
  <c r="N57" i="6"/>
  <c r="N168" i="6" s="1"/>
  <c r="U57" i="6"/>
  <c r="U168" i="6" s="1"/>
  <c r="T57" i="6"/>
  <c r="T168" i="6" s="1"/>
  <c r="N231" i="6"/>
  <c r="N230" i="6"/>
  <c r="N246" i="6" s="1"/>
  <c r="N232" i="6"/>
  <c r="T232" i="6"/>
  <c r="T246" i="6" s="1"/>
  <c r="T231" i="6"/>
  <c r="T230" i="6"/>
  <c r="O231" i="6"/>
  <c r="O230" i="6"/>
  <c r="O246" i="6" s="1"/>
  <c r="O232" i="6"/>
  <c r="O27" i="6"/>
  <c r="O138" i="6" s="1"/>
  <c r="T27" i="6"/>
  <c r="T138" i="6" s="1"/>
  <c r="N27" i="6"/>
  <c r="N138" i="6" s="1"/>
  <c r="U27" i="6"/>
  <c r="U138" i="6" s="1"/>
  <c r="U200" i="6"/>
  <c r="U227" i="6"/>
  <c r="U229" i="6"/>
  <c r="U228" i="6"/>
  <c r="O248" i="6"/>
  <c r="O238" i="6"/>
  <c r="T248" i="6"/>
  <c r="N238" i="6"/>
  <c r="N248" i="6"/>
  <c r="T238" i="6"/>
  <c r="U238" i="6"/>
  <c r="U248" i="6"/>
  <c r="T228" i="6"/>
  <c r="T227" i="6"/>
  <c r="T229" i="6"/>
  <c r="O31" i="6"/>
  <c r="O142" i="6" s="1"/>
  <c r="N31" i="6"/>
  <c r="N142" i="6" s="1"/>
  <c r="U31" i="6"/>
  <c r="U142" i="6" s="1"/>
  <c r="T31" i="6"/>
  <c r="T142" i="6" s="1"/>
  <c r="N229" i="6"/>
  <c r="N227" i="6"/>
  <c r="N228" i="6"/>
  <c r="O44" i="6"/>
  <c r="O155" i="6" s="1"/>
  <c r="O226" i="6" s="1"/>
  <c r="O233" i="6" s="1"/>
  <c r="T44" i="6"/>
  <c r="T155" i="6" s="1"/>
  <c r="T226" i="6" s="1"/>
  <c r="T233" i="6" s="1"/>
  <c r="U44" i="6"/>
  <c r="U155" i="6" s="1"/>
  <c r="U226" i="6" s="1"/>
  <c r="U233" i="6" s="1"/>
  <c r="N44" i="6"/>
  <c r="N155" i="6" s="1"/>
  <c r="N226" i="6" s="1"/>
  <c r="N233" i="6" s="1"/>
  <c r="O228" i="6"/>
  <c r="O227" i="6"/>
  <c r="O229" i="6"/>
  <c r="E56" i="6"/>
  <c r="E167" i="6" s="1"/>
  <c r="C56" i="6"/>
  <c r="C167" i="6" s="1"/>
  <c r="AF56" i="6"/>
  <c r="AF167" i="6" s="1"/>
  <c r="AE56" i="6"/>
  <c r="AE167" i="6" s="1"/>
  <c r="AE57" i="6"/>
  <c r="AE168" i="6" s="1"/>
  <c r="E57" i="6"/>
  <c r="E168" i="6" s="1"/>
  <c r="AF57" i="6"/>
  <c r="AF168" i="6" s="1"/>
  <c r="C57" i="6"/>
  <c r="C168" i="6" s="1"/>
  <c r="U237" i="6"/>
  <c r="U196" i="6"/>
  <c r="U247" i="6"/>
  <c r="U199" i="6"/>
  <c r="U198" i="6"/>
  <c r="U197" i="6"/>
  <c r="U203" i="6"/>
  <c r="O196" i="6"/>
  <c r="O197" i="6"/>
  <c r="O198" i="6"/>
  <c r="O199" i="6"/>
  <c r="O200" i="6"/>
  <c r="O201" i="6"/>
  <c r="O202" i="6"/>
  <c r="O203" i="6"/>
  <c r="U201" i="6"/>
  <c r="O237" i="6"/>
  <c r="O247" i="6"/>
  <c r="U202" i="6"/>
  <c r="AD56" i="6"/>
  <c r="AD167" i="6" s="1"/>
  <c r="AA56" i="6"/>
  <c r="AA167" i="6" s="1"/>
  <c r="D56" i="6"/>
  <c r="D167" i="6" s="1"/>
  <c r="AB56" i="6"/>
  <c r="AB167" i="6" s="1"/>
  <c r="AC56" i="6"/>
  <c r="AC167" i="6" s="1"/>
  <c r="AA57" i="6"/>
  <c r="AA168" i="6" s="1"/>
  <c r="AB57" i="6"/>
  <c r="AB168" i="6" s="1"/>
  <c r="D57" i="6"/>
  <c r="D168" i="6" s="1"/>
  <c r="AC57" i="6"/>
  <c r="AC168" i="6" s="1"/>
  <c r="AD57" i="6"/>
  <c r="AD168" i="6" s="1"/>
  <c r="T203" i="6"/>
  <c r="T201" i="6"/>
  <c r="T200" i="6"/>
  <c r="T237" i="6"/>
  <c r="T198" i="6"/>
  <c r="T247" i="6"/>
  <c r="T197" i="6"/>
  <c r="T199" i="6"/>
  <c r="T196" i="6"/>
  <c r="N237" i="6"/>
  <c r="N247" i="6"/>
  <c r="N196" i="6"/>
  <c r="N197" i="6"/>
  <c r="N198" i="6"/>
  <c r="N199" i="6"/>
  <c r="N203" i="6"/>
  <c r="N200" i="6"/>
  <c r="N201" i="6"/>
  <c r="N202" i="6"/>
  <c r="W21" i="6"/>
  <c r="X21" i="6"/>
  <c r="Y21" i="6"/>
  <c r="Z21" i="6"/>
  <c r="M21" i="6"/>
  <c r="P21" i="6"/>
  <c r="Q21" i="6"/>
  <c r="R21" i="6"/>
  <c r="S21" i="6"/>
  <c r="AG21" i="6"/>
  <c r="V21" i="6"/>
  <c r="B21" i="6"/>
  <c r="K1" i="11"/>
  <c r="F21" i="6"/>
  <c r="G21" i="6"/>
  <c r="J21" i="6"/>
  <c r="L21" i="6"/>
  <c r="P11" i="11"/>
  <c r="AF11" i="16"/>
  <c r="T9" i="11"/>
  <c r="AF30" i="16"/>
  <c r="K13" i="7"/>
  <c r="AD13" i="7" s="1"/>
  <c r="K15" i="7"/>
  <c r="Y112" i="14" a="1"/>
  <c r="Y112" i="14" s="1"/>
  <c r="AL112" i="14"/>
  <c r="K45" i="7"/>
  <c r="AD45" i="7" s="1"/>
  <c r="K34" i="7"/>
  <c r="AD34" i="7" s="1"/>
  <c r="K21" i="7"/>
  <c r="AD21" i="7" s="1"/>
  <c r="K32" i="7"/>
  <c r="AD32" i="7" s="1"/>
  <c r="K20" i="7"/>
  <c r="AD20" i="7" s="1"/>
  <c r="K7" i="7"/>
  <c r="AD7" i="7" s="1"/>
  <c r="K17" i="7"/>
  <c r="AD17" i="7" s="1"/>
  <c r="K43" i="7"/>
  <c r="AD43" i="7" s="1"/>
  <c r="K26" i="7"/>
  <c r="AD26" i="7" s="1"/>
  <c r="K51" i="7"/>
  <c r="AD51" i="7" s="1"/>
  <c r="K50" i="7"/>
  <c r="AD50" i="7" s="1"/>
  <c r="K12" i="7"/>
  <c r="AD12" i="7" s="1"/>
  <c r="K35" i="7"/>
  <c r="AD35" i="7" s="1"/>
  <c r="K11" i="7"/>
  <c r="AD11" i="7" s="1"/>
  <c r="K27" i="7"/>
  <c r="AD27" i="7" s="1"/>
  <c r="K8" i="7"/>
  <c r="AD8" i="7" s="1"/>
  <c r="K36" i="7"/>
  <c r="AD36" i="7" s="1"/>
  <c r="K33" i="7"/>
  <c r="AD33" i="7" s="1"/>
  <c r="K25" i="7"/>
  <c r="AD25" i="7" s="1"/>
  <c r="K9" i="7"/>
  <c r="AD9" i="7" s="1"/>
  <c r="K18" i="7"/>
  <c r="AD18" i="7" s="1"/>
  <c r="K46" i="7"/>
  <c r="AD46" i="7" s="1"/>
  <c r="K47" i="7"/>
  <c r="AD47" i="7" s="1"/>
  <c r="K39" i="7"/>
  <c r="AD39" i="7" s="1"/>
  <c r="K16" i="7"/>
  <c r="AD16" i="7" s="1"/>
  <c r="K48" i="7"/>
  <c r="AD48" i="7" s="1"/>
  <c r="K29" i="7"/>
  <c r="AD29" i="7" s="1"/>
  <c r="K30" i="7"/>
  <c r="AD30" i="7" s="1"/>
  <c r="K22" i="7"/>
  <c r="AD22" i="7" s="1"/>
  <c r="K38" i="7"/>
  <c r="AD38" i="7" s="1"/>
  <c r="K14" i="7"/>
  <c r="AD14" i="7" s="1"/>
  <c r="K42" i="7"/>
  <c r="AD42" i="7" s="1"/>
  <c r="K31" i="7"/>
  <c r="AD31" i="7" s="1"/>
  <c r="K44" i="7"/>
  <c r="AD44" i="7" s="1"/>
  <c r="K24" i="7"/>
  <c r="AD24" i="7" s="1"/>
  <c r="K49" i="7"/>
  <c r="AD49" i="7" s="1"/>
  <c r="K37" i="7"/>
  <c r="AD37" i="7" s="1"/>
  <c r="K19" i="7"/>
  <c r="AD19" i="7" s="1"/>
  <c r="AH131" i="6" a="1"/>
  <c r="AI131" i="6" a="1"/>
  <c r="T131" i="6" a="1"/>
  <c r="I130" i="6" a="1"/>
  <c r="O131" i="6" a="1"/>
  <c r="N131" i="6" a="1"/>
  <c r="U131" i="6" a="1"/>
  <c r="H130" i="6" a="1"/>
  <c r="AI131" i="6" l="1"/>
  <c r="AH131" i="6"/>
  <c r="AH235" i="6"/>
  <c r="AH243" i="6" s="1"/>
  <c r="AI235" i="6"/>
  <c r="AI243" i="6" s="1"/>
  <c r="H130" i="6"/>
  <c r="H245" i="6" s="1"/>
  <c r="H255" i="6" s="1"/>
  <c r="I130" i="6"/>
  <c r="I245" i="6" s="1"/>
  <c r="I255" i="6" s="1"/>
  <c r="T243" i="6"/>
  <c r="U243" i="6"/>
  <c r="O243" i="6"/>
  <c r="N243" i="6"/>
  <c r="U131" i="6"/>
  <c r="N131" i="6"/>
  <c r="T131" i="6"/>
  <c r="O131" i="6"/>
  <c r="C64" i="6"/>
  <c r="C175" i="6" s="1"/>
  <c r="AE64" i="6"/>
  <c r="AE175" i="6" s="1"/>
  <c r="E64" i="6"/>
  <c r="E175" i="6" s="1"/>
  <c r="AF64" i="6"/>
  <c r="AF175" i="6" s="1"/>
  <c r="C50" i="6"/>
  <c r="C161" i="6" s="1"/>
  <c r="AE50" i="6"/>
  <c r="AE161" i="6" s="1"/>
  <c r="E50" i="6"/>
  <c r="E161" i="6" s="1"/>
  <c r="AF50" i="6"/>
  <c r="AF161" i="6" s="1"/>
  <c r="C51" i="6"/>
  <c r="C162" i="6" s="1"/>
  <c r="E51" i="6"/>
  <c r="E162" i="6" s="1"/>
  <c r="AF51" i="6"/>
  <c r="AF162" i="6" s="1"/>
  <c r="AE51" i="6"/>
  <c r="AE162" i="6" s="1"/>
  <c r="AE58" i="6"/>
  <c r="AE169" i="6" s="1"/>
  <c r="AF58" i="6"/>
  <c r="AF169" i="6" s="1"/>
  <c r="E58" i="6"/>
  <c r="E169" i="6" s="1"/>
  <c r="C58" i="6"/>
  <c r="C169" i="6" s="1"/>
  <c r="C25" i="6"/>
  <c r="C136" i="6" s="1"/>
  <c r="E25" i="6"/>
  <c r="E136" i="6" s="1"/>
  <c r="AF25" i="6"/>
  <c r="AF136" i="6" s="1"/>
  <c r="AE25" i="6"/>
  <c r="AE136" i="6" s="1"/>
  <c r="E59" i="6"/>
  <c r="E170" i="6" s="1"/>
  <c r="C59" i="6"/>
  <c r="C170" i="6" s="1"/>
  <c r="AE59" i="6"/>
  <c r="AE170" i="6" s="1"/>
  <c r="AF59" i="6"/>
  <c r="AF170" i="6" s="1"/>
  <c r="E35" i="6"/>
  <c r="E146" i="6" s="1"/>
  <c r="C35" i="6"/>
  <c r="C146" i="6" s="1"/>
  <c r="AF35" i="6"/>
  <c r="AF146" i="6" s="1"/>
  <c r="AE35" i="6"/>
  <c r="AE146" i="6" s="1"/>
  <c r="AE40" i="6"/>
  <c r="AE151" i="6" s="1"/>
  <c r="AE222" i="6" s="1"/>
  <c r="C40" i="6"/>
  <c r="C151" i="6" s="1"/>
  <c r="C222" i="6" s="1"/>
  <c r="E40" i="6"/>
  <c r="E151" i="6" s="1"/>
  <c r="E222" i="6" s="1"/>
  <c r="AF40" i="6"/>
  <c r="AF151" i="6" s="1"/>
  <c r="AF222" i="6" s="1"/>
  <c r="AF67" i="6"/>
  <c r="AF178" i="6" s="1"/>
  <c r="AE67" i="6"/>
  <c r="AE178" i="6" s="1"/>
  <c r="E67" i="6"/>
  <c r="E178" i="6" s="1"/>
  <c r="C67" i="6"/>
  <c r="C178" i="6" s="1"/>
  <c r="AE34" i="6"/>
  <c r="AE145" i="6" s="1"/>
  <c r="AF34" i="6"/>
  <c r="AF145" i="6" s="1"/>
  <c r="E34" i="6"/>
  <c r="E145" i="6" s="1"/>
  <c r="C34" i="6"/>
  <c r="C145" i="6" s="1"/>
  <c r="AE33" i="6"/>
  <c r="AE144" i="6" s="1"/>
  <c r="C33" i="6"/>
  <c r="C144" i="6" s="1"/>
  <c r="E33" i="6"/>
  <c r="E144" i="6" s="1"/>
  <c r="AF33" i="6"/>
  <c r="AF144" i="6" s="1"/>
  <c r="AF28" i="6"/>
  <c r="AF139" i="6" s="1"/>
  <c r="C28" i="6"/>
  <c r="C139" i="6" s="1"/>
  <c r="AE28" i="6"/>
  <c r="AE139" i="6" s="1"/>
  <c r="E28" i="6"/>
  <c r="E139" i="6" s="1"/>
  <c r="E63" i="6"/>
  <c r="E174" i="6" s="1"/>
  <c r="AF63" i="6"/>
  <c r="AF174" i="6" s="1"/>
  <c r="C63" i="6"/>
  <c r="C174" i="6" s="1"/>
  <c r="AE63" i="6"/>
  <c r="AE174" i="6" s="1"/>
  <c r="E41" i="6"/>
  <c r="E152" i="6" s="1"/>
  <c r="E223" i="6" s="1"/>
  <c r="AF41" i="6"/>
  <c r="AF152" i="6" s="1"/>
  <c r="AF223" i="6" s="1"/>
  <c r="C41" i="6"/>
  <c r="C152" i="6" s="1"/>
  <c r="C223" i="6" s="1"/>
  <c r="AE41" i="6"/>
  <c r="AE152" i="6" s="1"/>
  <c r="AE223" i="6" s="1"/>
  <c r="E49" i="6"/>
  <c r="E160" i="6" s="1"/>
  <c r="AF49" i="6"/>
  <c r="AF160" i="6" s="1"/>
  <c r="AE49" i="6"/>
  <c r="AE160" i="6" s="1"/>
  <c r="C49" i="6"/>
  <c r="C160" i="6" s="1"/>
  <c r="AF23" i="6"/>
  <c r="AF134" i="6" s="1"/>
  <c r="E23" i="6"/>
  <c r="E134" i="6" s="1"/>
  <c r="C23" i="6"/>
  <c r="C134" i="6" s="1"/>
  <c r="AE23" i="6"/>
  <c r="AE134" i="6" s="1"/>
  <c r="C27" i="6"/>
  <c r="C138" i="6" s="1"/>
  <c r="E27" i="6"/>
  <c r="E138" i="6" s="1"/>
  <c r="AF27" i="6"/>
  <c r="AF138" i="6" s="1"/>
  <c r="AE27" i="6"/>
  <c r="AE138" i="6" s="1"/>
  <c r="E53" i="6"/>
  <c r="E164" i="6" s="1"/>
  <c r="AF53" i="6"/>
  <c r="AF164" i="6" s="1"/>
  <c r="C53" i="6"/>
  <c r="C164" i="6" s="1"/>
  <c r="AE53" i="6"/>
  <c r="AE164" i="6" s="1"/>
  <c r="AF61" i="6"/>
  <c r="AF172" i="6" s="1"/>
  <c r="AE61" i="6"/>
  <c r="AE172" i="6" s="1"/>
  <c r="C61" i="6"/>
  <c r="C172" i="6" s="1"/>
  <c r="E61" i="6"/>
  <c r="E172" i="6" s="1"/>
  <c r="C62" i="6"/>
  <c r="C173" i="6" s="1"/>
  <c r="E62" i="6"/>
  <c r="E173" i="6" s="1"/>
  <c r="AF62" i="6"/>
  <c r="AF173" i="6" s="1"/>
  <c r="AE62" i="6"/>
  <c r="AE173" i="6" s="1"/>
  <c r="AE38" i="6"/>
  <c r="AE149" i="6" s="1"/>
  <c r="AF38" i="6"/>
  <c r="AF149" i="6" s="1"/>
  <c r="C38" i="6"/>
  <c r="C149" i="6" s="1"/>
  <c r="E38" i="6"/>
  <c r="E149" i="6" s="1"/>
  <c r="C52" i="6"/>
  <c r="C163" i="6" s="1"/>
  <c r="AE52" i="6"/>
  <c r="AE163" i="6" s="1"/>
  <c r="E52" i="6"/>
  <c r="E163" i="6" s="1"/>
  <c r="AF52" i="6"/>
  <c r="AF163" i="6" s="1"/>
  <c r="AF36" i="6"/>
  <c r="AF147" i="6" s="1"/>
  <c r="AE36" i="6"/>
  <c r="AE147" i="6" s="1"/>
  <c r="C36" i="6"/>
  <c r="C147" i="6" s="1"/>
  <c r="E36" i="6"/>
  <c r="E147" i="6" s="1"/>
  <c r="E32" i="6"/>
  <c r="E143" i="6" s="1"/>
  <c r="E221" i="6" s="1"/>
  <c r="C32" i="6"/>
  <c r="C143" i="6" s="1"/>
  <c r="C221" i="6" s="1"/>
  <c r="AF32" i="6"/>
  <c r="AF143" i="6" s="1"/>
  <c r="AF221" i="6" s="1"/>
  <c r="AE32" i="6"/>
  <c r="AE143" i="6" s="1"/>
  <c r="AE221" i="6" s="1"/>
  <c r="AF55" i="6"/>
  <c r="AF166" i="6" s="1"/>
  <c r="AE55" i="6"/>
  <c r="AE166" i="6" s="1"/>
  <c r="E55" i="6"/>
  <c r="E166" i="6" s="1"/>
  <c r="C55" i="6"/>
  <c r="C166" i="6" s="1"/>
  <c r="AF60" i="6"/>
  <c r="AF171" i="6" s="1"/>
  <c r="AE60" i="6"/>
  <c r="AE171" i="6" s="1"/>
  <c r="E60" i="6"/>
  <c r="E171" i="6" s="1"/>
  <c r="C60" i="6"/>
  <c r="C171" i="6" s="1"/>
  <c r="E47" i="6"/>
  <c r="E158" i="6" s="1"/>
  <c r="C47" i="6"/>
  <c r="C158" i="6" s="1"/>
  <c r="AE47" i="6"/>
  <c r="AE158" i="6" s="1"/>
  <c r="AF47" i="6"/>
  <c r="AF158" i="6" s="1"/>
  <c r="C42" i="6"/>
  <c r="C153" i="6" s="1"/>
  <c r="C224" i="6" s="1"/>
  <c r="AE42" i="6"/>
  <c r="AE153" i="6" s="1"/>
  <c r="AE224" i="6" s="1"/>
  <c r="AF42" i="6"/>
  <c r="AF153" i="6" s="1"/>
  <c r="AF224" i="6" s="1"/>
  <c r="E42" i="6"/>
  <c r="E153" i="6" s="1"/>
  <c r="E224" i="6" s="1"/>
  <c r="AF54" i="6"/>
  <c r="AF165" i="6" s="1"/>
  <c r="AE54" i="6"/>
  <c r="AE165" i="6" s="1"/>
  <c r="C54" i="6"/>
  <c r="C165" i="6" s="1"/>
  <c r="E54" i="6"/>
  <c r="E165" i="6" s="1"/>
  <c r="AE46" i="6"/>
  <c r="AE157" i="6" s="1"/>
  <c r="AF46" i="6"/>
  <c r="AF157" i="6" s="1"/>
  <c r="E46" i="6"/>
  <c r="E157" i="6" s="1"/>
  <c r="C46" i="6"/>
  <c r="C157" i="6" s="1"/>
  <c r="C24" i="6"/>
  <c r="C135" i="6" s="1"/>
  <c r="AF24" i="6"/>
  <c r="AF135" i="6" s="1"/>
  <c r="AE24" i="6"/>
  <c r="AE135" i="6" s="1"/>
  <c r="E24" i="6"/>
  <c r="E135" i="6" s="1"/>
  <c r="AE48" i="6"/>
  <c r="AE159" i="6" s="1"/>
  <c r="C48" i="6"/>
  <c r="C159" i="6" s="1"/>
  <c r="E48" i="6"/>
  <c r="E159" i="6" s="1"/>
  <c r="AF48" i="6"/>
  <c r="AF159" i="6" s="1"/>
  <c r="E65" i="6"/>
  <c r="E176" i="6" s="1"/>
  <c r="AF65" i="6"/>
  <c r="AF176" i="6" s="1"/>
  <c r="C65" i="6"/>
  <c r="C176" i="6" s="1"/>
  <c r="AE65" i="6"/>
  <c r="AE176" i="6" s="1"/>
  <c r="AF66" i="6"/>
  <c r="AF177" i="6" s="1"/>
  <c r="C66" i="6"/>
  <c r="C177" i="6" s="1"/>
  <c r="AE66" i="6"/>
  <c r="AE177" i="6" s="1"/>
  <c r="E66" i="6"/>
  <c r="E177" i="6" s="1"/>
  <c r="E45" i="6"/>
  <c r="E156" i="6" s="1"/>
  <c r="AF45" i="6"/>
  <c r="AF156" i="6" s="1"/>
  <c r="AE45" i="6"/>
  <c r="AE156" i="6" s="1"/>
  <c r="C45" i="6"/>
  <c r="C156" i="6" s="1"/>
  <c r="AE43" i="6"/>
  <c r="AE154" i="6" s="1"/>
  <c r="AE225" i="6" s="1"/>
  <c r="AF43" i="6"/>
  <c r="AF154" i="6" s="1"/>
  <c r="AF225" i="6" s="1"/>
  <c r="E43" i="6"/>
  <c r="E154" i="6" s="1"/>
  <c r="E225" i="6" s="1"/>
  <c r="C43" i="6"/>
  <c r="C154" i="6" s="1"/>
  <c r="C225" i="6" s="1"/>
  <c r="C37" i="6"/>
  <c r="C148" i="6" s="1"/>
  <c r="E37" i="6"/>
  <c r="E148" i="6" s="1"/>
  <c r="AF37" i="6"/>
  <c r="AF148" i="6" s="1"/>
  <c r="AE37" i="6"/>
  <c r="AE148" i="6" s="1"/>
  <c r="C29" i="6"/>
  <c r="C140" i="6" s="1"/>
  <c r="E29" i="6"/>
  <c r="E140" i="6" s="1"/>
  <c r="C30" i="6"/>
  <c r="C141" i="6" s="1"/>
  <c r="E30" i="6"/>
  <c r="E141" i="6" s="1"/>
  <c r="O255" i="6"/>
  <c r="AE29" i="6"/>
  <c r="AE140" i="6" s="1"/>
  <c r="AF29" i="6"/>
  <c r="AF140" i="6" s="1"/>
  <c r="AE30" i="6"/>
  <c r="AE141" i="6" s="1"/>
  <c r="AF30" i="6"/>
  <c r="AF141" i="6" s="1"/>
  <c r="AD29" i="6"/>
  <c r="AD140" i="6" s="1"/>
  <c r="AD30" i="6"/>
  <c r="AD141" i="6" s="1"/>
  <c r="T22" i="1"/>
  <c r="I23" i="7" s="1"/>
  <c r="K23" i="7" s="1"/>
  <c r="AD65" i="6"/>
  <c r="AD176" i="6" s="1"/>
  <c r="AB65" i="6"/>
  <c r="AB176" i="6" s="1"/>
  <c r="AA65" i="6"/>
  <c r="AA176" i="6" s="1"/>
  <c r="D65" i="6"/>
  <c r="D176" i="6" s="1"/>
  <c r="AC65" i="6"/>
  <c r="AC176" i="6" s="1"/>
  <c r="AD40" i="6"/>
  <c r="AD151" i="6" s="1"/>
  <c r="AD222" i="6" s="1"/>
  <c r="AA40" i="6"/>
  <c r="AA151" i="6" s="1"/>
  <c r="AA222" i="6" s="1"/>
  <c r="D40" i="6"/>
  <c r="D151" i="6" s="1"/>
  <c r="D222" i="6" s="1"/>
  <c r="AB40" i="6"/>
  <c r="AB151" i="6" s="1"/>
  <c r="AB222" i="6" s="1"/>
  <c r="AC40" i="6"/>
  <c r="AC151" i="6" s="1"/>
  <c r="AC222" i="6" s="1"/>
  <c r="AB63" i="6"/>
  <c r="AB174" i="6" s="1"/>
  <c r="AA63" i="6"/>
  <c r="AA174" i="6" s="1"/>
  <c r="AC63" i="6"/>
  <c r="AC174" i="6" s="1"/>
  <c r="D63" i="6"/>
  <c r="D174" i="6" s="1"/>
  <c r="AD63" i="6"/>
  <c r="AD174" i="6" s="1"/>
  <c r="AD62" i="6"/>
  <c r="AD173" i="6" s="1"/>
  <c r="AB62" i="6"/>
  <c r="AB173" i="6" s="1"/>
  <c r="D62" i="6"/>
  <c r="D173" i="6" s="1"/>
  <c r="AC62" i="6"/>
  <c r="AC173" i="6" s="1"/>
  <c r="AA62" i="6"/>
  <c r="AA173" i="6" s="1"/>
  <c r="AC58" i="6"/>
  <c r="AC169" i="6" s="1"/>
  <c r="D58" i="6"/>
  <c r="D169" i="6" s="1"/>
  <c r="AA58" i="6"/>
  <c r="AA169" i="6" s="1"/>
  <c r="AD58" i="6"/>
  <c r="AD169" i="6" s="1"/>
  <c r="AB58" i="6"/>
  <c r="AB169" i="6" s="1"/>
  <c r="AC25" i="6"/>
  <c r="AC136" i="6" s="1"/>
  <c r="D25" i="6"/>
  <c r="D136" i="6" s="1"/>
  <c r="AD25" i="6"/>
  <c r="AD136" i="6" s="1"/>
  <c r="AA25" i="6"/>
  <c r="AA136" i="6" s="1"/>
  <c r="AB25" i="6"/>
  <c r="AB136" i="6" s="1"/>
  <c r="AA59" i="6"/>
  <c r="AA170" i="6" s="1"/>
  <c r="AD59" i="6"/>
  <c r="AD170" i="6" s="1"/>
  <c r="AB59" i="6"/>
  <c r="AB170" i="6" s="1"/>
  <c r="D59" i="6"/>
  <c r="D170" i="6" s="1"/>
  <c r="AC59" i="6"/>
  <c r="AC170" i="6" s="1"/>
  <c r="AA41" i="6"/>
  <c r="AA152" i="6" s="1"/>
  <c r="AA223" i="6" s="1"/>
  <c r="D41" i="6"/>
  <c r="D152" i="6" s="1"/>
  <c r="D223" i="6" s="1"/>
  <c r="AB41" i="6"/>
  <c r="AB152" i="6" s="1"/>
  <c r="AB223" i="6" s="1"/>
  <c r="AC41" i="6"/>
  <c r="AC152" i="6" s="1"/>
  <c r="AC223" i="6" s="1"/>
  <c r="AD41" i="6"/>
  <c r="AD152" i="6" s="1"/>
  <c r="AD223" i="6" s="1"/>
  <c r="AA33" i="6"/>
  <c r="AA144" i="6" s="1"/>
  <c r="AB33" i="6"/>
  <c r="AB144" i="6" s="1"/>
  <c r="AC33" i="6"/>
  <c r="AC144" i="6" s="1"/>
  <c r="D33" i="6"/>
  <c r="D144" i="6" s="1"/>
  <c r="AD33" i="6"/>
  <c r="AD144" i="6" s="1"/>
  <c r="AC55" i="6"/>
  <c r="AC166" i="6" s="1"/>
  <c r="AD55" i="6"/>
  <c r="AD166" i="6" s="1"/>
  <c r="AB55" i="6"/>
  <c r="AB166" i="6" s="1"/>
  <c r="D55" i="6"/>
  <c r="D166" i="6" s="1"/>
  <c r="AA55" i="6"/>
  <c r="AA166" i="6" s="1"/>
  <c r="AD28" i="6"/>
  <c r="AD139" i="6" s="1"/>
  <c r="AA28" i="6"/>
  <c r="AA139" i="6" s="1"/>
  <c r="AB28" i="6"/>
  <c r="AB139" i="6" s="1"/>
  <c r="AC28" i="6"/>
  <c r="AC139" i="6" s="1"/>
  <c r="D28" i="6"/>
  <c r="D139" i="6" s="1"/>
  <c r="D67" i="6"/>
  <c r="D178" i="6" s="1"/>
  <c r="AA67" i="6"/>
  <c r="AA178" i="6" s="1"/>
  <c r="AB67" i="6"/>
  <c r="AB178" i="6" s="1"/>
  <c r="AD67" i="6"/>
  <c r="AD178" i="6" s="1"/>
  <c r="AC67" i="6"/>
  <c r="AC178" i="6" s="1"/>
  <c r="AA42" i="6"/>
  <c r="AA153" i="6" s="1"/>
  <c r="AA224" i="6" s="1"/>
  <c r="AB42" i="6"/>
  <c r="AB153" i="6" s="1"/>
  <c r="AB224" i="6" s="1"/>
  <c r="D42" i="6"/>
  <c r="D153" i="6" s="1"/>
  <c r="D224" i="6" s="1"/>
  <c r="AD42" i="6"/>
  <c r="AD153" i="6" s="1"/>
  <c r="AD224" i="6" s="1"/>
  <c r="AC42" i="6"/>
  <c r="AC153" i="6" s="1"/>
  <c r="AC224" i="6" s="1"/>
  <c r="AC23" i="6"/>
  <c r="AC134" i="6" s="1"/>
  <c r="AA23" i="6"/>
  <c r="AA134" i="6" s="1"/>
  <c r="AB23" i="6"/>
  <c r="AB134" i="6" s="1"/>
  <c r="AD23" i="6"/>
  <c r="AD134" i="6" s="1"/>
  <c r="D23" i="6"/>
  <c r="D134" i="6" s="1"/>
  <c r="D38" i="6"/>
  <c r="D149" i="6" s="1"/>
  <c r="AD38" i="6"/>
  <c r="AD149" i="6" s="1"/>
  <c r="AC38" i="6"/>
  <c r="AC149" i="6" s="1"/>
  <c r="AA38" i="6"/>
  <c r="AA149" i="6" s="1"/>
  <c r="AB38" i="6"/>
  <c r="AB149" i="6" s="1"/>
  <c r="AB52" i="6"/>
  <c r="AB163" i="6" s="1"/>
  <c r="AC52" i="6"/>
  <c r="AC163" i="6" s="1"/>
  <c r="AA52" i="6"/>
  <c r="AA163" i="6" s="1"/>
  <c r="D52" i="6"/>
  <c r="D163" i="6" s="1"/>
  <c r="AD52" i="6"/>
  <c r="AD163" i="6" s="1"/>
  <c r="AA36" i="6"/>
  <c r="AA147" i="6" s="1"/>
  <c r="AB36" i="6"/>
  <c r="AB147" i="6" s="1"/>
  <c r="AD36" i="6"/>
  <c r="AD147" i="6" s="1"/>
  <c r="D36" i="6"/>
  <c r="D147" i="6" s="1"/>
  <c r="AC36" i="6"/>
  <c r="AC147" i="6" s="1"/>
  <c r="AB49" i="6"/>
  <c r="AB160" i="6" s="1"/>
  <c r="D49" i="6"/>
  <c r="D160" i="6" s="1"/>
  <c r="AD49" i="6"/>
  <c r="AD160" i="6" s="1"/>
  <c r="AC49" i="6"/>
  <c r="AC160" i="6" s="1"/>
  <c r="AA49" i="6"/>
  <c r="AA160" i="6" s="1"/>
  <c r="AB24" i="6"/>
  <c r="AB135" i="6" s="1"/>
  <c r="AA24" i="6"/>
  <c r="AA135" i="6" s="1"/>
  <c r="AD24" i="6"/>
  <c r="AD135" i="6" s="1"/>
  <c r="AC24" i="6"/>
  <c r="AC135" i="6" s="1"/>
  <c r="D24" i="6"/>
  <c r="D135" i="6" s="1"/>
  <c r="AA48" i="6"/>
  <c r="AA159" i="6" s="1"/>
  <c r="AB48" i="6"/>
  <c r="AB159" i="6" s="1"/>
  <c r="AC48" i="6"/>
  <c r="AC159" i="6" s="1"/>
  <c r="D48" i="6"/>
  <c r="D159" i="6" s="1"/>
  <c r="AD48" i="6"/>
  <c r="AD159" i="6" s="1"/>
  <c r="D47" i="6"/>
  <c r="D158" i="6" s="1"/>
  <c r="AC47" i="6"/>
  <c r="AC158" i="6" s="1"/>
  <c r="AD47" i="6"/>
  <c r="AD158" i="6" s="1"/>
  <c r="AA47" i="6"/>
  <c r="AA158" i="6" s="1"/>
  <c r="AB47" i="6"/>
  <c r="AB158" i="6" s="1"/>
  <c r="AA54" i="6"/>
  <c r="AA165" i="6" s="1"/>
  <c r="AB54" i="6"/>
  <c r="AB165" i="6" s="1"/>
  <c r="AD54" i="6"/>
  <c r="AD165" i="6" s="1"/>
  <c r="D54" i="6"/>
  <c r="D165" i="6" s="1"/>
  <c r="AC54" i="6"/>
  <c r="AC165" i="6" s="1"/>
  <c r="AB46" i="6"/>
  <c r="AB157" i="6" s="1"/>
  <c r="AA46" i="6"/>
  <c r="AA157" i="6" s="1"/>
  <c r="AC46" i="6"/>
  <c r="AC157" i="6" s="1"/>
  <c r="D46" i="6"/>
  <c r="D157" i="6" s="1"/>
  <c r="AD46" i="6"/>
  <c r="AD157" i="6" s="1"/>
  <c r="AB45" i="6"/>
  <c r="AB156" i="6" s="1"/>
  <c r="AA45" i="6"/>
  <c r="AA156" i="6" s="1"/>
  <c r="D45" i="6"/>
  <c r="D156" i="6" s="1"/>
  <c r="AD45" i="6"/>
  <c r="AD156" i="6" s="1"/>
  <c r="AC45" i="6"/>
  <c r="AC156" i="6" s="1"/>
  <c r="AB43" i="6"/>
  <c r="AB154" i="6" s="1"/>
  <c r="AB225" i="6" s="1"/>
  <c r="AC43" i="6"/>
  <c r="AC154" i="6" s="1"/>
  <c r="AC225" i="6" s="1"/>
  <c r="D43" i="6"/>
  <c r="D154" i="6" s="1"/>
  <c r="D225" i="6" s="1"/>
  <c r="AD43" i="6"/>
  <c r="AD154" i="6" s="1"/>
  <c r="AD225" i="6" s="1"/>
  <c r="AA43" i="6"/>
  <c r="AA154" i="6" s="1"/>
  <c r="AA225" i="6" s="1"/>
  <c r="AA37" i="6"/>
  <c r="AA148" i="6" s="1"/>
  <c r="D37" i="6"/>
  <c r="D148" i="6" s="1"/>
  <c r="AD37" i="6"/>
  <c r="AD148" i="6" s="1"/>
  <c r="AB37" i="6"/>
  <c r="AB148" i="6" s="1"/>
  <c r="AC37" i="6"/>
  <c r="AC148" i="6" s="1"/>
  <c r="AC35" i="6"/>
  <c r="AC146" i="6" s="1"/>
  <c r="AB35" i="6"/>
  <c r="AB146" i="6" s="1"/>
  <c r="AD35" i="6"/>
  <c r="AD146" i="6" s="1"/>
  <c r="D35" i="6"/>
  <c r="D146" i="6" s="1"/>
  <c r="AA35" i="6"/>
  <c r="AA146" i="6" s="1"/>
  <c r="AC53" i="6"/>
  <c r="AC164" i="6" s="1"/>
  <c r="AA53" i="6"/>
  <c r="AA164" i="6" s="1"/>
  <c r="D53" i="6"/>
  <c r="D164" i="6" s="1"/>
  <c r="AB53" i="6"/>
  <c r="AB164" i="6" s="1"/>
  <c r="AD53" i="6"/>
  <c r="AD164" i="6" s="1"/>
  <c r="AD64" i="6"/>
  <c r="AD175" i="6" s="1"/>
  <c r="AA64" i="6"/>
  <c r="AA175" i="6" s="1"/>
  <c r="D64" i="6"/>
  <c r="D175" i="6" s="1"/>
  <c r="AB64" i="6"/>
  <c r="AB175" i="6" s="1"/>
  <c r="AC64" i="6"/>
  <c r="AC175" i="6" s="1"/>
  <c r="AA27" i="6"/>
  <c r="AA138" i="6" s="1"/>
  <c r="AB27" i="6"/>
  <c r="AB138" i="6" s="1"/>
  <c r="AC27" i="6"/>
  <c r="AC138" i="6" s="1"/>
  <c r="D27" i="6"/>
  <c r="D138" i="6" s="1"/>
  <c r="AD27" i="6"/>
  <c r="AD138" i="6" s="1"/>
  <c r="D50" i="6"/>
  <c r="D161" i="6" s="1"/>
  <c r="AC50" i="6"/>
  <c r="AC161" i="6" s="1"/>
  <c r="AA50" i="6"/>
  <c r="AA161" i="6" s="1"/>
  <c r="AB50" i="6"/>
  <c r="AB161" i="6" s="1"/>
  <c r="AD50" i="6"/>
  <c r="AD161" i="6" s="1"/>
  <c r="AA66" i="6"/>
  <c r="AA177" i="6" s="1"/>
  <c r="AB66" i="6"/>
  <c r="AB177" i="6" s="1"/>
  <c r="D66" i="6"/>
  <c r="D177" i="6" s="1"/>
  <c r="AD66" i="6"/>
  <c r="AD177" i="6" s="1"/>
  <c r="AC66" i="6"/>
  <c r="AC177" i="6" s="1"/>
  <c r="AA60" i="6"/>
  <c r="AA171" i="6" s="1"/>
  <c r="AB60" i="6"/>
  <c r="AB171" i="6" s="1"/>
  <c r="AD60" i="6"/>
  <c r="AD171" i="6" s="1"/>
  <c r="AC60" i="6"/>
  <c r="AC171" i="6" s="1"/>
  <c r="D60" i="6"/>
  <c r="D171" i="6" s="1"/>
  <c r="AC34" i="6"/>
  <c r="AC145" i="6" s="1"/>
  <c r="AB34" i="6"/>
  <c r="AB145" i="6" s="1"/>
  <c r="AA34" i="6"/>
  <c r="AA145" i="6" s="1"/>
  <c r="AD34" i="6"/>
  <c r="AD145" i="6" s="1"/>
  <c r="D34" i="6"/>
  <c r="D145" i="6" s="1"/>
  <c r="AB32" i="6"/>
  <c r="AB143" i="6" s="1"/>
  <c r="AB221" i="6" s="1"/>
  <c r="AD32" i="6"/>
  <c r="AD143" i="6" s="1"/>
  <c r="AD221" i="6" s="1"/>
  <c r="D32" i="6"/>
  <c r="D143" i="6" s="1"/>
  <c r="D221" i="6" s="1"/>
  <c r="AC32" i="6"/>
  <c r="AC143" i="6" s="1"/>
  <c r="AC221" i="6" s="1"/>
  <c r="AA32" i="6"/>
  <c r="AA143" i="6" s="1"/>
  <c r="AA221" i="6" s="1"/>
  <c r="AA51" i="6"/>
  <c r="AA162" i="6" s="1"/>
  <c r="AB51" i="6"/>
  <c r="AB162" i="6" s="1"/>
  <c r="D51" i="6"/>
  <c r="D162" i="6" s="1"/>
  <c r="AC51" i="6"/>
  <c r="AC162" i="6" s="1"/>
  <c r="AD51" i="6"/>
  <c r="AD162" i="6" s="1"/>
  <c r="D61" i="6"/>
  <c r="D172" i="6" s="1"/>
  <c r="AA61" i="6"/>
  <c r="AA172" i="6" s="1"/>
  <c r="AC61" i="6"/>
  <c r="AC172" i="6" s="1"/>
  <c r="AD61" i="6"/>
  <c r="AD172" i="6" s="1"/>
  <c r="AB61" i="6"/>
  <c r="AB172" i="6" s="1"/>
  <c r="D30" i="6"/>
  <c r="D141" i="6" s="1"/>
  <c r="AA30" i="6"/>
  <c r="AA141" i="6" s="1"/>
  <c r="AB30" i="6"/>
  <c r="AB141" i="6" s="1"/>
  <c r="AC30" i="6"/>
  <c r="AC141" i="6" s="1"/>
  <c r="D29" i="6"/>
  <c r="D140" i="6" s="1"/>
  <c r="AC29" i="6"/>
  <c r="AC140" i="6" s="1"/>
  <c r="AB29" i="6"/>
  <c r="AB140" i="6" s="1"/>
  <c r="AA29" i="6"/>
  <c r="AA140" i="6" s="1"/>
  <c r="B8" i="6"/>
  <c r="B7" i="6"/>
  <c r="B4" i="6"/>
  <c r="B3" i="6"/>
  <c r="B9" i="6" s="1"/>
  <c r="B19" i="6" s="1" a="1"/>
  <c r="B19" i="6" s="1"/>
  <c r="V4" i="6"/>
  <c r="V3" i="6"/>
  <c r="V8" i="6"/>
  <c r="V7" i="6"/>
  <c r="Z8" i="6"/>
  <c r="Z7" i="6"/>
  <c r="Z4" i="6"/>
  <c r="Z3" i="6"/>
  <c r="Y8" i="6"/>
  <c r="Y7" i="6"/>
  <c r="Y256" i="6" s="1"/>
  <c r="Y4" i="6"/>
  <c r="Y3" i="6"/>
  <c r="P4" i="6"/>
  <c r="P8" i="6"/>
  <c r="P7" i="6"/>
  <c r="P3" i="6"/>
  <c r="AG8" i="6"/>
  <c r="AG7" i="6"/>
  <c r="AG4" i="6"/>
  <c r="AG3" i="6"/>
  <c r="AG9" i="6" s="1"/>
  <c r="AG19" i="6" s="1" a="1"/>
  <c r="AG19" i="6" s="1"/>
  <c r="R7" i="6"/>
  <c r="R8" i="6"/>
  <c r="R4" i="6"/>
  <c r="R3" i="6"/>
  <c r="X8" i="6"/>
  <c r="X7" i="6"/>
  <c r="X4" i="6"/>
  <c r="X3" i="6"/>
  <c r="X9" i="6" s="1"/>
  <c r="X19" i="6" s="1" a="1"/>
  <c r="X19" i="6" s="1"/>
  <c r="G8" i="6"/>
  <c r="G7" i="6"/>
  <c r="G256" i="6" s="1"/>
  <c r="M8" i="6"/>
  <c r="M7" i="6"/>
  <c r="M256" i="6" s="1"/>
  <c r="M4" i="6"/>
  <c r="M3" i="6"/>
  <c r="M9" i="6" s="1"/>
  <c r="M19" i="6" s="1" a="1"/>
  <c r="M19" i="6" s="1"/>
  <c r="L8" i="6"/>
  <c r="L7" i="6"/>
  <c r="L4" i="6"/>
  <c r="L3" i="6"/>
  <c r="L9" i="6" s="1"/>
  <c r="L19" i="6" s="1" a="1"/>
  <c r="L19" i="6" s="1"/>
  <c r="F8" i="6"/>
  <c r="F7" i="6"/>
  <c r="F4" i="6"/>
  <c r="F3" i="6"/>
  <c r="F9" i="6" s="1"/>
  <c r="F19" i="6" s="1" a="1"/>
  <c r="F19" i="6" s="1"/>
  <c r="S8" i="6"/>
  <c r="S7" i="6"/>
  <c r="S256" i="6" s="1"/>
  <c r="S4" i="6"/>
  <c r="S3" i="6"/>
  <c r="S9" i="6" s="1"/>
  <c r="S19" i="6" s="1" a="1"/>
  <c r="S19" i="6" s="1"/>
  <c r="J8" i="6"/>
  <c r="J7" i="6"/>
  <c r="J4" i="6"/>
  <c r="J3" i="6"/>
  <c r="J9" i="6" s="1"/>
  <c r="J19" i="6" s="1" a="1"/>
  <c r="J19" i="6" s="1"/>
  <c r="Q7" i="6"/>
  <c r="Q3" i="6"/>
  <c r="Q9" i="6" s="1"/>
  <c r="Q19" i="6" s="1" a="1"/>
  <c r="Q19" i="6" s="1"/>
  <c r="Q8" i="6"/>
  <c r="Q4" i="6"/>
  <c r="W7" i="6"/>
  <c r="W4" i="6"/>
  <c r="W3" i="6"/>
  <c r="W8" i="6"/>
  <c r="G4" i="6"/>
  <c r="G3" i="6"/>
  <c r="G9" i="6" s="1"/>
  <c r="G19" i="6" s="1" a="1"/>
  <c r="G19" i="6" s="1"/>
  <c r="B12" i="6"/>
  <c r="B235" i="6" s="1"/>
  <c r="P45" i="6"/>
  <c r="P156" i="6" s="1"/>
  <c r="P47" i="6"/>
  <c r="P158" i="6" s="1"/>
  <c r="P49" i="6"/>
  <c r="P160" i="6" s="1"/>
  <c r="P54" i="6"/>
  <c r="P165" i="6" s="1"/>
  <c r="P56" i="6"/>
  <c r="P167" i="6" s="1"/>
  <c r="P58" i="6"/>
  <c r="P169" i="6" s="1"/>
  <c r="P63" i="6"/>
  <c r="P174" i="6" s="1"/>
  <c r="P65" i="6"/>
  <c r="P176" i="6" s="1"/>
  <c r="P67" i="6"/>
  <c r="P178" i="6" s="1"/>
  <c r="P28" i="6"/>
  <c r="P139" i="6" s="1"/>
  <c r="P12" i="6"/>
  <c r="P235" i="6" s="1"/>
  <c r="P31" i="6"/>
  <c r="P142" i="6" s="1"/>
  <c r="P34" i="6"/>
  <c r="P145" i="6" s="1"/>
  <c r="P37" i="6"/>
  <c r="P148" i="6" s="1"/>
  <c r="P40" i="6"/>
  <c r="P151" i="6" s="1"/>
  <c r="P222" i="6" s="1"/>
  <c r="P48" i="6"/>
  <c r="P159" i="6" s="1"/>
  <c r="P50" i="6"/>
  <c r="P161" i="6" s="1"/>
  <c r="P52" i="6"/>
  <c r="P163" i="6" s="1"/>
  <c r="P251" i="6" s="1"/>
  <c r="P57" i="6"/>
  <c r="P168" i="6" s="1"/>
  <c r="P59" i="6"/>
  <c r="P170" i="6" s="1"/>
  <c r="P61" i="6"/>
  <c r="P172" i="6" s="1"/>
  <c r="P66" i="6"/>
  <c r="P177" i="6" s="1"/>
  <c r="P27" i="6"/>
  <c r="P138" i="6" s="1"/>
  <c r="P32" i="6"/>
  <c r="P143" i="6" s="1"/>
  <c r="P221" i="6" s="1"/>
  <c r="P35" i="6"/>
  <c r="P146" i="6" s="1"/>
  <c r="P38" i="6"/>
  <c r="P149" i="6" s="1"/>
  <c r="P41" i="6"/>
  <c r="P152" i="6" s="1"/>
  <c r="P223" i="6" s="1"/>
  <c r="P43" i="6"/>
  <c r="P154" i="6" s="1"/>
  <c r="P225" i="6" s="1"/>
  <c r="P33" i="6"/>
  <c r="P144" i="6" s="1"/>
  <c r="P36" i="6"/>
  <c r="P147" i="6" s="1"/>
  <c r="P39" i="6"/>
  <c r="P150" i="6" s="1"/>
  <c r="P44" i="6"/>
  <c r="P155" i="6" s="1"/>
  <c r="P226" i="6" s="1"/>
  <c r="P46" i="6"/>
  <c r="P157" i="6" s="1"/>
  <c r="P51" i="6"/>
  <c r="P162" i="6" s="1"/>
  <c r="P53" i="6"/>
  <c r="P164" i="6" s="1"/>
  <c r="P55" i="6"/>
  <c r="P166" i="6" s="1"/>
  <c r="P60" i="6"/>
  <c r="P171" i="6" s="1"/>
  <c r="P62" i="6"/>
  <c r="P173" i="6" s="1"/>
  <c r="P64" i="6"/>
  <c r="P175" i="6" s="1"/>
  <c r="P23" i="6"/>
  <c r="P134" i="6" s="1"/>
  <c r="P206" i="6"/>
  <c r="P209" i="6"/>
  <c r="P217" i="6" s="1"/>
  <c r="P24" i="6"/>
  <c r="P135" i="6" s="1"/>
  <c r="P211" i="6"/>
  <c r="P205" i="6"/>
  <c r="P208" i="6"/>
  <c r="P248" i="6"/>
  <c r="P42" i="6"/>
  <c r="P153" i="6" s="1"/>
  <c r="P224" i="6" s="1"/>
  <c r="P195" i="6"/>
  <c r="P207" i="6"/>
  <c r="P210" i="6"/>
  <c r="P238" i="6"/>
  <c r="P22" i="6"/>
  <c r="P133" i="6" s="1"/>
  <c r="P14" i="6"/>
  <c r="P242" i="6" s="1"/>
  <c r="P11" i="6"/>
  <c r="P236" i="6" s="1"/>
  <c r="P13" i="6"/>
  <c r="P239" i="6" s="1"/>
  <c r="P29" i="6"/>
  <c r="P140" i="6" s="1"/>
  <c r="P30" i="6"/>
  <c r="P141" i="6" s="1"/>
  <c r="P25" i="6"/>
  <c r="P136" i="6" s="1"/>
  <c r="M45" i="6"/>
  <c r="M156" i="6" s="1"/>
  <c r="M47" i="6"/>
  <c r="M158" i="6" s="1"/>
  <c r="M49" i="6"/>
  <c r="M160" i="6" s="1"/>
  <c r="M54" i="6"/>
  <c r="M165" i="6" s="1"/>
  <c r="M56" i="6"/>
  <c r="M167" i="6" s="1"/>
  <c r="M58" i="6"/>
  <c r="M169" i="6" s="1"/>
  <c r="M63" i="6"/>
  <c r="M174" i="6" s="1"/>
  <c r="M65" i="6"/>
  <c r="M176" i="6" s="1"/>
  <c r="M67" i="6"/>
  <c r="M178" i="6" s="1"/>
  <c r="M28" i="6"/>
  <c r="M139" i="6" s="1"/>
  <c r="M31" i="6"/>
  <c r="M142" i="6" s="1"/>
  <c r="M34" i="6"/>
  <c r="M145" i="6" s="1"/>
  <c r="M37" i="6"/>
  <c r="M148" i="6" s="1"/>
  <c r="M40" i="6"/>
  <c r="M151" i="6" s="1"/>
  <c r="M222" i="6" s="1"/>
  <c r="M48" i="6"/>
  <c r="M159" i="6" s="1"/>
  <c r="M50" i="6"/>
  <c r="M161" i="6" s="1"/>
  <c r="M52" i="6"/>
  <c r="M163" i="6" s="1"/>
  <c r="M251" i="6" s="1"/>
  <c r="M57" i="6"/>
  <c r="M168" i="6" s="1"/>
  <c r="M59" i="6"/>
  <c r="M170" i="6" s="1"/>
  <c r="M61" i="6"/>
  <c r="M172" i="6" s="1"/>
  <c r="M66" i="6"/>
  <c r="M177" i="6" s="1"/>
  <c r="M27" i="6"/>
  <c r="M138" i="6" s="1"/>
  <c r="M32" i="6"/>
  <c r="M143" i="6" s="1"/>
  <c r="M221" i="6" s="1"/>
  <c r="M35" i="6"/>
  <c r="M146" i="6" s="1"/>
  <c r="M38" i="6"/>
  <c r="M149" i="6" s="1"/>
  <c r="M41" i="6"/>
  <c r="M152" i="6" s="1"/>
  <c r="M223" i="6" s="1"/>
  <c r="M43" i="6"/>
  <c r="M154" i="6" s="1"/>
  <c r="M225" i="6" s="1"/>
  <c r="M33" i="6"/>
  <c r="M144" i="6" s="1"/>
  <c r="M36" i="6"/>
  <c r="M147" i="6" s="1"/>
  <c r="M39" i="6"/>
  <c r="M150" i="6" s="1"/>
  <c r="M44" i="6"/>
  <c r="M155" i="6" s="1"/>
  <c r="M226" i="6" s="1"/>
  <c r="M46" i="6"/>
  <c r="M157" i="6" s="1"/>
  <c r="M51" i="6"/>
  <c r="M162" i="6" s="1"/>
  <c r="M53" i="6"/>
  <c r="M164" i="6" s="1"/>
  <c r="M55" i="6"/>
  <c r="M166" i="6" s="1"/>
  <c r="M60" i="6"/>
  <c r="M171" i="6" s="1"/>
  <c r="M62" i="6"/>
  <c r="M173" i="6" s="1"/>
  <c r="M64" i="6"/>
  <c r="M175" i="6" s="1"/>
  <c r="M23" i="6"/>
  <c r="M134" i="6" s="1"/>
  <c r="M24" i="6"/>
  <c r="M135" i="6" s="1"/>
  <c r="M42" i="6"/>
  <c r="M153" i="6" s="1"/>
  <c r="M224" i="6" s="1"/>
  <c r="M206" i="6"/>
  <c r="M214" i="6" s="1"/>
  <c r="M209" i="6"/>
  <c r="M217" i="6" s="1"/>
  <c r="M205" i="6"/>
  <c r="M208" i="6"/>
  <c r="M211" i="6"/>
  <c r="M248" i="6"/>
  <c r="M195" i="6"/>
  <c r="M207" i="6"/>
  <c r="M210" i="6"/>
  <c r="M238" i="6"/>
  <c r="M22" i="6"/>
  <c r="M133" i="6" s="1"/>
  <c r="M13" i="6"/>
  <c r="M239" i="6" s="1"/>
  <c r="M11" i="6"/>
  <c r="M236" i="6" s="1"/>
  <c r="M12" i="6"/>
  <c r="M235" i="6" s="1"/>
  <c r="M14" i="6"/>
  <c r="M242" i="6" s="1"/>
  <c r="M30" i="6"/>
  <c r="M141" i="6" s="1"/>
  <c r="M29" i="6"/>
  <c r="M140" i="6" s="1"/>
  <c r="M25" i="6"/>
  <c r="M136" i="6" s="1"/>
  <c r="V33" i="6"/>
  <c r="V144" i="6" s="1"/>
  <c r="V36" i="6"/>
  <c r="V147" i="6" s="1"/>
  <c r="V39" i="6"/>
  <c r="V150" i="6" s="1"/>
  <c r="V51" i="6"/>
  <c r="V162" i="6" s="1"/>
  <c r="V60" i="6"/>
  <c r="V171" i="6" s="1"/>
  <c r="V24" i="6"/>
  <c r="V135" i="6" s="1"/>
  <c r="V42" i="6"/>
  <c r="V153" i="6" s="1"/>
  <c r="V224" i="6" s="1"/>
  <c r="V45" i="6"/>
  <c r="V156" i="6" s="1"/>
  <c r="V54" i="6"/>
  <c r="V165" i="6" s="1"/>
  <c r="V63" i="6"/>
  <c r="V174" i="6" s="1"/>
  <c r="V48" i="6"/>
  <c r="V159" i="6" s="1"/>
  <c r="V57" i="6"/>
  <c r="V168" i="6" s="1"/>
  <c r="V66" i="6"/>
  <c r="V177" i="6" s="1"/>
  <c r="V13" i="6"/>
  <c r="V239" i="6" s="1"/>
  <c r="V248" i="6"/>
  <c r="V238" i="6"/>
  <c r="V195" i="6"/>
  <c r="V207" i="6"/>
  <c r="V210" i="6"/>
  <c r="V27" i="6"/>
  <c r="V138" i="6" s="1"/>
  <c r="V206" i="6"/>
  <c r="V209" i="6"/>
  <c r="V217" i="6" s="1"/>
  <c r="V205" i="6"/>
  <c r="V208" i="6"/>
  <c r="V211" i="6"/>
  <c r="V41" i="6"/>
  <c r="V152" i="6" s="1"/>
  <c r="V223" i="6" s="1"/>
  <c r="V22" i="6"/>
  <c r="V133" i="6" s="1"/>
  <c r="V61" i="6"/>
  <c r="V172" i="6" s="1"/>
  <c r="V67" i="6"/>
  <c r="V178" i="6" s="1"/>
  <c r="V44" i="6"/>
  <c r="V155" i="6" s="1"/>
  <c r="V226" i="6" s="1"/>
  <c r="V28" i="6"/>
  <c r="V139" i="6" s="1"/>
  <c r="V64" i="6"/>
  <c r="V175" i="6" s="1"/>
  <c r="V31" i="6"/>
  <c r="V142" i="6" s="1"/>
  <c r="V47" i="6"/>
  <c r="V158" i="6" s="1"/>
  <c r="V14" i="6"/>
  <c r="V242" i="6" s="1"/>
  <c r="V50" i="6"/>
  <c r="V161" i="6" s="1"/>
  <c r="V34" i="6"/>
  <c r="V145" i="6" s="1"/>
  <c r="V52" i="6"/>
  <c r="V163" i="6" s="1"/>
  <c r="V251" i="6" s="1"/>
  <c r="V38" i="6"/>
  <c r="V149" i="6" s="1"/>
  <c r="V53" i="6"/>
  <c r="V164" i="6" s="1"/>
  <c r="V37" i="6"/>
  <c r="V148" i="6" s="1"/>
  <c r="V43" i="6"/>
  <c r="V154" i="6" s="1"/>
  <c r="V225" i="6" s="1"/>
  <c r="V56" i="6"/>
  <c r="V167" i="6" s="1"/>
  <c r="V40" i="6"/>
  <c r="V151" i="6" s="1"/>
  <c r="V222" i="6" s="1"/>
  <c r="V59" i="6"/>
  <c r="V170" i="6" s="1"/>
  <c r="V12" i="6"/>
  <c r="V235" i="6" s="1"/>
  <c r="V32" i="6"/>
  <c r="V143" i="6" s="1"/>
  <c r="V221" i="6" s="1"/>
  <c r="V23" i="6"/>
  <c r="V134" i="6" s="1"/>
  <c r="V62" i="6"/>
  <c r="V173" i="6" s="1"/>
  <c r="V46" i="6"/>
  <c r="V157" i="6" s="1"/>
  <c r="V65" i="6"/>
  <c r="V176" i="6" s="1"/>
  <c r="V49" i="6"/>
  <c r="V160" i="6" s="1"/>
  <c r="V35" i="6"/>
  <c r="V146" i="6" s="1"/>
  <c r="V11" i="6"/>
  <c r="V236" i="6" s="1"/>
  <c r="V55" i="6"/>
  <c r="V166" i="6" s="1"/>
  <c r="V58" i="6"/>
  <c r="V169" i="6" s="1"/>
  <c r="V30" i="6"/>
  <c r="V141" i="6" s="1"/>
  <c r="V29" i="6"/>
  <c r="V140" i="6" s="1"/>
  <c r="V25" i="6"/>
  <c r="V136" i="6" s="1"/>
  <c r="AG33" i="6"/>
  <c r="AG144" i="6" s="1"/>
  <c r="AG36" i="6"/>
  <c r="AG147" i="6" s="1"/>
  <c r="AG39" i="6"/>
  <c r="AG150" i="6" s="1"/>
  <c r="AG51" i="6"/>
  <c r="AG162" i="6" s="1"/>
  <c r="AG60" i="6"/>
  <c r="AG171" i="6" s="1"/>
  <c r="AG24" i="6"/>
  <c r="AG135" i="6" s="1"/>
  <c r="AG28" i="6"/>
  <c r="AG139" i="6" s="1"/>
  <c r="AG42" i="6"/>
  <c r="AG153" i="6" s="1"/>
  <c r="AG224" i="6" s="1"/>
  <c r="AG47" i="6"/>
  <c r="AG158" i="6" s="1"/>
  <c r="AG49" i="6"/>
  <c r="AG160" i="6" s="1"/>
  <c r="AG56" i="6"/>
  <c r="AG167" i="6" s="1"/>
  <c r="AG58" i="6"/>
  <c r="AG169" i="6" s="1"/>
  <c r="AG65" i="6"/>
  <c r="AG176" i="6" s="1"/>
  <c r="AG67" i="6"/>
  <c r="AG178" i="6" s="1"/>
  <c r="AG31" i="6"/>
  <c r="AG142" i="6" s="1"/>
  <c r="AG34" i="6"/>
  <c r="AG145" i="6" s="1"/>
  <c r="AG37" i="6"/>
  <c r="AG148" i="6" s="1"/>
  <c r="AG40" i="6"/>
  <c r="AG151" i="6" s="1"/>
  <c r="AG222" i="6" s="1"/>
  <c r="AG45" i="6"/>
  <c r="AG156" i="6" s="1"/>
  <c r="AG54" i="6"/>
  <c r="AG165" i="6" s="1"/>
  <c r="AG63" i="6"/>
  <c r="AG174" i="6" s="1"/>
  <c r="AG43" i="6"/>
  <c r="AG154" i="6" s="1"/>
  <c r="AG225" i="6" s="1"/>
  <c r="AG50" i="6"/>
  <c r="AG161" i="6" s="1"/>
  <c r="AG52" i="6"/>
  <c r="AG163" i="6" s="1"/>
  <c r="AG251" i="6" s="1"/>
  <c r="AG32" i="6"/>
  <c r="AG143" i="6" s="1"/>
  <c r="AG221" i="6" s="1"/>
  <c r="AG35" i="6"/>
  <c r="AG146" i="6" s="1"/>
  <c r="AG38" i="6"/>
  <c r="AG149" i="6" s="1"/>
  <c r="AG22" i="6"/>
  <c r="AG133" i="6" s="1"/>
  <c r="AG41" i="6"/>
  <c r="AG152" i="6" s="1"/>
  <c r="AG223" i="6" s="1"/>
  <c r="AG48" i="6"/>
  <c r="AG159" i="6" s="1"/>
  <c r="AG57" i="6"/>
  <c r="AG168" i="6" s="1"/>
  <c r="AG66" i="6"/>
  <c r="AG177" i="6" s="1"/>
  <c r="AG23" i="6"/>
  <c r="AG134" i="6" s="1"/>
  <c r="AG27" i="6"/>
  <c r="AG138" i="6" s="1"/>
  <c r="AG44" i="6"/>
  <c r="AG155" i="6" s="1"/>
  <c r="AG226" i="6" s="1"/>
  <c r="AG46" i="6"/>
  <c r="AG157" i="6" s="1"/>
  <c r="AG53" i="6"/>
  <c r="AG164" i="6" s="1"/>
  <c r="AG55" i="6"/>
  <c r="AG166" i="6" s="1"/>
  <c r="AG62" i="6"/>
  <c r="AG173" i="6" s="1"/>
  <c r="AG64" i="6"/>
  <c r="AG175" i="6" s="1"/>
  <c r="AG61" i="6"/>
  <c r="AG172" i="6" s="1"/>
  <c r="AG248" i="6"/>
  <c r="AG195" i="6"/>
  <c r="AG207" i="6"/>
  <c r="AG210" i="6"/>
  <c r="AG238" i="6"/>
  <c r="AG206" i="6"/>
  <c r="AG209" i="6"/>
  <c r="AG217" i="6" s="1"/>
  <c r="AG59" i="6"/>
  <c r="AG170" i="6" s="1"/>
  <c r="AG205" i="6"/>
  <c r="AG213" i="6" s="1"/>
  <c r="AG208" i="6"/>
  <c r="AG216" i="6" s="1"/>
  <c r="AG211" i="6"/>
  <c r="AG14" i="6"/>
  <c r="AG242" i="6" s="1"/>
  <c r="AG12" i="6"/>
  <c r="AG235" i="6" s="1"/>
  <c r="AG13" i="6"/>
  <c r="AG239" i="6" s="1"/>
  <c r="AG11" i="6"/>
  <c r="AG236" i="6" s="1"/>
  <c r="AG30" i="6"/>
  <c r="AG141" i="6" s="1"/>
  <c r="AG29" i="6"/>
  <c r="AG140" i="6" s="1"/>
  <c r="AG25" i="6"/>
  <c r="AG136" i="6" s="1"/>
  <c r="Z32" i="6"/>
  <c r="Z143" i="6" s="1"/>
  <c r="Z221" i="6" s="1"/>
  <c r="Z35" i="6"/>
  <c r="Z146" i="6" s="1"/>
  <c r="Z38" i="6"/>
  <c r="Z149" i="6" s="1"/>
  <c r="Z43" i="6"/>
  <c r="Z154" i="6" s="1"/>
  <c r="Z225" i="6" s="1"/>
  <c r="Z11" i="6"/>
  <c r="Z236" i="6" s="1"/>
  <c r="Z41" i="6"/>
  <c r="Z152" i="6" s="1"/>
  <c r="Z223" i="6" s="1"/>
  <c r="Z48" i="6"/>
  <c r="Z159" i="6" s="1"/>
  <c r="Z57" i="6"/>
  <c r="Z168" i="6" s="1"/>
  <c r="Z66" i="6"/>
  <c r="Z177" i="6" s="1"/>
  <c r="Z14" i="6"/>
  <c r="Z242" i="6" s="1"/>
  <c r="Z23" i="6"/>
  <c r="Z134" i="6" s="1"/>
  <c r="Z27" i="6"/>
  <c r="Z138" i="6" s="1"/>
  <c r="Z46" i="6"/>
  <c r="Z157" i="6" s="1"/>
  <c r="Z53" i="6"/>
  <c r="Z164" i="6" s="1"/>
  <c r="Z55" i="6"/>
  <c r="Z166" i="6" s="1"/>
  <c r="Z62" i="6"/>
  <c r="Z173" i="6" s="1"/>
  <c r="Z33" i="6"/>
  <c r="Z144" i="6" s="1"/>
  <c r="Z36" i="6"/>
  <c r="Z147" i="6" s="1"/>
  <c r="Z51" i="6"/>
  <c r="Z162" i="6" s="1"/>
  <c r="Z60" i="6"/>
  <c r="Z171" i="6" s="1"/>
  <c r="Z24" i="6"/>
  <c r="Z135" i="6" s="1"/>
  <c r="Z42" i="6"/>
  <c r="Z153" i="6" s="1"/>
  <c r="Z224" i="6" s="1"/>
  <c r="Z47" i="6"/>
  <c r="Z158" i="6" s="1"/>
  <c r="Z49" i="6"/>
  <c r="Z160" i="6" s="1"/>
  <c r="Z56" i="6"/>
  <c r="Z167" i="6" s="1"/>
  <c r="Z58" i="6"/>
  <c r="Z169" i="6" s="1"/>
  <c r="Z65" i="6"/>
  <c r="Z176" i="6" s="1"/>
  <c r="Z67" i="6"/>
  <c r="Z178" i="6" s="1"/>
  <c r="Z28" i="6"/>
  <c r="Z139" i="6" s="1"/>
  <c r="Z45" i="6"/>
  <c r="Z156" i="6" s="1"/>
  <c r="Z54" i="6"/>
  <c r="Z165" i="6" s="1"/>
  <c r="Z63" i="6"/>
  <c r="Z174" i="6" s="1"/>
  <c r="Z34" i="6"/>
  <c r="Z145" i="6" s="1"/>
  <c r="Z37" i="6"/>
  <c r="Z148" i="6" s="1"/>
  <c r="Z40" i="6"/>
  <c r="Z151" i="6" s="1"/>
  <c r="Z222" i="6" s="1"/>
  <c r="Z50" i="6"/>
  <c r="Z161" i="6" s="1"/>
  <c r="Z52" i="6"/>
  <c r="Z163" i="6" s="1"/>
  <c r="Z251" i="6" s="1"/>
  <c r="Z205" i="6"/>
  <c r="Z208" i="6"/>
  <c r="Z211" i="6"/>
  <c r="Z59" i="6"/>
  <c r="Z170" i="6" s="1"/>
  <c r="Z195" i="6"/>
  <c r="Z207" i="6"/>
  <c r="Z210" i="6"/>
  <c r="Z64" i="6"/>
  <c r="Z175" i="6" s="1"/>
  <c r="Z206" i="6"/>
  <c r="Z209" i="6"/>
  <c r="Z217" i="6" s="1"/>
  <c r="Z61" i="6"/>
  <c r="Z172" i="6" s="1"/>
  <c r="Z13" i="6"/>
  <c r="Z239" i="6" s="1"/>
  <c r="Z12" i="6"/>
  <c r="Z235" i="6" s="1"/>
  <c r="Z30" i="6"/>
  <c r="Z141" i="6" s="1"/>
  <c r="Z29" i="6"/>
  <c r="Z140" i="6" s="1"/>
  <c r="Z25" i="6"/>
  <c r="Z136" i="6" s="1"/>
  <c r="S33" i="6"/>
  <c r="S144" i="6" s="1"/>
  <c r="S36" i="6"/>
  <c r="S147" i="6" s="1"/>
  <c r="S39" i="6"/>
  <c r="S150" i="6" s="1"/>
  <c r="S44" i="6"/>
  <c r="S155" i="6" s="1"/>
  <c r="S226" i="6" s="1"/>
  <c r="S46" i="6"/>
  <c r="S157" i="6" s="1"/>
  <c r="S51" i="6"/>
  <c r="S162" i="6" s="1"/>
  <c r="S53" i="6"/>
  <c r="S164" i="6" s="1"/>
  <c r="S55" i="6"/>
  <c r="S166" i="6" s="1"/>
  <c r="S60" i="6"/>
  <c r="S171" i="6" s="1"/>
  <c r="S62" i="6"/>
  <c r="S173" i="6" s="1"/>
  <c r="S64" i="6"/>
  <c r="S175" i="6" s="1"/>
  <c r="S23" i="6"/>
  <c r="S134" i="6" s="1"/>
  <c r="S22" i="6"/>
  <c r="S133" i="6" s="1"/>
  <c r="S24" i="6"/>
  <c r="S135" i="6" s="1"/>
  <c r="S42" i="6"/>
  <c r="S153" i="6" s="1"/>
  <c r="S224" i="6" s="1"/>
  <c r="S45" i="6"/>
  <c r="S156" i="6" s="1"/>
  <c r="S47" i="6"/>
  <c r="S158" i="6" s="1"/>
  <c r="S49" i="6"/>
  <c r="S160" i="6" s="1"/>
  <c r="S54" i="6"/>
  <c r="S165" i="6" s="1"/>
  <c r="S56" i="6"/>
  <c r="S167" i="6" s="1"/>
  <c r="S58" i="6"/>
  <c r="S169" i="6" s="1"/>
  <c r="S63" i="6"/>
  <c r="S174" i="6" s="1"/>
  <c r="S65" i="6"/>
  <c r="S176" i="6" s="1"/>
  <c r="S67" i="6"/>
  <c r="S178" i="6" s="1"/>
  <c r="S28" i="6"/>
  <c r="S139" i="6" s="1"/>
  <c r="S31" i="6"/>
  <c r="S142" i="6" s="1"/>
  <c r="S34" i="6"/>
  <c r="S145" i="6" s="1"/>
  <c r="S37" i="6"/>
  <c r="S148" i="6" s="1"/>
  <c r="S40" i="6"/>
  <c r="S151" i="6" s="1"/>
  <c r="S222" i="6" s="1"/>
  <c r="S48" i="6"/>
  <c r="S159" i="6" s="1"/>
  <c r="S50" i="6"/>
  <c r="S161" i="6" s="1"/>
  <c r="S52" i="6"/>
  <c r="S163" i="6" s="1"/>
  <c r="S251" i="6" s="1"/>
  <c r="S57" i="6"/>
  <c r="S168" i="6" s="1"/>
  <c r="S59" i="6"/>
  <c r="S170" i="6" s="1"/>
  <c r="S61" i="6"/>
  <c r="S172" i="6" s="1"/>
  <c r="S66" i="6"/>
  <c r="S177" i="6" s="1"/>
  <c r="S43" i="6"/>
  <c r="S154" i="6" s="1"/>
  <c r="S225" i="6" s="1"/>
  <c r="S27" i="6"/>
  <c r="S138" i="6" s="1"/>
  <c r="S32" i="6"/>
  <c r="S143" i="6" s="1"/>
  <c r="S221" i="6" s="1"/>
  <c r="S35" i="6"/>
  <c r="S146" i="6" s="1"/>
  <c r="S38" i="6"/>
  <c r="S149" i="6" s="1"/>
  <c r="S41" i="6"/>
  <c r="S152" i="6" s="1"/>
  <c r="S223" i="6" s="1"/>
  <c r="S248" i="6"/>
  <c r="S195" i="6"/>
  <c r="S207" i="6"/>
  <c r="S210" i="6"/>
  <c r="S218" i="6" s="1"/>
  <c r="S238" i="6"/>
  <c r="S206" i="6"/>
  <c r="S209" i="6"/>
  <c r="S217" i="6" s="1"/>
  <c r="S205" i="6"/>
  <c r="S208" i="6"/>
  <c r="S211" i="6"/>
  <c r="S14" i="6"/>
  <c r="S242" i="6" s="1"/>
  <c r="S12" i="6"/>
  <c r="S235" i="6" s="1"/>
  <c r="S13" i="6"/>
  <c r="S239" i="6" s="1"/>
  <c r="S11" i="6"/>
  <c r="S236" i="6" s="1"/>
  <c r="S30" i="6"/>
  <c r="S141" i="6" s="1"/>
  <c r="S29" i="6"/>
  <c r="S140" i="6" s="1"/>
  <c r="S25" i="6"/>
  <c r="S136" i="6" s="1"/>
  <c r="Y41" i="6"/>
  <c r="Y152" i="6" s="1"/>
  <c r="Y223" i="6" s="1"/>
  <c r="Y48" i="6"/>
  <c r="Y159" i="6" s="1"/>
  <c r="Y57" i="6"/>
  <c r="Y168" i="6" s="1"/>
  <c r="Y66" i="6"/>
  <c r="Y177" i="6" s="1"/>
  <c r="Y23" i="6"/>
  <c r="Y134" i="6" s="1"/>
  <c r="Y27" i="6"/>
  <c r="Y138" i="6" s="1"/>
  <c r="Y46" i="6"/>
  <c r="Y157" i="6" s="1"/>
  <c r="Y53" i="6"/>
  <c r="Y164" i="6" s="1"/>
  <c r="Y55" i="6"/>
  <c r="Y166" i="6" s="1"/>
  <c r="Y62" i="6"/>
  <c r="Y173" i="6" s="1"/>
  <c r="Y64" i="6"/>
  <c r="Y175" i="6" s="1"/>
  <c r="Y33" i="6"/>
  <c r="Y144" i="6" s="1"/>
  <c r="Y36" i="6"/>
  <c r="Y147" i="6" s="1"/>
  <c r="Y51" i="6"/>
  <c r="Y162" i="6" s="1"/>
  <c r="Y60" i="6"/>
  <c r="Y171" i="6" s="1"/>
  <c r="Y24" i="6"/>
  <c r="Y135" i="6" s="1"/>
  <c r="Y42" i="6"/>
  <c r="Y153" i="6" s="1"/>
  <c r="Y224" i="6" s="1"/>
  <c r="Y47" i="6"/>
  <c r="Y158" i="6" s="1"/>
  <c r="Y49" i="6"/>
  <c r="Y160" i="6" s="1"/>
  <c r="Y28" i="6"/>
  <c r="Y139" i="6" s="1"/>
  <c r="Y45" i="6"/>
  <c r="Y156" i="6" s="1"/>
  <c r="Y54" i="6"/>
  <c r="Y165" i="6" s="1"/>
  <c r="Y63" i="6"/>
  <c r="Y174" i="6" s="1"/>
  <c r="Y34" i="6"/>
  <c r="Y145" i="6" s="1"/>
  <c r="Y37" i="6"/>
  <c r="Y148" i="6" s="1"/>
  <c r="Y40" i="6"/>
  <c r="Y151" i="6" s="1"/>
  <c r="Y222" i="6" s="1"/>
  <c r="Y50" i="6"/>
  <c r="Y161" i="6" s="1"/>
  <c r="Y52" i="6"/>
  <c r="Y163" i="6" s="1"/>
  <c r="Y251" i="6" s="1"/>
  <c r="Y59" i="6"/>
  <c r="Y170" i="6" s="1"/>
  <c r="Y61" i="6"/>
  <c r="Y172" i="6" s="1"/>
  <c r="Y43" i="6"/>
  <c r="Y154" i="6" s="1"/>
  <c r="Y225" i="6" s="1"/>
  <c r="Y205" i="6"/>
  <c r="Y213" i="6" s="1"/>
  <c r="Y208" i="6"/>
  <c r="Y211" i="6"/>
  <c r="Y35" i="6"/>
  <c r="Y146" i="6" s="1"/>
  <c r="Y58" i="6"/>
  <c r="Y169" i="6" s="1"/>
  <c r="Y65" i="6"/>
  <c r="Y176" i="6" s="1"/>
  <c r="Y195" i="6"/>
  <c r="Y207" i="6"/>
  <c r="Y210" i="6"/>
  <c r="Y38" i="6"/>
  <c r="Y149" i="6" s="1"/>
  <c r="Y56" i="6"/>
  <c r="Y167" i="6" s="1"/>
  <c r="Y206" i="6"/>
  <c r="Y209" i="6"/>
  <c r="Y217" i="6" s="1"/>
  <c r="Y32" i="6"/>
  <c r="Y143" i="6" s="1"/>
  <c r="Y221" i="6" s="1"/>
  <c r="Y67" i="6"/>
  <c r="Y178" i="6" s="1"/>
  <c r="Y14" i="6"/>
  <c r="Y242" i="6" s="1"/>
  <c r="Y13" i="6"/>
  <c r="Y239" i="6" s="1"/>
  <c r="Y12" i="6"/>
  <c r="Y235" i="6" s="1"/>
  <c r="Y11" i="6"/>
  <c r="Y236" i="6" s="1"/>
  <c r="Y30" i="6"/>
  <c r="Y141" i="6" s="1"/>
  <c r="Y29" i="6"/>
  <c r="Y140" i="6" s="1"/>
  <c r="Y25" i="6"/>
  <c r="Y136" i="6" s="1"/>
  <c r="R23" i="6"/>
  <c r="R134" i="6" s="1"/>
  <c r="R24" i="6"/>
  <c r="R135" i="6" s="1"/>
  <c r="R42" i="6"/>
  <c r="R153" i="6" s="1"/>
  <c r="R224" i="6" s="1"/>
  <c r="R45" i="6"/>
  <c r="R156" i="6" s="1"/>
  <c r="R47" i="6"/>
  <c r="R158" i="6" s="1"/>
  <c r="R49" i="6"/>
  <c r="R160" i="6" s="1"/>
  <c r="R54" i="6"/>
  <c r="R165" i="6" s="1"/>
  <c r="R56" i="6"/>
  <c r="R167" i="6" s="1"/>
  <c r="R58" i="6"/>
  <c r="R169" i="6" s="1"/>
  <c r="R28" i="6"/>
  <c r="R139" i="6" s="1"/>
  <c r="R12" i="6"/>
  <c r="R235" i="6" s="1"/>
  <c r="R31" i="6"/>
  <c r="R142" i="6" s="1"/>
  <c r="R34" i="6"/>
  <c r="R145" i="6" s="1"/>
  <c r="R37" i="6"/>
  <c r="R148" i="6" s="1"/>
  <c r="R40" i="6"/>
  <c r="R151" i="6" s="1"/>
  <c r="R222" i="6" s="1"/>
  <c r="R48" i="6"/>
  <c r="R159" i="6" s="1"/>
  <c r="R50" i="6"/>
  <c r="R161" i="6" s="1"/>
  <c r="R52" i="6"/>
  <c r="R163" i="6" s="1"/>
  <c r="R251" i="6" s="1"/>
  <c r="R57" i="6"/>
  <c r="R168" i="6" s="1"/>
  <c r="R59" i="6"/>
  <c r="R170" i="6" s="1"/>
  <c r="R61" i="6"/>
  <c r="R172" i="6" s="1"/>
  <c r="R66" i="6"/>
  <c r="R177" i="6" s="1"/>
  <c r="R43" i="6"/>
  <c r="R154" i="6" s="1"/>
  <c r="R225" i="6" s="1"/>
  <c r="R27" i="6"/>
  <c r="R138" i="6" s="1"/>
  <c r="R32" i="6"/>
  <c r="R143" i="6" s="1"/>
  <c r="R221" i="6" s="1"/>
  <c r="R35" i="6"/>
  <c r="R146" i="6" s="1"/>
  <c r="R38" i="6"/>
  <c r="R149" i="6" s="1"/>
  <c r="R41" i="6"/>
  <c r="R152" i="6" s="1"/>
  <c r="R223" i="6" s="1"/>
  <c r="R51" i="6"/>
  <c r="R162" i="6" s="1"/>
  <c r="R195" i="6"/>
  <c r="R207" i="6"/>
  <c r="R210" i="6"/>
  <c r="R238" i="6"/>
  <c r="R62" i="6"/>
  <c r="R173" i="6" s="1"/>
  <c r="R65" i="6"/>
  <c r="R176" i="6" s="1"/>
  <c r="R44" i="6"/>
  <c r="R155" i="6" s="1"/>
  <c r="R226" i="6" s="1"/>
  <c r="R36" i="6"/>
  <c r="R147" i="6" s="1"/>
  <c r="R53" i="6"/>
  <c r="R164" i="6" s="1"/>
  <c r="R63" i="6"/>
  <c r="R174" i="6" s="1"/>
  <c r="R206" i="6"/>
  <c r="R214" i="6" s="1"/>
  <c r="R209" i="6"/>
  <c r="R217" i="6" s="1"/>
  <c r="R46" i="6"/>
  <c r="R157" i="6" s="1"/>
  <c r="R55" i="6"/>
  <c r="R166" i="6" s="1"/>
  <c r="R39" i="6"/>
  <c r="R150" i="6" s="1"/>
  <c r="R60" i="6"/>
  <c r="R171" i="6" s="1"/>
  <c r="R205" i="6"/>
  <c r="R208" i="6"/>
  <c r="R211" i="6"/>
  <c r="R219" i="6" s="1"/>
  <c r="R64" i="6"/>
  <c r="R175" i="6" s="1"/>
  <c r="R67" i="6"/>
  <c r="R178" i="6" s="1"/>
  <c r="R33" i="6"/>
  <c r="R144" i="6" s="1"/>
  <c r="R248" i="6"/>
  <c r="R22" i="6"/>
  <c r="R133" i="6" s="1"/>
  <c r="R13" i="6"/>
  <c r="R239" i="6" s="1"/>
  <c r="R14" i="6"/>
  <c r="R242" i="6" s="1"/>
  <c r="R11" i="6"/>
  <c r="R236" i="6" s="1"/>
  <c r="R29" i="6"/>
  <c r="R140" i="6" s="1"/>
  <c r="R30" i="6"/>
  <c r="R141" i="6" s="1"/>
  <c r="R25" i="6"/>
  <c r="R136" i="6" s="1"/>
  <c r="X27" i="6"/>
  <c r="X138" i="6" s="1"/>
  <c r="X33" i="6"/>
  <c r="X144" i="6" s="1"/>
  <c r="X36" i="6"/>
  <c r="X147" i="6" s="1"/>
  <c r="X51" i="6"/>
  <c r="X162" i="6" s="1"/>
  <c r="X60" i="6"/>
  <c r="X171" i="6" s="1"/>
  <c r="X24" i="6"/>
  <c r="X135" i="6" s="1"/>
  <c r="X42" i="6"/>
  <c r="X153" i="6" s="1"/>
  <c r="X224" i="6" s="1"/>
  <c r="X45" i="6"/>
  <c r="X156" i="6" s="1"/>
  <c r="X54" i="6"/>
  <c r="X165" i="6" s="1"/>
  <c r="X63" i="6"/>
  <c r="X174" i="6" s="1"/>
  <c r="X13" i="6"/>
  <c r="X239" i="6" s="1"/>
  <c r="X205" i="6"/>
  <c r="X208" i="6"/>
  <c r="X211" i="6"/>
  <c r="X57" i="6"/>
  <c r="X168" i="6" s="1"/>
  <c r="X195" i="6"/>
  <c r="X207" i="6"/>
  <c r="X210" i="6"/>
  <c r="X66" i="6"/>
  <c r="X177" i="6" s="1"/>
  <c r="X48" i="6"/>
  <c r="X159" i="6" s="1"/>
  <c r="X206" i="6"/>
  <c r="X209" i="6"/>
  <c r="X217" i="6" s="1"/>
  <c r="X65" i="6"/>
  <c r="X176" i="6" s="1"/>
  <c r="X49" i="6"/>
  <c r="X160" i="6" s="1"/>
  <c r="X40" i="6"/>
  <c r="X151" i="6" s="1"/>
  <c r="X222" i="6" s="1"/>
  <c r="X32" i="6"/>
  <c r="X143" i="6" s="1"/>
  <c r="X221" i="6" s="1"/>
  <c r="X52" i="6"/>
  <c r="X163" i="6" s="1"/>
  <c r="X251" i="6" s="1"/>
  <c r="X35" i="6"/>
  <c r="X146" i="6" s="1"/>
  <c r="X11" i="6"/>
  <c r="X236" i="6" s="1"/>
  <c r="X55" i="6"/>
  <c r="X166" i="6" s="1"/>
  <c r="X38" i="6"/>
  <c r="X149" i="6" s="1"/>
  <c r="X14" i="6"/>
  <c r="X242" i="6" s="1"/>
  <c r="X58" i="6"/>
  <c r="X169" i="6" s="1"/>
  <c r="X41" i="6"/>
  <c r="X152" i="6" s="1"/>
  <c r="X223" i="6" s="1"/>
  <c r="X61" i="6"/>
  <c r="X172" i="6" s="1"/>
  <c r="X28" i="6"/>
  <c r="X139" i="6" s="1"/>
  <c r="X64" i="6"/>
  <c r="X175" i="6" s="1"/>
  <c r="X56" i="6"/>
  <c r="X167" i="6" s="1"/>
  <c r="X47" i="6"/>
  <c r="X158" i="6" s="1"/>
  <c r="X67" i="6"/>
  <c r="X178" i="6" s="1"/>
  <c r="X50" i="6"/>
  <c r="X161" i="6" s="1"/>
  <c r="X34" i="6"/>
  <c r="X145" i="6" s="1"/>
  <c r="X62" i="6"/>
  <c r="X173" i="6" s="1"/>
  <c r="X53" i="6"/>
  <c r="X164" i="6" s="1"/>
  <c r="X37" i="6"/>
  <c r="X148" i="6" s="1"/>
  <c r="X46" i="6"/>
  <c r="X157" i="6" s="1"/>
  <c r="X12" i="6"/>
  <c r="X235" i="6" s="1"/>
  <c r="X59" i="6"/>
  <c r="X170" i="6" s="1"/>
  <c r="X43" i="6"/>
  <c r="X154" i="6" s="1"/>
  <c r="X225" i="6" s="1"/>
  <c r="X23" i="6"/>
  <c r="X134" i="6" s="1"/>
  <c r="X29" i="6"/>
  <c r="X140" i="6" s="1"/>
  <c r="X30" i="6"/>
  <c r="X141" i="6" s="1"/>
  <c r="X25" i="6"/>
  <c r="X136" i="6" s="1"/>
  <c r="Q24" i="6"/>
  <c r="Q135" i="6" s="1"/>
  <c r="Q42" i="6"/>
  <c r="Q153" i="6" s="1"/>
  <c r="Q224" i="6" s="1"/>
  <c r="Q45" i="6"/>
  <c r="Q156" i="6" s="1"/>
  <c r="Q47" i="6"/>
  <c r="Q158" i="6" s="1"/>
  <c r="Q49" i="6"/>
  <c r="Q160" i="6" s="1"/>
  <c r="Q54" i="6"/>
  <c r="Q165" i="6" s="1"/>
  <c r="Q56" i="6"/>
  <c r="Q167" i="6" s="1"/>
  <c r="Q58" i="6"/>
  <c r="Q169" i="6" s="1"/>
  <c r="Q63" i="6"/>
  <c r="Q174" i="6" s="1"/>
  <c r="Q65" i="6"/>
  <c r="Q176" i="6" s="1"/>
  <c r="Q67" i="6"/>
  <c r="Q178" i="6" s="1"/>
  <c r="Q48" i="6"/>
  <c r="Q159" i="6" s="1"/>
  <c r="Q50" i="6"/>
  <c r="Q161" i="6" s="1"/>
  <c r="Q52" i="6"/>
  <c r="Q163" i="6" s="1"/>
  <c r="Q251" i="6" s="1"/>
  <c r="Q27" i="6"/>
  <c r="Q138" i="6" s="1"/>
  <c r="Q32" i="6"/>
  <c r="Q143" i="6" s="1"/>
  <c r="Q221" i="6" s="1"/>
  <c r="Q35" i="6"/>
  <c r="Q146" i="6" s="1"/>
  <c r="Q38" i="6"/>
  <c r="Q149" i="6" s="1"/>
  <c r="Q41" i="6"/>
  <c r="Q152" i="6" s="1"/>
  <c r="Q223" i="6" s="1"/>
  <c r="Q33" i="6"/>
  <c r="Q144" i="6" s="1"/>
  <c r="Q36" i="6"/>
  <c r="Q147" i="6" s="1"/>
  <c r="Q39" i="6"/>
  <c r="Q150" i="6" s="1"/>
  <c r="Q44" i="6"/>
  <c r="Q155" i="6" s="1"/>
  <c r="Q226" i="6" s="1"/>
  <c r="Q46" i="6"/>
  <c r="Q157" i="6" s="1"/>
  <c r="Q51" i="6"/>
  <c r="Q162" i="6" s="1"/>
  <c r="Q53" i="6"/>
  <c r="Q164" i="6" s="1"/>
  <c r="Q55" i="6"/>
  <c r="Q166" i="6" s="1"/>
  <c r="Q60" i="6"/>
  <c r="Q171" i="6" s="1"/>
  <c r="Q62" i="6"/>
  <c r="Q173" i="6" s="1"/>
  <c r="Q64" i="6"/>
  <c r="Q175" i="6" s="1"/>
  <c r="Q206" i="6"/>
  <c r="Q209" i="6"/>
  <c r="Q217" i="6" s="1"/>
  <c r="Q59" i="6"/>
  <c r="Q170" i="6" s="1"/>
  <c r="Q66" i="6"/>
  <c r="Q177" i="6" s="1"/>
  <c r="Q205" i="6"/>
  <c r="Q213" i="6" s="1"/>
  <c r="Q208" i="6"/>
  <c r="Q216" i="6" s="1"/>
  <c r="Q211" i="6"/>
  <c r="Q57" i="6"/>
  <c r="Q168" i="6" s="1"/>
  <c r="Q61" i="6"/>
  <c r="Q172" i="6" s="1"/>
  <c r="Q248" i="6"/>
  <c r="Q207" i="6"/>
  <c r="Q210" i="6"/>
  <c r="Q218" i="6" s="1"/>
  <c r="Q238" i="6"/>
  <c r="Q195" i="6"/>
  <c r="Q37" i="6"/>
  <c r="Q148" i="6" s="1"/>
  <c r="Q12" i="6"/>
  <c r="Q235" i="6" s="1"/>
  <c r="Q34" i="6"/>
  <c r="Q145" i="6" s="1"/>
  <c r="Q22" i="6"/>
  <c r="Q133" i="6" s="1"/>
  <c r="Q11" i="6"/>
  <c r="Q236" i="6" s="1"/>
  <c r="Q13" i="6"/>
  <c r="Q239" i="6" s="1"/>
  <c r="Q43" i="6"/>
  <c r="Q154" i="6" s="1"/>
  <c r="Q225" i="6" s="1"/>
  <c r="Q31" i="6"/>
  <c r="Q142" i="6" s="1"/>
  <c r="Q14" i="6"/>
  <c r="Q242" i="6" s="1"/>
  <c r="Q23" i="6"/>
  <c r="Q134" i="6" s="1"/>
  <c r="Q40" i="6"/>
  <c r="Q151" i="6" s="1"/>
  <c r="Q222" i="6" s="1"/>
  <c r="Q28" i="6"/>
  <c r="Q139" i="6" s="1"/>
  <c r="Q29" i="6"/>
  <c r="Q140" i="6" s="1"/>
  <c r="Q30" i="6"/>
  <c r="Q141" i="6" s="1"/>
  <c r="Q25" i="6"/>
  <c r="Q136" i="6" s="1"/>
  <c r="W11" i="6"/>
  <c r="W236" i="6" s="1"/>
  <c r="W27" i="6"/>
  <c r="W138" i="6" s="1"/>
  <c r="W14" i="6"/>
  <c r="W242" i="6" s="1"/>
  <c r="W44" i="6"/>
  <c r="W155" i="6" s="1"/>
  <c r="W226" i="6" s="1"/>
  <c r="W46" i="6"/>
  <c r="W157" i="6" s="1"/>
  <c r="W53" i="6"/>
  <c r="W164" i="6" s="1"/>
  <c r="W55" i="6"/>
  <c r="W166" i="6" s="1"/>
  <c r="W62" i="6"/>
  <c r="W173" i="6" s="1"/>
  <c r="W64" i="6"/>
  <c r="W175" i="6" s="1"/>
  <c r="W33" i="6"/>
  <c r="W144" i="6" s="1"/>
  <c r="W36" i="6"/>
  <c r="W147" i="6" s="1"/>
  <c r="W39" i="6"/>
  <c r="W150" i="6" s="1"/>
  <c r="W51" i="6"/>
  <c r="W162" i="6" s="1"/>
  <c r="W60" i="6"/>
  <c r="W171" i="6" s="1"/>
  <c r="W22" i="6"/>
  <c r="W133" i="6" s="1"/>
  <c r="W24" i="6"/>
  <c r="W135" i="6" s="1"/>
  <c r="W42" i="6"/>
  <c r="W153" i="6" s="1"/>
  <c r="W224" i="6" s="1"/>
  <c r="W47" i="6"/>
  <c r="W158" i="6" s="1"/>
  <c r="W49" i="6"/>
  <c r="W160" i="6" s="1"/>
  <c r="W56" i="6"/>
  <c r="W167" i="6" s="1"/>
  <c r="W58" i="6"/>
  <c r="W169" i="6" s="1"/>
  <c r="W65" i="6"/>
  <c r="W176" i="6" s="1"/>
  <c r="W67" i="6"/>
  <c r="W178" i="6" s="1"/>
  <c r="W28" i="6"/>
  <c r="W139" i="6" s="1"/>
  <c r="W45" i="6"/>
  <c r="W156" i="6" s="1"/>
  <c r="W54" i="6"/>
  <c r="W165" i="6" s="1"/>
  <c r="W31" i="6"/>
  <c r="W142" i="6" s="1"/>
  <c r="W34" i="6"/>
  <c r="W145" i="6" s="1"/>
  <c r="W37" i="6"/>
  <c r="W148" i="6" s="1"/>
  <c r="W40" i="6"/>
  <c r="W151" i="6" s="1"/>
  <c r="W222" i="6" s="1"/>
  <c r="W50" i="6"/>
  <c r="W161" i="6" s="1"/>
  <c r="W52" i="6"/>
  <c r="W163" i="6" s="1"/>
  <c r="W251" i="6" s="1"/>
  <c r="W59" i="6"/>
  <c r="W170" i="6" s="1"/>
  <c r="W61" i="6"/>
  <c r="W172" i="6" s="1"/>
  <c r="W43" i="6"/>
  <c r="W154" i="6" s="1"/>
  <c r="W225" i="6" s="1"/>
  <c r="W48" i="6"/>
  <c r="W159" i="6" s="1"/>
  <c r="W57" i="6"/>
  <c r="W168" i="6" s="1"/>
  <c r="W66" i="6"/>
  <c r="W177" i="6" s="1"/>
  <c r="W248" i="6"/>
  <c r="W195" i="6"/>
  <c r="W207" i="6"/>
  <c r="W210" i="6"/>
  <c r="W238" i="6"/>
  <c r="W63" i="6"/>
  <c r="W174" i="6" s="1"/>
  <c r="W206" i="6"/>
  <c r="W209" i="6"/>
  <c r="W217" i="6" s="1"/>
  <c r="W41" i="6"/>
  <c r="W152" i="6" s="1"/>
  <c r="W223" i="6" s="1"/>
  <c r="W208" i="6"/>
  <c r="W211" i="6"/>
  <c r="W219" i="6" s="1"/>
  <c r="W205" i="6"/>
  <c r="W23" i="6"/>
  <c r="W134" i="6" s="1"/>
  <c r="W35" i="6"/>
  <c r="W146" i="6" s="1"/>
  <c r="W32" i="6"/>
  <c r="W143" i="6" s="1"/>
  <c r="W221" i="6" s="1"/>
  <c r="W13" i="6"/>
  <c r="W239" i="6" s="1"/>
  <c r="W12" i="6"/>
  <c r="W235" i="6" s="1"/>
  <c r="W38" i="6"/>
  <c r="W149" i="6" s="1"/>
  <c r="W30" i="6"/>
  <c r="W141" i="6" s="1"/>
  <c r="W29" i="6"/>
  <c r="W140" i="6" s="1"/>
  <c r="W25" i="6"/>
  <c r="W136" i="6" s="1"/>
  <c r="AD15" i="7"/>
  <c r="V3" i="14"/>
  <c r="B57" i="6"/>
  <c r="B168" i="6" s="1"/>
  <c r="B56" i="6"/>
  <c r="B167" i="6" s="1"/>
  <c r="B208" i="6"/>
  <c r="B216" i="6" s="1"/>
  <c r="B11" i="6"/>
  <c r="B236" i="6" s="1"/>
  <c r="B13" i="6"/>
  <c r="B239" i="6" s="1"/>
  <c r="B14" i="6"/>
  <c r="B242" i="6" s="1"/>
  <c r="B211" i="6"/>
  <c r="B219" i="6" s="1"/>
  <c r="B210" i="6"/>
  <c r="B218" i="6" s="1"/>
  <c r="B209" i="6"/>
  <c r="B217" i="6" s="1"/>
  <c r="B205" i="6"/>
  <c r="B213" i="6" s="1"/>
  <c r="B207" i="6"/>
  <c r="B215" i="6" s="1"/>
  <c r="B206" i="6"/>
  <c r="B214" i="6" s="1"/>
  <c r="B195" i="6"/>
  <c r="L11" i="6"/>
  <c r="L236" i="6" s="1"/>
  <c r="L14" i="6"/>
  <c r="L242" i="6" s="1"/>
  <c r="L25" i="6"/>
  <c r="L136" i="6" s="1"/>
  <c r="L28" i="6"/>
  <c r="L139" i="6" s="1"/>
  <c r="L31" i="6"/>
  <c r="L142" i="6" s="1"/>
  <c r="L34" i="6"/>
  <c r="L145" i="6" s="1"/>
  <c r="L37" i="6"/>
  <c r="L148" i="6" s="1"/>
  <c r="L40" i="6"/>
  <c r="L151" i="6" s="1"/>
  <c r="L222" i="6" s="1"/>
  <c r="L43" i="6"/>
  <c r="L154" i="6" s="1"/>
  <c r="L225" i="6" s="1"/>
  <c r="L46" i="6"/>
  <c r="L157" i="6" s="1"/>
  <c r="L49" i="6"/>
  <c r="L160" i="6" s="1"/>
  <c r="L52" i="6"/>
  <c r="L163" i="6" s="1"/>
  <c r="L251" i="6" s="1"/>
  <c r="L55" i="6"/>
  <c r="L166" i="6" s="1"/>
  <c r="L58" i="6"/>
  <c r="L169" i="6" s="1"/>
  <c r="L61" i="6"/>
  <c r="L172" i="6" s="1"/>
  <c r="L64" i="6"/>
  <c r="L175" i="6" s="1"/>
  <c r="L67" i="6"/>
  <c r="L178" i="6" s="1"/>
  <c r="L207" i="6"/>
  <c r="L210" i="6"/>
  <c r="L12" i="6"/>
  <c r="L235" i="6" s="1"/>
  <c r="L23" i="6"/>
  <c r="L134" i="6" s="1"/>
  <c r="L29" i="6"/>
  <c r="L140" i="6" s="1"/>
  <c r="L32" i="6"/>
  <c r="L143" i="6" s="1"/>
  <c r="L221" i="6" s="1"/>
  <c r="L35" i="6"/>
  <c r="L146" i="6" s="1"/>
  <c r="L38" i="6"/>
  <c r="L149" i="6" s="1"/>
  <c r="L41" i="6"/>
  <c r="L152" i="6" s="1"/>
  <c r="L223" i="6" s="1"/>
  <c r="L47" i="6"/>
  <c r="L158" i="6" s="1"/>
  <c r="L50" i="6"/>
  <c r="L161" i="6" s="1"/>
  <c r="L53" i="6"/>
  <c r="L164" i="6" s="1"/>
  <c r="L56" i="6"/>
  <c r="L167" i="6" s="1"/>
  <c r="L59" i="6"/>
  <c r="L170" i="6" s="1"/>
  <c r="L62" i="6"/>
  <c r="L173" i="6" s="1"/>
  <c r="L65" i="6"/>
  <c r="L176" i="6" s="1"/>
  <c r="L195" i="6"/>
  <c r="L205" i="6"/>
  <c r="L208" i="6"/>
  <c r="L211" i="6"/>
  <c r="L13" i="6"/>
  <c r="L239" i="6" s="1"/>
  <c r="L24" i="6"/>
  <c r="L135" i="6" s="1"/>
  <c r="L27" i="6"/>
  <c r="L138" i="6" s="1"/>
  <c r="L30" i="6"/>
  <c r="L141" i="6" s="1"/>
  <c r="L33" i="6"/>
  <c r="L144" i="6" s="1"/>
  <c r="L36" i="6"/>
  <c r="L147" i="6" s="1"/>
  <c r="L39" i="6"/>
  <c r="L150" i="6" s="1"/>
  <c r="L42" i="6"/>
  <c r="L153" i="6" s="1"/>
  <c r="L224" i="6" s="1"/>
  <c r="L45" i="6"/>
  <c r="L156" i="6" s="1"/>
  <c r="L48" i="6"/>
  <c r="L159" i="6" s="1"/>
  <c r="L51" i="6"/>
  <c r="L162" i="6" s="1"/>
  <c r="L54" i="6"/>
  <c r="L165" i="6" s="1"/>
  <c r="L57" i="6"/>
  <c r="L168" i="6" s="1"/>
  <c r="L60" i="6"/>
  <c r="L171" i="6" s="1"/>
  <c r="L63" i="6"/>
  <c r="L174" i="6" s="1"/>
  <c r="L66" i="6"/>
  <c r="L177" i="6" s="1"/>
  <c r="L206" i="6"/>
  <c r="L209" i="6"/>
  <c r="J11" i="6"/>
  <c r="J236" i="6" s="1"/>
  <c r="J14" i="6"/>
  <c r="J242" i="6" s="1"/>
  <c r="J25" i="6"/>
  <c r="J136" i="6" s="1"/>
  <c r="J28" i="6"/>
  <c r="J139" i="6" s="1"/>
  <c r="J31" i="6"/>
  <c r="J142" i="6" s="1"/>
  <c r="J34" i="6"/>
  <c r="J145" i="6" s="1"/>
  <c r="J37" i="6"/>
  <c r="J148" i="6" s="1"/>
  <c r="J40" i="6"/>
  <c r="J151" i="6" s="1"/>
  <c r="J222" i="6" s="1"/>
  <c r="J43" i="6"/>
  <c r="J154" i="6" s="1"/>
  <c r="J225" i="6" s="1"/>
  <c r="J46" i="6"/>
  <c r="J157" i="6" s="1"/>
  <c r="J49" i="6"/>
  <c r="J160" i="6" s="1"/>
  <c r="J52" i="6"/>
  <c r="J163" i="6" s="1"/>
  <c r="J251" i="6" s="1"/>
  <c r="J55" i="6"/>
  <c r="J166" i="6" s="1"/>
  <c r="J58" i="6"/>
  <c r="J169" i="6" s="1"/>
  <c r="J61" i="6"/>
  <c r="J172" i="6" s="1"/>
  <c r="J64" i="6"/>
  <c r="J175" i="6" s="1"/>
  <c r="J67" i="6"/>
  <c r="J178" i="6" s="1"/>
  <c r="J207" i="6"/>
  <c r="J210" i="6"/>
  <c r="J12" i="6"/>
  <c r="J235" i="6" s="1"/>
  <c r="J23" i="6"/>
  <c r="J134" i="6" s="1"/>
  <c r="J29" i="6"/>
  <c r="J140" i="6" s="1"/>
  <c r="J32" i="6"/>
  <c r="J143" i="6" s="1"/>
  <c r="J221" i="6" s="1"/>
  <c r="J35" i="6"/>
  <c r="J146" i="6" s="1"/>
  <c r="J38" i="6"/>
  <c r="J149" i="6" s="1"/>
  <c r="J41" i="6"/>
  <c r="J152" i="6" s="1"/>
  <c r="J223" i="6" s="1"/>
  <c r="J47" i="6"/>
  <c r="J158" i="6" s="1"/>
  <c r="J50" i="6"/>
  <c r="J161" i="6" s="1"/>
  <c r="J53" i="6"/>
  <c r="J164" i="6" s="1"/>
  <c r="J56" i="6"/>
  <c r="J167" i="6" s="1"/>
  <c r="J59" i="6"/>
  <c r="J170" i="6" s="1"/>
  <c r="J62" i="6"/>
  <c r="J173" i="6" s="1"/>
  <c r="J65" i="6"/>
  <c r="J176" i="6" s="1"/>
  <c r="J195" i="6"/>
  <c r="J205" i="6"/>
  <c r="J208" i="6"/>
  <c r="J211" i="6"/>
  <c r="J209" i="6"/>
  <c r="J13" i="6"/>
  <c r="J239" i="6" s="1"/>
  <c r="J24" i="6"/>
  <c r="J135" i="6" s="1"/>
  <c r="J27" i="6"/>
  <c r="J138" i="6" s="1"/>
  <c r="J30" i="6"/>
  <c r="J141" i="6" s="1"/>
  <c r="J33" i="6"/>
  <c r="J144" i="6" s="1"/>
  <c r="J36" i="6"/>
  <c r="J147" i="6" s="1"/>
  <c r="J39" i="6"/>
  <c r="J150" i="6" s="1"/>
  <c r="J42" i="6"/>
  <c r="J153" i="6" s="1"/>
  <c r="J224" i="6" s="1"/>
  <c r="J45" i="6"/>
  <c r="J156" i="6" s="1"/>
  <c r="J48" i="6"/>
  <c r="J159" i="6" s="1"/>
  <c r="J51" i="6"/>
  <c r="J162" i="6" s="1"/>
  <c r="J54" i="6"/>
  <c r="J165" i="6" s="1"/>
  <c r="J57" i="6"/>
  <c r="J168" i="6" s="1"/>
  <c r="J60" i="6"/>
  <c r="J171" i="6" s="1"/>
  <c r="J63" i="6"/>
  <c r="J174" i="6" s="1"/>
  <c r="J66" i="6"/>
  <c r="J177" i="6" s="1"/>
  <c r="J206" i="6"/>
  <c r="G11" i="6"/>
  <c r="G236" i="6" s="1"/>
  <c r="G14" i="6"/>
  <c r="G242" i="6" s="1"/>
  <c r="G25" i="6"/>
  <c r="G136" i="6" s="1"/>
  <c r="G28" i="6"/>
  <c r="G139" i="6" s="1"/>
  <c r="G31" i="6"/>
  <c r="G142" i="6" s="1"/>
  <c r="G34" i="6"/>
  <c r="G145" i="6" s="1"/>
  <c r="G37" i="6"/>
  <c r="G148" i="6" s="1"/>
  <c r="G40" i="6"/>
  <c r="G151" i="6" s="1"/>
  <c r="G222" i="6" s="1"/>
  <c r="G43" i="6"/>
  <c r="G154" i="6" s="1"/>
  <c r="G225" i="6" s="1"/>
  <c r="G46" i="6"/>
  <c r="G157" i="6" s="1"/>
  <c r="G49" i="6"/>
  <c r="G160" i="6" s="1"/>
  <c r="G52" i="6"/>
  <c r="G163" i="6" s="1"/>
  <c r="G251" i="6" s="1"/>
  <c r="G55" i="6"/>
  <c r="G166" i="6" s="1"/>
  <c r="G58" i="6"/>
  <c r="G169" i="6" s="1"/>
  <c r="G61" i="6"/>
  <c r="G172" i="6" s="1"/>
  <c r="G64" i="6"/>
  <c r="G175" i="6" s="1"/>
  <c r="G67" i="6"/>
  <c r="G178" i="6" s="1"/>
  <c r="G207" i="6"/>
  <c r="G210" i="6"/>
  <c r="G12" i="6"/>
  <c r="G235" i="6" s="1"/>
  <c r="G23" i="6"/>
  <c r="G134" i="6" s="1"/>
  <c r="G29" i="6"/>
  <c r="G140" i="6" s="1"/>
  <c r="G32" i="6"/>
  <c r="G143" i="6" s="1"/>
  <c r="G221" i="6" s="1"/>
  <c r="G35" i="6"/>
  <c r="G146" i="6" s="1"/>
  <c r="G38" i="6"/>
  <c r="G149" i="6" s="1"/>
  <c r="G41" i="6"/>
  <c r="G152" i="6" s="1"/>
  <c r="G223" i="6" s="1"/>
  <c r="G47" i="6"/>
  <c r="G158" i="6" s="1"/>
  <c r="G50" i="6"/>
  <c r="G161" i="6" s="1"/>
  <c r="G53" i="6"/>
  <c r="G164" i="6" s="1"/>
  <c r="G56" i="6"/>
  <c r="G167" i="6" s="1"/>
  <c r="G59" i="6"/>
  <c r="G170" i="6" s="1"/>
  <c r="G62" i="6"/>
  <c r="G173" i="6" s="1"/>
  <c r="G65" i="6"/>
  <c r="G176" i="6" s="1"/>
  <c r="G195" i="6"/>
  <c r="G205" i="6"/>
  <c r="G208" i="6"/>
  <c r="G211" i="6"/>
  <c r="G13" i="6"/>
  <c r="G239" i="6" s="1"/>
  <c r="G24" i="6"/>
  <c r="G135" i="6" s="1"/>
  <c r="G27" i="6"/>
  <c r="G138" i="6" s="1"/>
  <c r="G30" i="6"/>
  <c r="G141" i="6" s="1"/>
  <c r="G33" i="6"/>
  <c r="G144" i="6" s="1"/>
  <c r="G36" i="6"/>
  <c r="G147" i="6" s="1"/>
  <c r="G39" i="6"/>
  <c r="G150" i="6" s="1"/>
  <c r="G42" i="6"/>
  <c r="G153" i="6" s="1"/>
  <c r="G224" i="6" s="1"/>
  <c r="G45" i="6"/>
  <c r="G156" i="6" s="1"/>
  <c r="G48" i="6"/>
  <c r="G159" i="6" s="1"/>
  <c r="G51" i="6"/>
  <c r="G162" i="6" s="1"/>
  <c r="G54" i="6"/>
  <c r="G165" i="6" s="1"/>
  <c r="G57" i="6"/>
  <c r="G168" i="6" s="1"/>
  <c r="G60" i="6"/>
  <c r="G171" i="6" s="1"/>
  <c r="G63" i="6"/>
  <c r="G174" i="6" s="1"/>
  <c r="G66" i="6"/>
  <c r="G177" i="6" s="1"/>
  <c r="G206" i="6"/>
  <c r="G209" i="6"/>
  <c r="F11" i="6"/>
  <c r="F236" i="6" s="1"/>
  <c r="F14" i="6"/>
  <c r="F242" i="6" s="1"/>
  <c r="F25" i="6"/>
  <c r="F136" i="6" s="1"/>
  <c r="F28" i="6"/>
  <c r="F139" i="6" s="1"/>
  <c r="F34" i="6"/>
  <c r="F145" i="6" s="1"/>
  <c r="F37" i="6"/>
  <c r="F148" i="6" s="1"/>
  <c r="F40" i="6"/>
  <c r="F151" i="6" s="1"/>
  <c r="F222" i="6" s="1"/>
  <c r="F43" i="6"/>
  <c r="F154" i="6" s="1"/>
  <c r="F225" i="6" s="1"/>
  <c r="F46" i="6"/>
  <c r="F157" i="6" s="1"/>
  <c r="F49" i="6"/>
  <c r="F160" i="6" s="1"/>
  <c r="F52" i="6"/>
  <c r="F163" i="6" s="1"/>
  <c r="F251" i="6" s="1"/>
  <c r="F55" i="6"/>
  <c r="F166" i="6" s="1"/>
  <c r="F58" i="6"/>
  <c r="F169" i="6" s="1"/>
  <c r="F61" i="6"/>
  <c r="F172" i="6" s="1"/>
  <c r="F64" i="6"/>
  <c r="F175" i="6" s="1"/>
  <c r="F67" i="6"/>
  <c r="F178" i="6" s="1"/>
  <c r="F207" i="6"/>
  <c r="F210" i="6"/>
  <c r="F195" i="6"/>
  <c r="F205" i="6"/>
  <c r="F211" i="6"/>
  <c r="F12" i="6"/>
  <c r="F235" i="6" s="1"/>
  <c r="F23" i="6"/>
  <c r="F134" i="6" s="1"/>
  <c r="F29" i="6"/>
  <c r="F140" i="6" s="1"/>
  <c r="F32" i="6"/>
  <c r="F143" i="6" s="1"/>
  <c r="F221" i="6" s="1"/>
  <c r="F35" i="6"/>
  <c r="F146" i="6" s="1"/>
  <c r="F38" i="6"/>
  <c r="F149" i="6" s="1"/>
  <c r="F41" i="6"/>
  <c r="F152" i="6" s="1"/>
  <c r="F223" i="6" s="1"/>
  <c r="F47" i="6"/>
  <c r="F158" i="6" s="1"/>
  <c r="F50" i="6"/>
  <c r="F161" i="6" s="1"/>
  <c r="F53" i="6"/>
  <c r="F164" i="6" s="1"/>
  <c r="F56" i="6"/>
  <c r="F167" i="6" s="1"/>
  <c r="F59" i="6"/>
  <c r="F170" i="6" s="1"/>
  <c r="F62" i="6"/>
  <c r="F173" i="6" s="1"/>
  <c r="F65" i="6"/>
  <c r="F176" i="6" s="1"/>
  <c r="F208" i="6"/>
  <c r="F13" i="6"/>
  <c r="F239" i="6" s="1"/>
  <c r="F24" i="6"/>
  <c r="F135" i="6" s="1"/>
  <c r="F27" i="6"/>
  <c r="F138" i="6" s="1"/>
  <c r="F30" i="6"/>
  <c r="F141" i="6" s="1"/>
  <c r="F33" i="6"/>
  <c r="F144" i="6" s="1"/>
  <c r="F36" i="6"/>
  <c r="F147" i="6" s="1"/>
  <c r="F39" i="6"/>
  <c r="F150" i="6" s="1"/>
  <c r="F42" i="6"/>
  <c r="F153" i="6" s="1"/>
  <c r="F224" i="6" s="1"/>
  <c r="F45" i="6"/>
  <c r="F156" i="6" s="1"/>
  <c r="F48" i="6"/>
  <c r="F159" i="6" s="1"/>
  <c r="F51" i="6"/>
  <c r="F162" i="6" s="1"/>
  <c r="F54" i="6"/>
  <c r="F165" i="6" s="1"/>
  <c r="F57" i="6"/>
  <c r="F168" i="6" s="1"/>
  <c r="F60" i="6"/>
  <c r="F171" i="6" s="1"/>
  <c r="F63" i="6"/>
  <c r="F174" i="6" s="1"/>
  <c r="F66" i="6"/>
  <c r="F177" i="6" s="1"/>
  <c r="F206" i="6"/>
  <c r="F209" i="6"/>
  <c r="B32" i="6"/>
  <c r="B143" i="6" s="1"/>
  <c r="B221" i="6" s="1"/>
  <c r="B33" i="6"/>
  <c r="B144" i="6" s="1"/>
  <c r="B67" i="6"/>
  <c r="B178" i="6" s="1"/>
  <c r="B24" i="6"/>
  <c r="B135" i="6" s="1"/>
  <c r="B35" i="6"/>
  <c r="B146" i="6" s="1"/>
  <c r="B28" i="6"/>
  <c r="B139" i="6" s="1"/>
  <c r="B53" i="6"/>
  <c r="B164" i="6" s="1"/>
  <c r="B50" i="6"/>
  <c r="B161" i="6" s="1"/>
  <c r="B45" i="6"/>
  <c r="B156" i="6" s="1"/>
  <c r="B64" i="6"/>
  <c r="B175" i="6" s="1"/>
  <c r="B23" i="6"/>
  <c r="B134" i="6" s="1"/>
  <c r="B55" i="6"/>
  <c r="B166" i="6" s="1"/>
  <c r="B52" i="6"/>
  <c r="B163" i="6" s="1"/>
  <c r="B251" i="6" s="1"/>
  <c r="B58" i="6"/>
  <c r="B169" i="6" s="1"/>
  <c r="B43" i="6"/>
  <c r="B154" i="6" s="1"/>
  <c r="B225" i="6" s="1"/>
  <c r="B40" i="6"/>
  <c r="B151" i="6" s="1"/>
  <c r="B222" i="6" s="1"/>
  <c r="B66" i="6"/>
  <c r="B177" i="6" s="1"/>
  <c r="B25" i="6"/>
  <c r="B136" i="6" s="1"/>
  <c r="B62" i="6"/>
  <c r="B173" i="6" s="1"/>
  <c r="B49" i="6"/>
  <c r="B160" i="6" s="1"/>
  <c r="B54" i="6"/>
  <c r="B165" i="6" s="1"/>
  <c r="B61" i="6"/>
  <c r="B172" i="6" s="1"/>
  <c r="B59" i="6"/>
  <c r="B170" i="6" s="1"/>
  <c r="B42" i="6"/>
  <c r="B153" i="6" s="1"/>
  <c r="B224" i="6" s="1"/>
  <c r="B65" i="6"/>
  <c r="B176" i="6" s="1"/>
  <c r="B37" i="6"/>
  <c r="B148" i="6" s="1"/>
  <c r="B47" i="6"/>
  <c r="B158" i="6" s="1"/>
  <c r="B27" i="6"/>
  <c r="B138" i="6" s="1"/>
  <c r="B41" i="6"/>
  <c r="B152" i="6" s="1"/>
  <c r="B223" i="6" s="1"/>
  <c r="B60" i="6"/>
  <c r="B171" i="6" s="1"/>
  <c r="B34" i="6"/>
  <c r="B145" i="6" s="1"/>
  <c r="B46" i="6"/>
  <c r="B157" i="6" s="1"/>
  <c r="B63" i="6"/>
  <c r="B174" i="6" s="1"/>
  <c r="B48" i="6"/>
  <c r="B159" i="6" s="1"/>
  <c r="B51" i="6"/>
  <c r="B162" i="6" s="1"/>
  <c r="B36" i="6"/>
  <c r="B147" i="6" s="1"/>
  <c r="B30" i="6"/>
  <c r="B141" i="6" s="1"/>
  <c r="B29" i="6"/>
  <c r="B140" i="6" s="1"/>
  <c r="B38" i="6"/>
  <c r="B149" i="6" s="1"/>
  <c r="AF21" i="1"/>
  <c r="AF28" i="1"/>
  <c r="AF29" i="1"/>
  <c r="AF18" i="1"/>
  <c r="AF26" i="1"/>
  <c r="AF20" i="1"/>
  <c r="AF15" i="1"/>
  <c r="AF17" i="1"/>
  <c r="AF27" i="1"/>
  <c r="AF19" i="1"/>
  <c r="AF16" i="1"/>
  <c r="AF23" i="1"/>
  <c r="AF24" i="1"/>
  <c r="AF22" i="1"/>
  <c r="AF14" i="1"/>
  <c r="V51" i="15"/>
  <c r="F10" i="7"/>
  <c r="AF12" i="16"/>
  <c r="Q47" i="7"/>
  <c r="Q46" i="7"/>
  <c r="Q40" i="7"/>
  <c r="P14" i="11" s="1"/>
  <c r="AF132" i="6" a="1"/>
  <c r="AC131" i="6" a="1"/>
  <c r="R131" i="6" a="1"/>
  <c r="AE131" i="6" a="1"/>
  <c r="D132" i="6" a="1"/>
  <c r="V132" i="6" a="1"/>
  <c r="Q132" i="6" a="1"/>
  <c r="M131" i="6" a="1"/>
  <c r="C131" i="6" a="1"/>
  <c r="AE132" i="6" a="1"/>
  <c r="B131" i="6" a="1"/>
  <c r="F132" i="6" a="1"/>
  <c r="G131" i="6" a="1"/>
  <c r="C132" i="6" a="1"/>
  <c r="Y132" i="6" a="1"/>
  <c r="Q131" i="6" a="1"/>
  <c r="AB132" i="6" a="1"/>
  <c r="P132" i="6" a="1"/>
  <c r="AD132" i="6" a="1"/>
  <c r="AG132" i="6" a="1"/>
  <c r="AF131" i="6" a="1"/>
  <c r="L131" i="6" a="1"/>
  <c r="E131" i="6" a="1"/>
  <c r="S132" i="6" a="1"/>
  <c r="S131" i="6" a="1"/>
  <c r="V131" i="6" a="1"/>
  <c r="Z131" i="6" a="1"/>
  <c r="AC132" i="6" a="1"/>
  <c r="D131" i="6" a="1"/>
  <c r="P131" i="6" a="1"/>
  <c r="W132" i="6" a="1"/>
  <c r="B132" i="6" a="1"/>
  <c r="L132" i="6" a="1"/>
  <c r="AD131" i="6" a="1"/>
  <c r="M132" i="6" a="1"/>
  <c r="AG131" i="6" a="1"/>
  <c r="J131" i="6" a="1"/>
  <c r="F131" i="6" a="1"/>
  <c r="X131" i="6" a="1"/>
  <c r="AA131" i="6" a="1"/>
  <c r="E132" i="6" a="1"/>
  <c r="W131" i="6" a="1"/>
  <c r="AB131" i="6" a="1"/>
  <c r="Y131" i="6" a="1"/>
  <c r="AA132" i="6" a="1"/>
  <c r="G132" i="6" a="1"/>
  <c r="R132" i="6" a="1"/>
  <c r="Z132" i="6" a="1"/>
  <c r="J132" i="6" a="1"/>
  <c r="X132" i="6" a="1"/>
  <c r="P256" i="6" l="1"/>
  <c r="AE132" i="6"/>
  <c r="C132" i="6"/>
  <c r="AF131" i="6"/>
  <c r="E131" i="6"/>
  <c r="C131" i="6"/>
  <c r="E132" i="6"/>
  <c r="AF132" i="6"/>
  <c r="AE131" i="6"/>
  <c r="AF199" i="6"/>
  <c r="AF200" i="6"/>
  <c r="AF202" i="6"/>
  <c r="AF201" i="6"/>
  <c r="AF196" i="6"/>
  <c r="AF197" i="6"/>
  <c r="AF198" i="6"/>
  <c r="AF203" i="6"/>
  <c r="AE198" i="6"/>
  <c r="AE199" i="6"/>
  <c r="AE200" i="6"/>
  <c r="AE197" i="6"/>
  <c r="AE201" i="6"/>
  <c r="AE203" i="6"/>
  <c r="AE202" i="6"/>
  <c r="AE196" i="6"/>
  <c r="E197" i="6"/>
  <c r="E198" i="6"/>
  <c r="E199" i="6"/>
  <c r="E200" i="6"/>
  <c r="E196" i="6"/>
  <c r="E201" i="6"/>
  <c r="E202" i="6"/>
  <c r="E203" i="6"/>
  <c r="C196" i="6"/>
  <c r="C197" i="6"/>
  <c r="C198" i="6"/>
  <c r="C199" i="6"/>
  <c r="C201" i="6"/>
  <c r="C203" i="6"/>
  <c r="C200" i="6"/>
  <c r="C202" i="6"/>
  <c r="X238" i="6"/>
  <c r="E248" i="6"/>
  <c r="C248" i="6"/>
  <c r="AE248" i="6"/>
  <c r="AF248" i="6"/>
  <c r="AE238" i="6"/>
  <c r="E238" i="6"/>
  <c r="C238" i="6"/>
  <c r="AF238" i="6"/>
  <c r="C237" i="6"/>
  <c r="C247" i="6"/>
  <c r="C31" i="6"/>
  <c r="C142" i="6" s="1"/>
  <c r="E31" i="6"/>
  <c r="E142" i="6" s="1"/>
  <c r="E237" i="6"/>
  <c r="E247" i="6"/>
  <c r="AE237" i="6"/>
  <c r="AD237" i="6"/>
  <c r="AE247" i="6"/>
  <c r="AE31" i="6"/>
  <c r="AE142" i="6" s="1"/>
  <c r="AF31" i="6"/>
  <c r="AF142" i="6" s="1"/>
  <c r="AD247" i="6"/>
  <c r="AF237" i="6"/>
  <c r="AF247" i="6"/>
  <c r="AD31" i="6"/>
  <c r="AD142" i="6" s="1"/>
  <c r="D237" i="6"/>
  <c r="AD23" i="7"/>
  <c r="AF25" i="1"/>
  <c r="D247" i="6"/>
  <c r="X248" i="6"/>
  <c r="D131" i="6"/>
  <c r="AB132" i="6"/>
  <c r="D132" i="6"/>
  <c r="AC131" i="6"/>
  <c r="AA132" i="6"/>
  <c r="AB131" i="6"/>
  <c r="AD132" i="6"/>
  <c r="AA131" i="6"/>
  <c r="AC132" i="6"/>
  <c r="AD131" i="6"/>
  <c r="AA200" i="6"/>
  <c r="AA196" i="6"/>
  <c r="AA203" i="6"/>
  <c r="AA199" i="6"/>
  <c r="AA197" i="6"/>
  <c r="AA198" i="6"/>
  <c r="AA202" i="6"/>
  <c r="AA201" i="6"/>
  <c r="Z248" i="6"/>
  <c r="AD196" i="6"/>
  <c r="AD197" i="6"/>
  <c r="AD198" i="6"/>
  <c r="AD199" i="6"/>
  <c r="AD200" i="6"/>
  <c r="AD203" i="6"/>
  <c r="AD201" i="6"/>
  <c r="AD202" i="6"/>
  <c r="D196" i="6"/>
  <c r="D198" i="6"/>
  <c r="D202" i="6"/>
  <c r="D197" i="6"/>
  <c r="D199" i="6"/>
  <c r="D200" i="6"/>
  <c r="D201" i="6"/>
  <c r="D203" i="6"/>
  <c r="AC196" i="6"/>
  <c r="AC199" i="6"/>
  <c r="AC203" i="6"/>
  <c r="AC202" i="6"/>
  <c r="AC198" i="6"/>
  <c r="AC201" i="6"/>
  <c r="AC197" i="6"/>
  <c r="AC200" i="6"/>
  <c r="Y238" i="6"/>
  <c r="Z238" i="6"/>
  <c r="AB200" i="6"/>
  <c r="AB196" i="6"/>
  <c r="AB199" i="6"/>
  <c r="AB202" i="6"/>
  <c r="AB197" i="6"/>
  <c r="AB203" i="6"/>
  <c r="AB198" i="6"/>
  <c r="AB201" i="6"/>
  <c r="L238" i="6"/>
  <c r="AA248" i="6"/>
  <c r="AB248" i="6"/>
  <c r="AC248" i="6"/>
  <c r="AA238" i="6"/>
  <c r="AB238" i="6"/>
  <c r="AC238" i="6"/>
  <c r="D248" i="6"/>
  <c r="AD248" i="6"/>
  <c r="AD238" i="6"/>
  <c r="D238" i="6"/>
  <c r="Y248" i="6"/>
  <c r="AB237" i="6"/>
  <c r="AB247" i="6"/>
  <c r="AC237" i="6"/>
  <c r="AC247" i="6"/>
  <c r="AA247" i="6"/>
  <c r="AA237" i="6"/>
  <c r="X31" i="6"/>
  <c r="X142" i="6" s="1"/>
  <c r="AC31" i="6"/>
  <c r="AC142" i="6" s="1"/>
  <c r="AB31" i="6"/>
  <c r="AB142" i="6" s="1"/>
  <c r="AA31" i="6"/>
  <c r="AA142" i="6" s="1"/>
  <c r="Z31" i="6"/>
  <c r="Z142" i="6" s="1"/>
  <c r="Y31" i="6"/>
  <c r="Y142" i="6" s="1"/>
  <c r="W256" i="6"/>
  <c r="F31" i="6"/>
  <c r="F142" i="6" s="1"/>
  <c r="D31" i="6"/>
  <c r="D142" i="6" s="1"/>
  <c r="V256" i="6"/>
  <c r="AG256" i="6"/>
  <c r="Z256" i="6"/>
  <c r="X256" i="6"/>
  <c r="Q256" i="6"/>
  <c r="R256" i="6"/>
  <c r="B31" i="6"/>
  <c r="B142" i="6" s="1"/>
  <c r="L256" i="6"/>
  <c r="R231" i="6"/>
  <c r="S253" i="6"/>
  <c r="X253" i="6"/>
  <c r="M253" i="6"/>
  <c r="W233" i="6"/>
  <c r="Q253" i="6"/>
  <c r="AG253" i="6"/>
  <c r="X131" i="6"/>
  <c r="V132" i="6"/>
  <c r="P131" i="6"/>
  <c r="Y132" i="6"/>
  <c r="P132" i="6"/>
  <c r="R131" i="6"/>
  <c r="S132" i="6"/>
  <c r="Z132" i="6"/>
  <c r="AG131" i="6"/>
  <c r="X132" i="6"/>
  <c r="R132" i="6"/>
  <c r="W131" i="6"/>
  <c r="Y131" i="6"/>
  <c r="AG132" i="6"/>
  <c r="M131" i="6"/>
  <c r="S131" i="6"/>
  <c r="M132" i="6"/>
  <c r="W132" i="6"/>
  <c r="Q131" i="6"/>
  <c r="Q132" i="6"/>
  <c r="Z131" i="6"/>
  <c r="V131" i="6"/>
  <c r="W214" i="6"/>
  <c r="W228" i="6"/>
  <c r="X237" i="6"/>
  <c r="X247" i="6"/>
  <c r="X213" i="6"/>
  <c r="Y247" i="6"/>
  <c r="Y237" i="6"/>
  <c r="S216" i="6"/>
  <c r="S230" i="6"/>
  <c r="S232" i="6"/>
  <c r="AG237" i="6"/>
  <c r="AG247" i="6"/>
  <c r="V9" i="6"/>
  <c r="V19" i="6" s="1" a="1"/>
  <c r="V19" i="6" s="1"/>
  <c r="V218" i="6"/>
  <c r="V232" i="6"/>
  <c r="Q227" i="6"/>
  <c r="R233" i="6"/>
  <c r="S247" i="6"/>
  <c r="S237" i="6"/>
  <c r="AG214" i="6"/>
  <c r="AG228" i="6"/>
  <c r="P213" i="6"/>
  <c r="P227" i="6"/>
  <c r="X214" i="6"/>
  <c r="W218" i="6"/>
  <c r="W232" i="6"/>
  <c r="R237" i="6"/>
  <c r="R247" i="6"/>
  <c r="R216" i="6"/>
  <c r="R230" i="6"/>
  <c r="Y218" i="6"/>
  <c r="Y249" i="6" s="1"/>
  <c r="S214" i="6"/>
  <c r="S228" i="6"/>
  <c r="Z219" i="6"/>
  <c r="AG230" i="6"/>
  <c r="M196" i="6"/>
  <c r="M198" i="6"/>
  <c r="M199" i="6"/>
  <c r="M252" i="6"/>
  <c r="M202" i="6"/>
  <c r="M201" i="6"/>
  <c r="M197" i="6"/>
  <c r="M203" i="6"/>
  <c r="M241" i="6"/>
  <c r="M200" i="6"/>
  <c r="M232" i="6"/>
  <c r="M218" i="6"/>
  <c r="P233" i="6"/>
  <c r="P219" i="6"/>
  <c r="R197" i="6"/>
  <c r="R198" i="6"/>
  <c r="R200" i="6"/>
  <c r="R203" i="6"/>
  <c r="R201" i="6"/>
  <c r="R196" i="6"/>
  <c r="R199" i="6"/>
  <c r="R202" i="6"/>
  <c r="R252" i="6"/>
  <c r="R241" i="6"/>
  <c r="S199" i="6"/>
  <c r="S203" i="6"/>
  <c r="S202" i="6"/>
  <c r="S252" i="6"/>
  <c r="S198" i="6"/>
  <c r="S200" i="6"/>
  <c r="S196" i="6"/>
  <c r="S241" i="6"/>
  <c r="S201" i="6"/>
  <c r="S197" i="6"/>
  <c r="P216" i="6"/>
  <c r="P230" i="6"/>
  <c r="W215" i="6"/>
  <c r="W229" i="6"/>
  <c r="R227" i="6"/>
  <c r="R213" i="6"/>
  <c r="Y215" i="6"/>
  <c r="Z216" i="6"/>
  <c r="AG232" i="6"/>
  <c r="AG218" i="6"/>
  <c r="AG249" i="6" s="1"/>
  <c r="V231" i="6"/>
  <c r="M247" i="6"/>
  <c r="M237" i="6"/>
  <c r="M215" i="6"/>
  <c r="M229" i="6"/>
  <c r="M231" i="6"/>
  <c r="S227" i="6"/>
  <c r="S213" i="6"/>
  <c r="S249" i="6" s="1"/>
  <c r="Q214" i="6"/>
  <c r="Q228" i="6"/>
  <c r="X218" i="6"/>
  <c r="R9" i="6"/>
  <c r="R19" i="6" s="1" a="1"/>
  <c r="R19" i="6" s="1"/>
  <c r="Z213" i="6"/>
  <c r="AG215" i="6"/>
  <c r="AG229" i="6"/>
  <c r="V198" i="6"/>
  <c r="V201" i="6"/>
  <c r="V241" i="6"/>
  <c r="V197" i="6"/>
  <c r="V199" i="6"/>
  <c r="V202" i="6"/>
  <c r="V200" i="6"/>
  <c r="V203" i="6"/>
  <c r="V196" i="6"/>
  <c r="V252" i="6"/>
  <c r="V215" i="6"/>
  <c r="V229" i="6"/>
  <c r="Q230" i="6"/>
  <c r="Q231" i="6"/>
  <c r="X215" i="6"/>
  <c r="S215" i="6"/>
  <c r="S229" i="6"/>
  <c r="Z214" i="6"/>
  <c r="V247" i="6"/>
  <c r="V237" i="6"/>
  <c r="V219" i="6"/>
  <c r="V233" i="6"/>
  <c r="M228" i="6"/>
  <c r="P214" i="6"/>
  <c r="P228" i="6"/>
  <c r="W203" i="6"/>
  <c r="W196" i="6"/>
  <c r="W199" i="6"/>
  <c r="W198" i="6"/>
  <c r="W202" i="6"/>
  <c r="W252" i="6"/>
  <c r="W201" i="6"/>
  <c r="W241" i="6"/>
  <c r="W200" i="6"/>
  <c r="W197" i="6"/>
  <c r="W213" i="6"/>
  <c r="W249" i="6" s="1"/>
  <c r="W227" i="6"/>
  <c r="W246" i="6" s="1"/>
  <c r="Q215" i="6"/>
  <c r="Q229" i="6"/>
  <c r="R218" i="6"/>
  <c r="R232" i="6"/>
  <c r="Y9" i="6"/>
  <c r="Y19" i="6" s="1" a="1"/>
  <c r="Y19" i="6" s="1"/>
  <c r="V216" i="6"/>
  <c r="V230" i="6"/>
  <c r="M219" i="6"/>
  <c r="M233" i="6"/>
  <c r="W247" i="6"/>
  <c r="W237" i="6"/>
  <c r="R229" i="6"/>
  <c r="R215" i="6"/>
  <c r="Z197" i="6"/>
  <c r="Z200" i="6"/>
  <c r="Z196" i="6"/>
  <c r="Z241" i="6"/>
  <c r="Z199" i="6"/>
  <c r="Z202" i="6"/>
  <c r="Z198" i="6"/>
  <c r="Z201" i="6"/>
  <c r="Z203" i="6"/>
  <c r="Z252" i="6"/>
  <c r="Z218" i="6"/>
  <c r="AG227" i="6"/>
  <c r="V213" i="6"/>
  <c r="V227" i="6"/>
  <c r="M216" i="6"/>
  <c r="M230" i="6"/>
  <c r="P198" i="6"/>
  <c r="P252" i="6"/>
  <c r="P201" i="6"/>
  <c r="P203" i="6"/>
  <c r="P241" i="6"/>
  <c r="P196" i="6"/>
  <c r="P199" i="6"/>
  <c r="P197" i="6"/>
  <c r="P202" i="6"/>
  <c r="P200" i="6"/>
  <c r="P218" i="6"/>
  <c r="P232" i="6"/>
  <c r="W216" i="6"/>
  <c r="W230" i="6"/>
  <c r="Q197" i="6"/>
  <c r="Q252" i="6"/>
  <c r="Q200" i="6"/>
  <c r="Q203" i="6"/>
  <c r="Q196" i="6"/>
  <c r="Q199" i="6"/>
  <c r="Q202" i="6"/>
  <c r="Q198" i="6"/>
  <c r="Q201" i="6"/>
  <c r="Q241" i="6"/>
  <c r="Z237" i="6"/>
  <c r="Z247" i="6"/>
  <c r="Z215" i="6"/>
  <c r="AG219" i="6"/>
  <c r="AG233" i="6"/>
  <c r="M213" i="6"/>
  <c r="M227" i="6"/>
  <c r="P229" i="6"/>
  <c r="P215" i="6"/>
  <c r="P231" i="6"/>
  <c r="Q249" i="6"/>
  <c r="W231" i="6"/>
  <c r="X198" i="6"/>
  <c r="X241" i="6"/>
  <c r="X201" i="6"/>
  <c r="X252" i="6"/>
  <c r="X197" i="6"/>
  <c r="X200" i="6"/>
  <c r="X203" i="6"/>
  <c r="X196" i="6"/>
  <c r="X199" i="6"/>
  <c r="X202" i="6"/>
  <c r="X219" i="6"/>
  <c r="Y219" i="6"/>
  <c r="S231" i="6"/>
  <c r="AG231" i="6"/>
  <c r="V214" i="6"/>
  <c r="V228" i="6"/>
  <c r="P247" i="6"/>
  <c r="P237" i="6"/>
  <c r="W9" i="6"/>
  <c r="W19" i="6" s="1" a="1"/>
  <c r="W19" i="6" s="1"/>
  <c r="Q247" i="6"/>
  <c r="Q237" i="6"/>
  <c r="Q232" i="6"/>
  <c r="Q219" i="6"/>
  <c r="Q233" i="6"/>
  <c r="X216" i="6"/>
  <c r="R228" i="6"/>
  <c r="Y199" i="6"/>
  <c r="Y202" i="6"/>
  <c r="Y203" i="6"/>
  <c r="Y198" i="6"/>
  <c r="Y201" i="6"/>
  <c r="Y252" i="6"/>
  <c r="Y200" i="6"/>
  <c r="Y197" i="6"/>
  <c r="Y196" i="6"/>
  <c r="Y241" i="6"/>
  <c r="Y214" i="6"/>
  <c r="Y216" i="6"/>
  <c r="S233" i="6"/>
  <c r="S219" i="6"/>
  <c r="Z9" i="6"/>
  <c r="Z19" i="6" s="1" a="1"/>
  <c r="Z19" i="6" s="1"/>
  <c r="AG241" i="6"/>
  <c r="AG201" i="6"/>
  <c r="AG196" i="6"/>
  <c r="AG199" i="6"/>
  <c r="AG202" i="6"/>
  <c r="AG252" i="6"/>
  <c r="AG197" i="6"/>
  <c r="AG203" i="6"/>
  <c r="AG200" i="6"/>
  <c r="AG198" i="6"/>
  <c r="P9" i="6"/>
  <c r="P19" i="6" s="1" a="1"/>
  <c r="P19" i="6" s="1"/>
  <c r="AL46" i="14"/>
  <c r="Y46" i="14" a="1"/>
  <c r="Y46" i="14" s="1"/>
  <c r="B249" i="6"/>
  <c r="B253" i="6"/>
  <c r="B132" i="6"/>
  <c r="F132" i="6"/>
  <c r="F131" i="6"/>
  <c r="G131" i="6"/>
  <c r="G253" i="6"/>
  <c r="L132" i="6"/>
  <c r="G132" i="6"/>
  <c r="L253" i="6"/>
  <c r="L131" i="6"/>
  <c r="J132" i="6"/>
  <c r="J253" i="6"/>
  <c r="J131" i="6"/>
  <c r="B131" i="6"/>
  <c r="F253" i="6"/>
  <c r="G237" i="6"/>
  <c r="G247" i="6"/>
  <c r="J248" i="6"/>
  <c r="J218" i="6"/>
  <c r="J232" i="6"/>
  <c r="L214" i="6"/>
  <c r="L228" i="6"/>
  <c r="L227" i="6"/>
  <c r="L213" i="6"/>
  <c r="F248" i="6"/>
  <c r="F218" i="6"/>
  <c r="F232" i="6"/>
  <c r="J238" i="6"/>
  <c r="J215" i="6"/>
  <c r="J229" i="6"/>
  <c r="F215" i="6"/>
  <c r="F229" i="6"/>
  <c r="L237" i="6"/>
  <c r="L247" i="6"/>
  <c r="F230" i="6"/>
  <c r="F216" i="6"/>
  <c r="J219" i="6"/>
  <c r="F237" i="6"/>
  <c r="F247" i="6"/>
  <c r="J214" i="6"/>
  <c r="J228" i="6"/>
  <c r="J230" i="6"/>
  <c r="J216" i="6"/>
  <c r="J197" i="6"/>
  <c r="J200" i="6"/>
  <c r="J203" i="6"/>
  <c r="J198" i="6"/>
  <c r="J201" i="6"/>
  <c r="J196" i="6"/>
  <c r="J202" i="6"/>
  <c r="J199" i="6"/>
  <c r="J241" i="6"/>
  <c r="J252" i="6"/>
  <c r="F217" i="6"/>
  <c r="F231" i="6"/>
  <c r="F197" i="6"/>
  <c r="F200" i="6"/>
  <c r="F203" i="6"/>
  <c r="F198" i="6"/>
  <c r="F201" i="6"/>
  <c r="F196" i="6"/>
  <c r="F199" i="6"/>
  <c r="F202" i="6"/>
  <c r="F241" i="6"/>
  <c r="F252" i="6"/>
  <c r="G248" i="6"/>
  <c r="G218" i="6"/>
  <c r="G232" i="6"/>
  <c r="J227" i="6"/>
  <c r="J213" i="6"/>
  <c r="F214" i="6"/>
  <c r="F228" i="6"/>
  <c r="G238" i="6"/>
  <c r="G215" i="6"/>
  <c r="G229" i="6"/>
  <c r="J237" i="6"/>
  <c r="J247" i="6"/>
  <c r="L248" i="6"/>
  <c r="L218" i="6"/>
  <c r="L232" i="6"/>
  <c r="F238" i="6"/>
  <c r="G219" i="6"/>
  <c r="L215" i="6"/>
  <c r="L229" i="6"/>
  <c r="F219" i="6"/>
  <c r="G217" i="6"/>
  <c r="G231" i="6"/>
  <c r="G230" i="6"/>
  <c r="G216" i="6"/>
  <c r="G197" i="6"/>
  <c r="G200" i="6"/>
  <c r="G203" i="6"/>
  <c r="G198" i="6"/>
  <c r="G201" i="6"/>
  <c r="G196" i="6"/>
  <c r="G199" i="6"/>
  <c r="G202" i="6"/>
  <c r="G252" i="6"/>
  <c r="G241" i="6"/>
  <c r="F227" i="6"/>
  <c r="F213" i="6"/>
  <c r="G214" i="6"/>
  <c r="G228" i="6"/>
  <c r="G227" i="6"/>
  <c r="G213" i="6"/>
  <c r="L219" i="6"/>
  <c r="J217" i="6"/>
  <c r="J231" i="6"/>
  <c r="L217" i="6"/>
  <c r="L231" i="6"/>
  <c r="L230" i="6"/>
  <c r="L216" i="6"/>
  <c r="L197" i="6"/>
  <c r="L200" i="6"/>
  <c r="L203" i="6"/>
  <c r="L198" i="6"/>
  <c r="L201" i="6"/>
  <c r="L241" i="6"/>
  <c r="L196" i="6"/>
  <c r="L199" i="6"/>
  <c r="L202" i="6"/>
  <c r="L252" i="6"/>
  <c r="B196" i="6"/>
  <c r="B201" i="6"/>
  <c r="B202" i="6"/>
  <c r="B203" i="6"/>
  <c r="B197" i="6"/>
  <c r="B198" i="6"/>
  <c r="B200" i="6"/>
  <c r="B241" i="6"/>
  <c r="B199" i="6"/>
  <c r="B252" i="6"/>
  <c r="B248" i="6"/>
  <c r="B238" i="6"/>
  <c r="B237" i="6"/>
  <c r="B247" i="6"/>
  <c r="I6" i="7"/>
  <c r="K6" i="7" s="1"/>
  <c r="AD6" i="7" s="1"/>
  <c r="AF11" i="1"/>
  <c r="T8" i="11"/>
  <c r="AF12" i="1"/>
  <c r="S8" i="11"/>
  <c r="X249" i="6" l="1"/>
  <c r="AG246" i="6"/>
  <c r="AE243" i="6"/>
  <c r="E22" i="6"/>
  <c r="E133" i="6" s="1"/>
  <c r="AE22" i="6"/>
  <c r="AE133" i="6" s="1"/>
  <c r="AF22" i="6"/>
  <c r="AF133" i="6" s="1"/>
  <c r="C22" i="6"/>
  <c r="C133" i="6" s="1"/>
  <c r="E243" i="6"/>
  <c r="AF243" i="6"/>
  <c r="C243" i="6"/>
  <c r="AD243" i="6"/>
  <c r="C39" i="6"/>
  <c r="C150" i="6" s="1"/>
  <c r="C232" i="6" s="1"/>
  <c r="E39" i="6"/>
  <c r="E150" i="6" s="1"/>
  <c r="AA243" i="6"/>
  <c r="Z249" i="6"/>
  <c r="D243" i="6"/>
  <c r="AE39" i="6"/>
  <c r="AE150" i="6" s="1"/>
  <c r="AE230" i="6" s="1"/>
  <c r="AF39" i="6"/>
  <c r="AF150" i="6" s="1"/>
  <c r="AC243" i="6"/>
  <c r="M246" i="6"/>
  <c r="B39" i="6"/>
  <c r="B150" i="6" s="1"/>
  <c r="AA39" i="6"/>
  <c r="AA150" i="6" s="1"/>
  <c r="AB39" i="6"/>
  <c r="AB150" i="6" s="1"/>
  <c r="X39" i="6"/>
  <c r="X150" i="6" s="1"/>
  <c r="D39" i="6"/>
  <c r="D150" i="6" s="1"/>
  <c r="AD39" i="6"/>
  <c r="AD150" i="6" s="1"/>
  <c r="AC39" i="6"/>
  <c r="AC150" i="6" s="1"/>
  <c r="Z39" i="6"/>
  <c r="Z150" i="6" s="1"/>
  <c r="Y39" i="6"/>
  <c r="Y150" i="6" s="1"/>
  <c r="S246" i="6"/>
  <c r="AB243" i="6"/>
  <c r="D22" i="6"/>
  <c r="D133" i="6" s="1"/>
  <c r="AD22" i="6"/>
  <c r="AD133" i="6" s="1"/>
  <c r="AC22" i="6"/>
  <c r="AC133" i="6" s="1"/>
  <c r="AA22" i="6"/>
  <c r="AA133" i="6" s="1"/>
  <c r="AB22" i="6"/>
  <c r="AB133" i="6" s="1"/>
  <c r="Z22" i="6"/>
  <c r="Z133" i="6" s="1"/>
  <c r="Y22" i="6"/>
  <c r="Y133" i="6" s="1"/>
  <c r="X22" i="6"/>
  <c r="X133" i="6" s="1"/>
  <c r="V246" i="6"/>
  <c r="V249" i="6"/>
  <c r="R246" i="6"/>
  <c r="P249" i="6"/>
  <c r="L246" i="6"/>
  <c r="P246" i="6"/>
  <c r="Q246" i="6"/>
  <c r="M249" i="6"/>
  <c r="R249" i="6"/>
  <c r="S243" i="6"/>
  <c r="AG243" i="6"/>
  <c r="X243" i="6"/>
  <c r="Z253" i="6"/>
  <c r="R253" i="6"/>
  <c r="V253" i="6"/>
  <c r="L249" i="6"/>
  <c r="W253" i="6"/>
  <c r="W255" i="6" s="1"/>
  <c r="P253" i="6"/>
  <c r="Y253" i="6"/>
  <c r="V243" i="6"/>
  <c r="Q243" i="6"/>
  <c r="G243" i="6"/>
  <c r="Y243" i="6"/>
  <c r="W243" i="6"/>
  <c r="R243" i="6"/>
  <c r="P243" i="6"/>
  <c r="M243" i="6"/>
  <c r="Z243" i="6"/>
  <c r="G249" i="6"/>
  <c r="G246" i="6"/>
  <c r="J249" i="6"/>
  <c r="J246" i="6"/>
  <c r="J243" i="6"/>
  <c r="L243" i="6"/>
  <c r="F249" i="6"/>
  <c r="F246" i="6"/>
  <c r="F243" i="6"/>
  <c r="G22" i="6"/>
  <c r="G133" i="6" s="1"/>
  <c r="F22" i="6"/>
  <c r="F133" i="6" s="1"/>
  <c r="J22" i="6"/>
  <c r="J133" i="6" s="1"/>
  <c r="L22" i="6"/>
  <c r="L133" i="6" s="1"/>
  <c r="B243" i="6"/>
  <c r="B22" i="6"/>
  <c r="B133" i="6" s="1"/>
  <c r="F62" i="7"/>
  <c r="K62" i="7" s="1"/>
  <c r="K10" i="7"/>
  <c r="AD10" i="7" s="1"/>
  <c r="G28" i="7"/>
  <c r="K28" i="7" s="1"/>
  <c r="AD28" i="7" s="1"/>
  <c r="AF26" i="6" l="1"/>
  <c r="AF137" i="6" s="1"/>
  <c r="AE26" i="6"/>
  <c r="AE137" i="6" s="1"/>
  <c r="C26" i="6"/>
  <c r="C137" i="6" s="1"/>
  <c r="E26" i="6"/>
  <c r="E137" i="6" s="1"/>
  <c r="C227" i="6"/>
  <c r="C229" i="6"/>
  <c r="C230" i="6"/>
  <c r="C246" i="6" s="1"/>
  <c r="C228" i="6"/>
  <c r="C231" i="6"/>
  <c r="C44" i="6"/>
  <c r="C155" i="6" s="1"/>
  <c r="C226" i="6" s="1"/>
  <c r="C233" i="6" s="1"/>
  <c r="E44" i="6"/>
  <c r="E155" i="6" s="1"/>
  <c r="E226" i="6" s="1"/>
  <c r="E233" i="6" s="1"/>
  <c r="E232" i="6"/>
  <c r="E230" i="6"/>
  <c r="E246" i="6" s="1"/>
  <c r="E255" i="6" s="1"/>
  <c r="E227" i="6"/>
  <c r="E229" i="6"/>
  <c r="E228" i="6"/>
  <c r="E231" i="6"/>
  <c r="AE232" i="6"/>
  <c r="AE246" i="6" s="1"/>
  <c r="AE229" i="6"/>
  <c r="AE228" i="6"/>
  <c r="AE231" i="6"/>
  <c r="AE227" i="6"/>
  <c r="AE44" i="6"/>
  <c r="AE155" i="6" s="1"/>
  <c r="AE226" i="6" s="1"/>
  <c r="AE233" i="6" s="1"/>
  <c r="AF44" i="6"/>
  <c r="AF155" i="6" s="1"/>
  <c r="AF226" i="6" s="1"/>
  <c r="AF233" i="6" s="1"/>
  <c r="AF227" i="6"/>
  <c r="AF231" i="6"/>
  <c r="AF232" i="6"/>
  <c r="AF246" i="6" s="1"/>
  <c r="AF228" i="6"/>
  <c r="AF230" i="6"/>
  <c r="AF229" i="6"/>
  <c r="AD44" i="6"/>
  <c r="AD155" i="6" s="1"/>
  <c r="AD226" i="6" s="1"/>
  <c r="AD233" i="6" s="1"/>
  <c r="Y232" i="6"/>
  <c r="Y229" i="6"/>
  <c r="Y230" i="6"/>
  <c r="Y227" i="6"/>
  <c r="Y231" i="6"/>
  <c r="Y228" i="6"/>
  <c r="Z228" i="6"/>
  <c r="Z231" i="6"/>
  <c r="Z232" i="6"/>
  <c r="Z246" i="6" s="1"/>
  <c r="Z230" i="6"/>
  <c r="Z227" i="6"/>
  <c r="Z229" i="6"/>
  <c r="AD229" i="6"/>
  <c r="AD230" i="6"/>
  <c r="AD231" i="6"/>
  <c r="AD227" i="6"/>
  <c r="AD228" i="6"/>
  <c r="AD232" i="6"/>
  <c r="AD246" i="6" s="1"/>
  <c r="D232" i="6"/>
  <c r="D231" i="6"/>
  <c r="D227" i="6"/>
  <c r="D228" i="6"/>
  <c r="D230" i="6"/>
  <c r="D246" i="6" s="1"/>
  <c r="D229" i="6"/>
  <c r="AB227" i="6"/>
  <c r="AB229" i="6"/>
  <c r="AB228" i="6"/>
  <c r="AB230" i="6"/>
  <c r="AB231" i="6"/>
  <c r="AB232" i="6"/>
  <c r="AB246" i="6" s="1"/>
  <c r="AA232" i="6"/>
  <c r="AA246" i="6" s="1"/>
  <c r="AA228" i="6"/>
  <c r="AA231" i="6"/>
  <c r="AA230" i="6"/>
  <c r="AA227" i="6"/>
  <c r="AA229" i="6"/>
  <c r="AC230" i="6"/>
  <c r="AC232" i="6"/>
  <c r="AC246" i="6" s="1"/>
  <c r="AC228" i="6"/>
  <c r="AC231" i="6"/>
  <c r="AC229" i="6"/>
  <c r="AC227" i="6"/>
  <c r="B231" i="6"/>
  <c r="B228" i="6"/>
  <c r="B227" i="6"/>
  <c r="B229" i="6"/>
  <c r="B230" i="6"/>
  <c r="B246" i="6" s="1"/>
  <c r="B232" i="6"/>
  <c r="X231" i="6"/>
  <c r="X227" i="6"/>
  <c r="X229" i="6"/>
  <c r="X230" i="6"/>
  <c r="X228" i="6"/>
  <c r="X232" i="6"/>
  <c r="X246" i="6" s="1"/>
  <c r="AB26" i="6"/>
  <c r="AB137" i="6" s="1"/>
  <c r="D26" i="6"/>
  <c r="D137" i="6" s="1"/>
  <c r="AC26" i="6"/>
  <c r="AC137" i="6" s="1"/>
  <c r="AD26" i="6"/>
  <c r="AD137" i="6" s="1"/>
  <c r="AA26" i="6"/>
  <c r="AA137" i="6" s="1"/>
  <c r="Y26" i="6"/>
  <c r="Y137" i="6" s="1"/>
  <c r="Z26" i="6"/>
  <c r="Z137" i="6" s="1"/>
  <c r="X26" i="6"/>
  <c r="X137" i="6" s="1"/>
  <c r="AA44" i="6"/>
  <c r="AA155" i="6" s="1"/>
  <c r="AA226" i="6" s="1"/>
  <c r="AA233" i="6" s="1"/>
  <c r="AC44" i="6"/>
  <c r="AC155" i="6" s="1"/>
  <c r="AC226" i="6" s="1"/>
  <c r="AC233" i="6" s="1"/>
  <c r="AB44" i="6"/>
  <c r="AB155" i="6" s="1"/>
  <c r="AB226" i="6" s="1"/>
  <c r="AB233" i="6" s="1"/>
  <c r="Y44" i="6"/>
  <c r="Y155" i="6" s="1"/>
  <c r="Y226" i="6" s="1"/>
  <c r="Y233" i="6" s="1"/>
  <c r="Z44" i="6"/>
  <c r="Z155" i="6" s="1"/>
  <c r="Z226" i="6" s="1"/>
  <c r="Z233" i="6" s="1"/>
  <c r="D44" i="6"/>
  <c r="D155" i="6" s="1"/>
  <c r="D226" i="6" s="1"/>
  <c r="D233" i="6" s="1"/>
  <c r="X44" i="6"/>
  <c r="X155" i="6" s="1"/>
  <c r="X226" i="6" s="1"/>
  <c r="X233" i="6" s="1"/>
  <c r="J26" i="6"/>
  <c r="J137" i="6" s="1"/>
  <c r="L26" i="6"/>
  <c r="L137" i="6" s="1"/>
  <c r="F44" i="6"/>
  <c r="F155" i="6" s="1"/>
  <c r="F226" i="6" s="1"/>
  <c r="F233" i="6" s="1"/>
  <c r="L44" i="6"/>
  <c r="L155" i="6" s="1"/>
  <c r="L226" i="6" s="1"/>
  <c r="L233" i="6" s="1"/>
  <c r="G44" i="6"/>
  <c r="G155" i="6" s="1"/>
  <c r="G226" i="6" s="1"/>
  <c r="G233" i="6" s="1"/>
  <c r="J44" i="6"/>
  <c r="J155" i="6" s="1"/>
  <c r="J226" i="6" s="1"/>
  <c r="J233" i="6" s="1"/>
  <c r="B26" i="6"/>
  <c r="B137" i="6" s="1"/>
  <c r="B44" i="6"/>
  <c r="B155" i="6" s="1"/>
  <c r="B226" i="6" s="1"/>
  <c r="B233" i="6" s="1"/>
  <c r="AE10" i="7"/>
  <c r="Q100" i="7"/>
  <c r="P9" i="11" s="1"/>
  <c r="AF30" i="1"/>
  <c r="Q48" i="7"/>
  <c r="AA130" i="6" a="1"/>
  <c r="D130" i="6" a="1"/>
  <c r="C130" i="6" a="1"/>
  <c r="E130" i="6" a="1"/>
  <c r="AB130" i="6" a="1"/>
  <c r="X130" i="6" a="1"/>
  <c r="AE130" i="6" a="1"/>
  <c r="AF130" i="6" a="1"/>
  <c r="AC130" i="6" a="1"/>
  <c r="J130" i="6" a="1"/>
  <c r="AD130" i="6" a="1"/>
  <c r="Y130" i="6" a="1"/>
  <c r="L130" i="6" a="1"/>
  <c r="B130" i="6" a="1"/>
  <c r="Z130" i="6" a="1"/>
  <c r="AI26" i="6" l="1"/>
  <c r="AI137" i="6" s="1"/>
  <c r="AG26" i="6"/>
  <c r="AG137" i="6" s="1"/>
  <c r="AH26" i="6"/>
  <c r="AH137" i="6" s="1"/>
  <c r="F26" i="6"/>
  <c r="F137" i="6" s="1"/>
  <c r="O26" i="6"/>
  <c r="O137" i="6" s="1"/>
  <c r="U26" i="6"/>
  <c r="U137" i="6" s="1"/>
  <c r="T26" i="6"/>
  <c r="T137" i="6" s="1"/>
  <c r="N26" i="6"/>
  <c r="N137" i="6" s="1"/>
  <c r="R26" i="6"/>
  <c r="R137" i="6" s="1"/>
  <c r="W26" i="6"/>
  <c r="W137" i="6" s="1"/>
  <c r="M26" i="6"/>
  <c r="M137" i="6" s="1"/>
  <c r="S26" i="6"/>
  <c r="S137" i="6" s="1"/>
  <c r="P26" i="6"/>
  <c r="P137" i="6" s="1"/>
  <c r="V26" i="6"/>
  <c r="V137" i="6" s="1"/>
  <c r="Q26" i="6"/>
  <c r="Q137" i="6" s="1"/>
  <c r="E130" i="6"/>
  <c r="C130" i="6"/>
  <c r="C245" i="6" s="1"/>
  <c r="C255" i="6" s="1"/>
  <c r="AE130" i="6"/>
  <c r="AE245" i="6" s="1"/>
  <c r="AE255" i="6" s="1"/>
  <c r="AF130" i="6"/>
  <c r="AF245" i="6" s="1"/>
  <c r="AF255" i="6" s="1"/>
  <c r="Y246" i="6"/>
  <c r="X130" i="6"/>
  <c r="X245" i="6" s="1"/>
  <c r="X255" i="6" s="1"/>
  <c r="Z130" i="6"/>
  <c r="Z245" i="6" s="1"/>
  <c r="Z255" i="6" s="1"/>
  <c r="AA130" i="6"/>
  <c r="AA245" i="6" s="1"/>
  <c r="AA255" i="6" s="1"/>
  <c r="AD130" i="6"/>
  <c r="AD245" i="6" s="1"/>
  <c r="AD255" i="6" s="1"/>
  <c r="AC130" i="6"/>
  <c r="AC245" i="6" s="1"/>
  <c r="AC255" i="6" s="1"/>
  <c r="D130" i="6"/>
  <c r="D245" i="6" s="1"/>
  <c r="D255" i="6" s="1"/>
  <c r="AB130" i="6"/>
  <c r="AB245" i="6" s="1"/>
  <c r="AB255" i="6" s="1"/>
  <c r="Y130" i="6"/>
  <c r="Y245" i="6" s="1"/>
  <c r="G26" i="6"/>
  <c r="G137" i="6" s="1"/>
  <c r="J130" i="6"/>
  <c r="J245" i="6" s="1"/>
  <c r="B130" i="6"/>
  <c r="B245" i="6" s="1"/>
  <c r="L130" i="6"/>
  <c r="L245" i="6" s="1"/>
  <c r="L255" i="6" s="1"/>
  <c r="AF13" i="16"/>
  <c r="AF13" i="1"/>
  <c r="P8" i="11"/>
  <c r="M130" i="6" a="1"/>
  <c r="G130" i="6" a="1"/>
  <c r="AI130" i="6" a="1"/>
  <c r="O130" i="6" a="1"/>
  <c r="T130" i="6" a="1"/>
  <c r="R130" i="6" a="1"/>
  <c r="W130" i="6" a="1"/>
  <c r="F130" i="6" a="1"/>
  <c r="Q130" i="6" a="1"/>
  <c r="V130" i="6" a="1"/>
  <c r="S130" i="6" a="1"/>
  <c r="AG130" i="6" a="1"/>
  <c r="N130" i="6" a="1"/>
  <c r="AH130" i="6" a="1"/>
  <c r="P130" i="6" a="1"/>
  <c r="U130" i="6" a="1"/>
  <c r="AI130" i="6" l="1"/>
  <c r="AI245" i="6" s="1"/>
  <c r="AH130" i="6"/>
  <c r="AH245" i="6" s="1"/>
  <c r="AH255" i="6" s="1"/>
  <c r="AG130" i="6"/>
  <c r="AG245" i="6" s="1"/>
  <c r="AG255" i="6" s="1"/>
  <c r="V130" i="6"/>
  <c r="V245" i="6" s="1"/>
  <c r="V255" i="6" s="1"/>
  <c r="P130" i="6"/>
  <c r="P245" i="6" s="1"/>
  <c r="P255" i="6" s="1"/>
  <c r="W130" i="6"/>
  <c r="W245" i="6" s="1"/>
  <c r="M130" i="6"/>
  <c r="M245" i="6" s="1"/>
  <c r="M255" i="6" s="1"/>
  <c r="N130" i="6"/>
  <c r="N245" i="6" s="1"/>
  <c r="N255" i="6" s="1"/>
  <c r="T130" i="6"/>
  <c r="T245" i="6" s="1"/>
  <c r="T255" i="6" s="1"/>
  <c r="Q130" i="6"/>
  <c r="Q245" i="6" s="1"/>
  <c r="Q255" i="6" s="1"/>
  <c r="S130" i="6"/>
  <c r="S245" i="6" s="1"/>
  <c r="S255" i="6" s="1"/>
  <c r="U130" i="6"/>
  <c r="U245" i="6" s="1"/>
  <c r="U255" i="6" s="1"/>
  <c r="R130" i="6"/>
  <c r="R245" i="6" s="1"/>
  <c r="R255" i="6" s="1"/>
  <c r="O130" i="6"/>
  <c r="F130" i="6"/>
  <c r="F245" i="6" s="1"/>
  <c r="Y255" i="6"/>
  <c r="J256" i="6"/>
  <c r="J255" i="6"/>
  <c r="F256" i="6"/>
  <c r="B256" i="6"/>
  <c r="B255" i="6"/>
  <c r="G130" i="6"/>
  <c r="G245" i="6" s="1"/>
  <c r="G255" i="6" s="1"/>
  <c r="B272" i="6" l="1"/>
  <c r="AF5" i="17" s="1"/>
  <c r="AI255" i="6"/>
  <c r="AI256" i="6"/>
  <c r="B265" i="6" l="1"/>
  <c r="B271" i="6"/>
  <c r="AF5" i="16" s="1"/>
  <c r="B270" i="6"/>
  <c r="AF5" i="1" l="1"/>
  <c r="B262" i="6"/>
  <c r="F255" i="6"/>
  <c r="B264" i="6" l="1"/>
  <c r="B267" i="6" s="1"/>
  <c r="B273" i="6"/>
  <c r="AF5" i="18" s="1"/>
  <c r="C272" i="6" l="1"/>
  <c r="C271" i="6"/>
  <c r="C270" i="6"/>
  <c r="C273" i="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Andrew Lee</author>
  </authors>
  <commentList>
    <comment ref="A2" authorId="0" shapeId="0" xr:uid="{2A1F5439-7BAB-4A6A-9741-FF79D38A17BD}">
      <text>
        <r>
          <rPr>
            <b/>
            <sz val="9"/>
            <color indexed="81"/>
            <rFont val="Tahoma"/>
            <family val="2"/>
          </rPr>
          <t>Andrew Lee:</t>
        </r>
        <r>
          <rPr>
            <sz val="9"/>
            <color indexed="81"/>
            <rFont val="Tahoma"/>
            <family val="2"/>
          </rPr>
          <t xml:space="preserve">
expand first dropdown if weapon proc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<sst xmlns="http://schemas.openxmlformats.org/spreadsheetml/2006/main" count="7287" uniqueCount="974">
  <si>
    <t>Burst</t>
  </si>
  <si>
    <t>Bloom DMG</t>
  </si>
  <si>
    <t>Cutting DMG</t>
  </si>
  <si>
    <t>Plunge</t>
  </si>
  <si>
    <t>Skill DMG</t>
  </si>
  <si>
    <t>Charged</t>
  </si>
  <si>
    <t>Normal</t>
  </si>
  <si>
    <t>5-Hit DMG</t>
  </si>
  <si>
    <t>3-Hit DMG</t>
  </si>
  <si>
    <t>2-Hit DMG</t>
  </si>
  <si>
    <t>1-Hit DMG</t>
  </si>
  <si>
    <t>Damage Type</t>
  </si>
  <si>
    <t>Ayaka</t>
  </si>
  <si>
    <t>4-Hit DMG</t>
  </si>
  <si>
    <t>Charged Attack DMG</t>
  </si>
  <si>
    <t>Plunge DMG</t>
  </si>
  <si>
    <t>Charged Attack Hit 1</t>
  </si>
  <si>
    <t>Charged Attack Hit 2</t>
  </si>
  <si>
    <t>Albedo</t>
  </si>
  <si>
    <t>Skill</t>
  </si>
  <si>
    <t>Normal Attack</t>
  </si>
  <si>
    <t>Charged Attack</t>
  </si>
  <si>
    <t>Plunge Attack</t>
  </si>
  <si>
    <t>Skill Echo</t>
  </si>
  <si>
    <t>Burst Echo</t>
  </si>
  <si>
    <t>Enemy Level</t>
  </si>
  <si>
    <t>Pyro Res</t>
  </si>
  <si>
    <t>Attack Element Type</t>
  </si>
  <si>
    <t>Weapon Info</t>
  </si>
  <si>
    <t>Artifact Set Info</t>
  </si>
  <si>
    <t>Artifact Stat Info</t>
  </si>
  <si>
    <t>Flower Level</t>
  </si>
  <si>
    <t>Flower Rarity</t>
  </si>
  <si>
    <t>Feather Level</t>
  </si>
  <si>
    <t>Feather Rarity</t>
  </si>
  <si>
    <t>Sands Level</t>
  </si>
  <si>
    <t>Sands Stat</t>
  </si>
  <si>
    <t>Sands Rarity</t>
  </si>
  <si>
    <t>Goblet Level</t>
  </si>
  <si>
    <t>Goblet Stat</t>
  </si>
  <si>
    <t>Goblet Rarity</t>
  </si>
  <si>
    <t>Circlet Level</t>
  </si>
  <si>
    <t>Circlet Stat</t>
  </si>
  <si>
    <t>Circlet Rarity</t>
  </si>
  <si>
    <t>Set 1 Name</t>
  </si>
  <si>
    <t>Set 2 Name</t>
  </si>
  <si>
    <t>Stacks</t>
  </si>
  <si>
    <t>Toggle</t>
  </si>
  <si>
    <t>Name</t>
  </si>
  <si>
    <t>Refinement</t>
  </si>
  <si>
    <t>Character Name</t>
  </si>
  <si>
    <t>Level</t>
  </si>
  <si>
    <t>Normal Talent Lvl</t>
  </si>
  <si>
    <t>Skill Talent Lvl</t>
  </si>
  <si>
    <t>Burst Talent Lvl</t>
  </si>
  <si>
    <t>Hydro Res</t>
  </si>
  <si>
    <t>Cryo Res</t>
  </si>
  <si>
    <t>Electro Res</t>
  </si>
  <si>
    <t>Anemo Res</t>
  </si>
  <si>
    <t>Geo Res</t>
  </si>
  <si>
    <t>Phys Res</t>
  </si>
  <si>
    <t>Buffs</t>
  </si>
  <si>
    <t>Flat ATK</t>
  </si>
  <si>
    <t>Flat DEF</t>
  </si>
  <si>
    <t>Flat HP</t>
  </si>
  <si>
    <t>ATK%</t>
  </si>
  <si>
    <t>DEF%</t>
  </si>
  <si>
    <t>HP%</t>
  </si>
  <si>
    <t>ER%</t>
  </si>
  <si>
    <t>EM</t>
  </si>
  <si>
    <t>Phys DMG%</t>
  </si>
  <si>
    <t>Anemo DMG%</t>
  </si>
  <si>
    <t>Geo DMG%</t>
  </si>
  <si>
    <t>Pyro DMG%</t>
  </si>
  <si>
    <t>Cryo DMG%</t>
  </si>
  <si>
    <t>Hydro DMG%</t>
  </si>
  <si>
    <t>Electro DMG%</t>
  </si>
  <si>
    <t>Normal DMG%</t>
  </si>
  <si>
    <t>Charged DMG%</t>
  </si>
  <si>
    <t>Plunging DMG%</t>
  </si>
  <si>
    <t>Skill DMG%</t>
  </si>
  <si>
    <t>Burst DMG%</t>
  </si>
  <si>
    <t>DMG%</t>
  </si>
  <si>
    <t>Swirl%</t>
  </si>
  <si>
    <t>Overload%</t>
  </si>
  <si>
    <t>Crystallize%</t>
  </si>
  <si>
    <t>Electrocharged%</t>
  </si>
  <si>
    <t>Superconduct%</t>
  </si>
  <si>
    <t>Melt%</t>
  </si>
  <si>
    <t>Vaporize%</t>
  </si>
  <si>
    <t>Shatter%</t>
  </si>
  <si>
    <t>DEF Shred</t>
  </si>
  <si>
    <t>Anemo RES%</t>
  </si>
  <si>
    <t>Phys RES%</t>
  </si>
  <si>
    <t>Geo RES%</t>
  </si>
  <si>
    <t>Pyro RES%</t>
  </si>
  <si>
    <t>Cryo RES%</t>
  </si>
  <si>
    <t>Hydro RES%</t>
  </si>
  <si>
    <t>Electro RES%</t>
  </si>
  <si>
    <t>Optimization Settings</t>
  </si>
  <si>
    <t>ER Requirement</t>
  </si>
  <si>
    <t>Subs to Distribute</t>
  </si>
  <si>
    <t>Sub Values</t>
  </si>
  <si>
    <t>Flat Subs Per Stat</t>
  </si>
  <si>
    <t>Crit Rate Cap</t>
  </si>
  <si>
    <t>Crit DMG Cap</t>
  </si>
  <si>
    <t>EM Cap</t>
  </si>
  <si>
    <t>Substat Distribution</t>
  </si>
  <si>
    <t>Number of Subs</t>
  </si>
  <si>
    <t>Created by Ayzel</t>
  </si>
  <si>
    <t>Changelog:</t>
  </si>
  <si>
    <t>Added Full Dark Mode</t>
  </si>
  <si>
    <t>Added Motion Value Database/Lookup</t>
  </si>
  <si>
    <t>Revamped Calculation System</t>
  </si>
  <si>
    <t>Version 2.0 - 10/30/2021</t>
  </si>
  <si>
    <t>Discord Tag:</t>
  </si>
  <si>
    <t>Ayzel#7399</t>
  </si>
  <si>
    <t>Contact Information</t>
  </si>
  <si>
    <t>Added Burst/Skill Specific Buffs</t>
  </si>
  <si>
    <t>Added Skill Echo Damage Type</t>
  </si>
  <si>
    <t>Final Damage</t>
  </si>
  <si>
    <t>Damage</t>
  </si>
  <si>
    <t>Attack Name</t>
  </si>
  <si>
    <t>Occurances</t>
  </si>
  <si>
    <t>Added Team Damage Calc Capability</t>
  </si>
  <si>
    <t>Character</t>
  </si>
  <si>
    <t>Scaling Stat</t>
  </si>
  <si>
    <t>ATK</t>
  </si>
  <si>
    <t>Transient Blossom DMG</t>
  </si>
  <si>
    <t>Skill Placement DMG</t>
  </si>
  <si>
    <t>DEF</t>
  </si>
  <si>
    <t>Elemental Burst DMG</t>
  </si>
  <si>
    <t>Fatal Blossom DMG</t>
  </si>
  <si>
    <t>Aimed Shot</t>
  </si>
  <si>
    <t>Fully-Charged Aimed Shot</t>
  </si>
  <si>
    <t>Low Plunge DMG</t>
  </si>
  <si>
    <t>High Plunge DMG</t>
  </si>
  <si>
    <t>Amber</t>
  </si>
  <si>
    <t>Fiery Rain DMG Per Wave</t>
  </si>
  <si>
    <t>Total Fiery Rain DMG</t>
  </si>
  <si>
    <t>Charged Attack Hit 1 DMG</t>
  </si>
  <si>
    <t>Charged Attack Hit 2 DMG</t>
  </si>
  <si>
    <t>Initial Cutting DMG</t>
  </si>
  <si>
    <t>Max Cutting DMG</t>
  </si>
  <si>
    <t>Initial Storm DMG</t>
  </si>
  <si>
    <t>Max Storm DMG</t>
  </si>
  <si>
    <t>Initial Cutting Infused DMG</t>
  </si>
  <si>
    <t>Max Cutting Infused DMG</t>
  </si>
  <si>
    <t>Initial Storm Infused DMG</t>
  </si>
  <si>
    <t>Max Storm Infused DMG</t>
  </si>
  <si>
    <t>Current Known Issues:</t>
  </si>
  <si>
    <t>AMC Skill Infused Damage multipliers unknown, estimated at 30% of anemo DMG</t>
  </si>
  <si>
    <t>Tornado DMG</t>
  </si>
  <si>
    <t>Additional Elemental DMG</t>
  </si>
  <si>
    <t>Barbara</t>
  </si>
  <si>
    <t>Collision Plunge DMG</t>
  </si>
  <si>
    <t>Droplet DMG</t>
  </si>
  <si>
    <t>Charged Attack Spinning DMG</t>
  </si>
  <si>
    <t>Charged Attack Final DMG</t>
  </si>
  <si>
    <t>Beidou</t>
  </si>
  <si>
    <t>Skill Base DMG</t>
  </si>
  <si>
    <t>Level 1 Counter DMG</t>
  </si>
  <si>
    <t>Level 2 Counter DMG</t>
  </si>
  <si>
    <t>Burst Initial Hit DMG</t>
  </si>
  <si>
    <t>Lightning DMG</t>
  </si>
  <si>
    <t>Bennett</t>
  </si>
  <si>
    <t>Press DMG</t>
  </si>
  <si>
    <t>Charge Level 1 Hit 1 DMG</t>
  </si>
  <si>
    <t>C4 Charge Level 1 DMG</t>
  </si>
  <si>
    <t>Charge Level 1 Hit 2 DMG</t>
  </si>
  <si>
    <t>Charge Level 2 Hit 2 DMG</t>
  </si>
  <si>
    <t>Charge Level 2 Hit 1 DMG</t>
  </si>
  <si>
    <t>Charge Level 2 Hit 3 DMG</t>
  </si>
  <si>
    <t>Burst DMG</t>
  </si>
  <si>
    <t>Chongyun</t>
  </si>
  <si>
    <t>Burst Blade Damage (Per Blade)</t>
  </si>
  <si>
    <t>Diluc</t>
  </si>
  <si>
    <t>Skill 1-Hit DMG</t>
  </si>
  <si>
    <t>Skill Second Hit DMG</t>
  </si>
  <si>
    <t>Skill First Hit DMG</t>
  </si>
  <si>
    <t>Skill Third Hit DMG</t>
  </si>
  <si>
    <t>Slashing DMG</t>
  </si>
  <si>
    <t>DoT</t>
  </si>
  <si>
    <t>Burst Slashing DMG</t>
  </si>
  <si>
    <t>Burst DoT</t>
  </si>
  <si>
    <t>Burst Explosion DMG</t>
  </si>
  <si>
    <t>Diona</t>
  </si>
  <si>
    <t>Character 1 Info</t>
  </si>
  <si>
    <t>Icy Paw DMG (Per Paw)</t>
  </si>
  <si>
    <t>Burst Field DMG</t>
  </si>
  <si>
    <t>Skill DMG Per Amulet</t>
  </si>
  <si>
    <t>Burst Falling Thunder DMG</t>
  </si>
  <si>
    <t>Eula</t>
  </si>
  <si>
    <t>3-Hit Hit 1 DMG</t>
  </si>
  <si>
    <t>3-Hit Hit 2 DMG</t>
  </si>
  <si>
    <t>5-Hit Hit 1 DMG</t>
  </si>
  <si>
    <t>5-Hit Hit 2 DMG</t>
  </si>
  <si>
    <t>4-Hit DMG (Per Hit, 3 Hits)</t>
  </si>
  <si>
    <t>Charged Attack DMG (Per Hit, 3 Hits)</t>
  </si>
  <si>
    <t>5-Hit DMG (Per Hit, 2 Hits)</t>
  </si>
  <si>
    <t>3-Hit Hit DMG (Per Hit, 2 Hits)</t>
  </si>
  <si>
    <t>Skill Press DMG</t>
  </si>
  <si>
    <t>Icewhirl Brand DMG</t>
  </si>
  <si>
    <t>Skill Hold DMG</t>
  </si>
  <si>
    <t>Lightfall Sword Base DMG</t>
  </si>
  <si>
    <t>Lightfall Sword DMG Per Stack</t>
  </si>
  <si>
    <t>Lightfall Sword Remnant DMG</t>
  </si>
  <si>
    <t>Fischl</t>
  </si>
  <si>
    <t>Summoning DMG</t>
  </si>
  <si>
    <t>Oz ATK DMG</t>
  </si>
  <si>
    <t>C1 Joint Attack</t>
  </si>
  <si>
    <t>C2 Additional Summon DMG</t>
  </si>
  <si>
    <t>C4 Additional Burst Damage</t>
  </si>
  <si>
    <t>C6 Joint Attack</t>
  </si>
  <si>
    <t>Thundering Retribution (A1)</t>
  </si>
  <si>
    <t>Undone Be Thy Sinful Hex (A4)</t>
  </si>
  <si>
    <t>Ganyu</t>
  </si>
  <si>
    <t>6-Hit DMG</t>
  </si>
  <si>
    <t>Aimed Shot Charge Level 1</t>
  </si>
  <si>
    <t>Frostflake Arrow DMG</t>
  </si>
  <si>
    <t>Frostflake Arrow Bloom DMG</t>
  </si>
  <si>
    <t>Burst Ice Shard DMG</t>
  </si>
  <si>
    <t>Burst DMG Per Shockwave</t>
  </si>
  <si>
    <t>Blood Blossom DMG</t>
  </si>
  <si>
    <t>Low HP Burst DMG</t>
  </si>
  <si>
    <t>Blood Blossom C2 Additional DMG</t>
  </si>
  <si>
    <t>HP</t>
  </si>
  <si>
    <t>Frenzied Rockslide DMG (A4)</t>
  </si>
  <si>
    <t>Jean</t>
  </si>
  <si>
    <t>Field Entering/Exiting DMG</t>
  </si>
  <si>
    <t>Kaeya</t>
  </si>
  <si>
    <t>Burst DMG Per Tick</t>
  </si>
  <si>
    <t>Kazuha</t>
  </si>
  <si>
    <t>5-Hit DMG (Per Hit, 3 Hits)</t>
  </si>
  <si>
    <t>Press Skill DMG</t>
  </si>
  <si>
    <t>Hold Skill DMG</t>
  </si>
  <si>
    <t>Additional Elemental DoT</t>
  </si>
  <si>
    <t>Revamped Character Page Design</t>
  </si>
  <si>
    <t>Soumon Swordsmanship (A1)</t>
  </si>
  <si>
    <t>Keqing</t>
  </si>
  <si>
    <t>4-Hit Hit 1 DMG</t>
  </si>
  <si>
    <t>4-Hit Hit 2 DMG</t>
  </si>
  <si>
    <t>Lightning Stiletto DMG</t>
  </si>
  <si>
    <t>Thunderclap Slash DMG (Per Slash, 2 Slashes)</t>
  </si>
  <si>
    <t>Skill Re-cast DMG</t>
  </si>
  <si>
    <t>Burst Initial Slash DMG</t>
  </si>
  <si>
    <t>Burst Consecutive Slash DMG (Per Slash, 8 Slashes)</t>
  </si>
  <si>
    <t>Burst Final Slash DMG</t>
  </si>
  <si>
    <t>Thundering Might (C1)</t>
  </si>
  <si>
    <t>None</t>
  </si>
  <si>
    <t>Klee</t>
  </si>
  <si>
    <t>Jumpy Dumpty Bounce DMG</t>
  </si>
  <si>
    <t>Jumpy Dumpty Mine DMG</t>
  </si>
  <si>
    <t>Burst Tick DMG (Per Tick, 22.8 Ticks Total)</t>
  </si>
  <si>
    <t>Chained Reactions (C1)</t>
  </si>
  <si>
    <t>Sparkly Explosion (C4)</t>
  </si>
  <si>
    <t>Skill Ripple DMG</t>
  </si>
  <si>
    <t>Kokomi</t>
  </si>
  <si>
    <t>Lisa</t>
  </si>
  <si>
    <t>Non-Conductive Hold DMG</t>
  </si>
  <si>
    <t>Stack 1 Conductive Hold DMG</t>
  </si>
  <si>
    <t>Stack 2 Conductive Hold DMG</t>
  </si>
  <si>
    <t>Stack 3 Conductive Hold DMG</t>
  </si>
  <si>
    <t>Burst Discharge DMG</t>
  </si>
  <si>
    <t>Mona</t>
  </si>
  <si>
    <t>Skill DoT</t>
  </si>
  <si>
    <t>Skill Explosion DMG</t>
  </si>
  <si>
    <t>Illusory Bubble Explosion DMG</t>
  </si>
  <si>
    <t>Normal Attack DMG</t>
  </si>
  <si>
    <t>DMG per Star Jade</t>
  </si>
  <si>
    <t>Ningguang</t>
  </si>
  <si>
    <t>Burst DMG Per Gem</t>
  </si>
  <si>
    <t>Noelle</t>
  </si>
  <si>
    <t>Burst Swing 1 DMG</t>
  </si>
  <si>
    <t>Burst Swing 2 DMG</t>
  </si>
  <si>
    <t>Breastplate Expiration DMG</t>
  </si>
  <si>
    <t>Qiqi</t>
  </si>
  <si>
    <t>4-Hit DMG (Per Hit, 2 Hits)</t>
  </si>
  <si>
    <t>3-Hit DMG (Per Hit, 2 Hits)</t>
  </si>
  <si>
    <t>Charged Attack DMG (Per Hit, 2 Hits)</t>
  </si>
  <si>
    <t>Skill Tick DMG</t>
  </si>
  <si>
    <t>Skill Initial Hit DMG</t>
  </si>
  <si>
    <t>Razor</t>
  </si>
  <si>
    <t>Soul Companion DMG</t>
  </si>
  <si>
    <t>Raiden</t>
  </si>
  <si>
    <t>Coordinated ATK DMG</t>
  </si>
  <si>
    <t>Musou no Hitotachi Base DMG</t>
  </si>
  <si>
    <t>Initial Hit Resolve Bonus Per Stack</t>
  </si>
  <si>
    <t>Normal ATK Resolve Bonus Per Stack</t>
  </si>
  <si>
    <t>Musou Isshin 1-Hit DMG</t>
  </si>
  <si>
    <t>Musou Isshin 2-Hit DMG</t>
  </si>
  <si>
    <t>Musou Isshin 3-Hit DMG</t>
  </si>
  <si>
    <t>Musou Isshin 5-Hit DMG</t>
  </si>
  <si>
    <t>Musou Isshin Low Plunge DMG</t>
  </si>
  <si>
    <t>Musou Isshin High Plunge DMG</t>
  </si>
  <si>
    <t>Musou Isshin Collision Plunge DMG</t>
  </si>
  <si>
    <t>Musou Isshin Charged Attack Hit 1 DMG</t>
  </si>
  <si>
    <t>Musou Isshin Charged Attack Hit 2 DMG</t>
  </si>
  <si>
    <t>Musou Isshin 4-Hit Hit 2 DMG</t>
  </si>
  <si>
    <t>Musou Isshin 4-Hit Hit 1 DMG</t>
  </si>
  <si>
    <t>Rosaria</t>
  </si>
  <si>
    <t>Skill Hit 1 DMG</t>
  </si>
  <si>
    <t>Skil Hit 2 DMG</t>
  </si>
  <si>
    <t>Burst Hit 1 DMG</t>
  </si>
  <si>
    <t>Burst Hit 2 DMG</t>
  </si>
  <si>
    <t>Ice Lance DoT</t>
  </si>
  <si>
    <t>Sara</t>
  </si>
  <si>
    <t>Tengu Juurai: Ambush DMG</t>
  </si>
  <si>
    <t>Tengu Juurai: Titanbreaker DMG</t>
  </si>
  <si>
    <t>Tengu Juurai: Stormcluster DMG</t>
  </si>
  <si>
    <t>Dark Wings (C2)</t>
  </si>
  <si>
    <t>Sayu</t>
  </si>
  <si>
    <t>Fuufuu Windwheel DMG</t>
  </si>
  <si>
    <t>Fuufuu Whirlwind Kick Hold DMG</t>
  </si>
  <si>
    <t>Fuufuu Whirlwind Kick Elemental DMG</t>
  </si>
  <si>
    <t>Fuufuu Whirlwind Kick Press DMG</t>
  </si>
  <si>
    <t>Fuufuu Whirlwind Roll Elemental DMG</t>
  </si>
  <si>
    <t>Burst Activation DMG</t>
  </si>
  <si>
    <t>Muji-Muji Daruma DMG</t>
  </si>
  <si>
    <t>Sucrose</t>
  </si>
  <si>
    <t>Riptide Burst DMG</t>
  </si>
  <si>
    <t>Childe</t>
  </si>
  <si>
    <t>Riptide Flash DMG (Per Hit, 3 Hits)</t>
  </si>
  <si>
    <t>Stance Change DMG</t>
  </si>
  <si>
    <t>Skill 2-Hit DMG</t>
  </si>
  <si>
    <t>Skill 3-Hit DMG</t>
  </si>
  <si>
    <t>Skill 4-Hit DMG</t>
  </si>
  <si>
    <t>Skill 5-Hit DMG</t>
  </si>
  <si>
    <t>Skill 6-Hit Hit 1 DMG</t>
  </si>
  <si>
    <t>Skill 6-Hit Hit 2 DMG</t>
  </si>
  <si>
    <t>Skill Charged Attack Hit 1 DMG</t>
  </si>
  <si>
    <t>Skill Charged Attack Hit 2 DMG</t>
  </si>
  <si>
    <t>Riptide Slash</t>
  </si>
  <si>
    <t>Riptide Blast DMG</t>
  </si>
  <si>
    <t>Burst DMG: Melee</t>
  </si>
  <si>
    <t>Burst DMG: Ranged</t>
  </si>
  <si>
    <t>Venti</t>
  </si>
  <si>
    <t>1-Hit Hit 1 DMG</t>
  </si>
  <si>
    <t>1-Hit Hit 2 DMG</t>
  </si>
  <si>
    <t>Burst Additional Elemental DMG</t>
  </si>
  <si>
    <t>Xiangling</t>
  </si>
  <si>
    <t>4-Hit DMG (Per Hit, 4 Hits)</t>
  </si>
  <si>
    <t>Guoba DMG</t>
  </si>
  <si>
    <t>Pyronado DMG</t>
  </si>
  <si>
    <t>Burst 1-Hit Swing DMG</t>
  </si>
  <si>
    <t>Burst 2-Hit Swing DMG</t>
  </si>
  <si>
    <t>Burst 3-Hit Swing DMG</t>
  </si>
  <si>
    <t>Xiao</t>
  </si>
  <si>
    <t>1-Hit DMG (Per Hit, 2 Hits)</t>
  </si>
  <si>
    <t>Xingqiu</t>
  </si>
  <si>
    <t>Skill Hit 2 DMG</t>
  </si>
  <si>
    <t>Sword Rain DMG</t>
  </si>
  <si>
    <t>Xinyan</t>
  </si>
  <si>
    <t>Skill Swing DMG</t>
  </si>
  <si>
    <t>Burst Pyro DoT DMG</t>
  </si>
  <si>
    <t>Rockin' in a Flaming World (C6)</t>
  </si>
  <si>
    <t>Yanfei</t>
  </si>
  <si>
    <t>Charged Attack 0 Stacks</t>
  </si>
  <si>
    <t>Charged Attack 1 Stack</t>
  </si>
  <si>
    <t>Charged Attack 2 Stacks</t>
  </si>
  <si>
    <t>Charged Attack 3 Stacks</t>
  </si>
  <si>
    <t>Charged Attack 4 Stacks</t>
  </si>
  <si>
    <t>Blazing Eye (A4)</t>
  </si>
  <si>
    <t>Yoimiya</t>
  </si>
  <si>
    <t>Kindling Arrow DMG</t>
  </si>
  <si>
    <t>Aurous Blaze Explosion DMG</t>
  </si>
  <si>
    <t>Zhongli</t>
  </si>
  <si>
    <t>5-Hit DMG (Per Hit, 4 Hits)</t>
  </si>
  <si>
    <t>Stone Stele DMG</t>
  </si>
  <si>
    <t>Resonance DMG</t>
  </si>
  <si>
    <t>Dominance of Earth Normal Bonus</t>
  </si>
  <si>
    <t>Dominance of Earth Charged Bonus</t>
  </si>
  <si>
    <t>Dominance of Earth Plunge Bonus</t>
  </si>
  <si>
    <t>Skill DMG Bonus</t>
  </si>
  <si>
    <t>Burst DMG Bonus</t>
  </si>
  <si>
    <t>Characters:</t>
  </si>
  <si>
    <t>C6 1-Hit DMG</t>
  </si>
  <si>
    <t>C6 2-Hit DMG</t>
  </si>
  <si>
    <t>C6 3-Hit DMG</t>
  </si>
  <si>
    <t>C6 4-Hit DMG</t>
  </si>
  <si>
    <t>C6 5-Hit DMG</t>
  </si>
  <si>
    <t>Things to Note</t>
  </si>
  <si>
    <t>Hu Tao's name must be entered as "HuTao". (May be changed in a future patch.)</t>
  </si>
  <si>
    <r>
      <t xml:space="preserve">Attacks which have a </t>
    </r>
    <r>
      <rPr>
        <i/>
        <sz val="11"/>
        <color theme="0"/>
        <rFont val="Calibri"/>
        <family val="2"/>
        <scheme val="minor"/>
      </rPr>
      <t xml:space="preserve">separate </t>
    </r>
    <r>
      <rPr>
        <sz val="11"/>
        <color theme="0"/>
        <rFont val="Calibri"/>
        <family val="2"/>
        <scheme val="minor"/>
      </rPr>
      <t xml:space="preserve">MV value attached to them, such as Zhongli (from A4) are given </t>
    </r>
    <r>
      <rPr>
        <i/>
        <sz val="11"/>
        <color theme="0"/>
        <rFont val="Calibri"/>
        <family val="2"/>
        <scheme val="minor"/>
      </rPr>
      <t xml:space="preserve">separate </t>
    </r>
    <r>
      <rPr>
        <sz val="11"/>
        <color theme="0"/>
        <rFont val="Calibri"/>
        <family val="2"/>
        <scheme val="minor"/>
      </rPr>
      <t>attacks for those bonuses only, for my sanity. For example, adding Zhongli's burst as an attack in the rotation assembler requires adding both the base damage from the burst and adding the separate A4 bonus damage as another attack.</t>
    </r>
  </si>
  <si>
    <t>Manual Override</t>
  </si>
  <si>
    <t>Credits</t>
  </si>
  <si>
    <t>Thanks to srl for feedback on version 1 of this sheet.</t>
  </si>
  <si>
    <t>Thanks to Zanto for inspiration.</t>
  </si>
  <si>
    <t>Stacks (Raiden Only)</t>
  </si>
  <si>
    <t>Superconduct</t>
  </si>
  <si>
    <t>Overload</t>
  </si>
  <si>
    <t>Pyro Swirl</t>
  </si>
  <si>
    <t>Shatter</t>
  </si>
  <si>
    <t>Electrocharged</t>
  </si>
  <si>
    <t>Cryo Swirl</t>
  </si>
  <si>
    <t>Hydro Swirl</t>
  </si>
  <si>
    <t>Transformative</t>
  </si>
  <si>
    <t>Electro Swirl</t>
  </si>
  <si>
    <t>Multiplier</t>
  </si>
  <si>
    <t>GICalc v2.0</t>
  </si>
  <si>
    <t>The MCs have names stored as "AMC", "GMC", and "EMC". (Other names may be added in the future.)</t>
  </si>
  <si>
    <t>Raiden's Resolve Bonus needs to be entered in the same manner as bonus MV; simply change the values in the "Stacks" row to the requisite amount of resolve stacks. (Unhide Row 7 to see stacks row. Unhide rows by highlighting cells in the rows around it and pressing ALT-H-O-U-O.)</t>
  </si>
  <si>
    <t>Stat</t>
  </si>
  <si>
    <t>Artifact Mainstats</t>
  </si>
  <si>
    <t>Character Base</t>
  </si>
  <si>
    <t>Weapon Bonus</t>
  </si>
  <si>
    <t>Set Bonus Stats</t>
  </si>
  <si>
    <t>Artifact Substats</t>
  </si>
  <si>
    <t>Total</t>
  </si>
  <si>
    <t>Stat Block - Character 1</t>
  </si>
  <si>
    <t>Base HP</t>
  </si>
  <si>
    <t>Base ATK</t>
  </si>
  <si>
    <t>Base DEF</t>
  </si>
  <si>
    <t>CR%</t>
  </si>
  <si>
    <t>CDMG%</t>
  </si>
  <si>
    <t>20+</t>
  </si>
  <si>
    <t>40+</t>
  </si>
  <si>
    <t>50+</t>
  </si>
  <si>
    <t>60+</t>
  </si>
  <si>
    <t>70+</t>
  </si>
  <si>
    <t>80+</t>
  </si>
  <si>
    <t>Lookup Stuff</t>
  </si>
  <si>
    <t>Character Level</t>
  </si>
  <si>
    <t>Character Levels</t>
  </si>
  <si>
    <t>Burst CR%</t>
  </si>
  <si>
    <t>Skill CR%</t>
  </si>
  <si>
    <t>Skill CDMG%</t>
  </si>
  <si>
    <t>Healing Bonus%</t>
  </si>
  <si>
    <t xml:space="preserve"> </t>
  </si>
  <si>
    <t>Amping Reaction</t>
  </si>
  <si>
    <t>GMC</t>
  </si>
  <si>
    <t>AMC</t>
  </si>
  <si>
    <t>EMC</t>
  </si>
  <si>
    <t>Aloy</t>
  </si>
  <si>
    <t>Itto</t>
  </si>
  <si>
    <t>KQMC</t>
  </si>
  <si>
    <t>Perfect</t>
  </si>
  <si>
    <t>Average</t>
  </si>
  <si>
    <t>Burst CDMG%</t>
  </si>
  <si>
    <t>Possible Mainstats</t>
  </si>
  <si>
    <t>Goblet</t>
  </si>
  <si>
    <t>Sands</t>
  </si>
  <si>
    <t>Circlet</t>
  </si>
  <si>
    <t>Implemented Rarities and Level Constraints</t>
  </si>
  <si>
    <t>Physical DMG%</t>
  </si>
  <si>
    <t>Elemental Mastery</t>
  </si>
  <si>
    <t>Energy Recharge%</t>
  </si>
  <si>
    <t>Crit Rate%</t>
  </si>
  <si>
    <t>Crit DMG%</t>
  </si>
  <si>
    <t>CRIT Rate%</t>
  </si>
  <si>
    <t>CRIT DMG%</t>
  </si>
  <si>
    <t>Levels Matching Table</t>
  </si>
  <si>
    <t>oneStarArtiLevels</t>
  </si>
  <si>
    <t>twoStarArtiLevels</t>
  </si>
  <si>
    <t>threeStarArtiLevels</t>
  </si>
  <si>
    <t>fourStarArtiLevels</t>
  </si>
  <si>
    <t>fiveStarArtiLevels</t>
  </si>
  <si>
    <t>Healing Received%</t>
  </si>
  <si>
    <t>Shield Strength%</t>
  </si>
  <si>
    <t>Anemo Res%</t>
  </si>
  <si>
    <t>Geo Res%</t>
  </si>
  <si>
    <t>Pyro Res%</t>
  </si>
  <si>
    <t>Cryo Res%</t>
  </si>
  <si>
    <t>Hydro Res%</t>
  </si>
  <si>
    <t>Electro Res%</t>
  </si>
  <si>
    <t>Phys Res%</t>
  </si>
  <si>
    <t>Skyward Pride</t>
  </si>
  <si>
    <t>The Unforged</t>
  </si>
  <si>
    <t>Redhorn Stonethresher</t>
  </si>
  <si>
    <t>Wolf's Gravestone</t>
  </si>
  <si>
    <t>Song of Broken Pines</t>
  </si>
  <si>
    <t>Serpent Spine</t>
  </si>
  <si>
    <t>The Bell</t>
  </si>
  <si>
    <t>Royal Greatsword</t>
  </si>
  <si>
    <t>Whiteblind</t>
  </si>
  <si>
    <t>Favonius Greatsword</t>
  </si>
  <si>
    <t>Snow-Tombed Starsilver</t>
  </si>
  <si>
    <t>Rainslasher</t>
  </si>
  <si>
    <t>Lithic Blade</t>
  </si>
  <si>
    <t>Prototype Archaic</t>
  </si>
  <si>
    <t>Luxurious Sea-Lord</t>
  </si>
  <si>
    <t>Katsuragikiri Nagamasa</t>
  </si>
  <si>
    <t>Sacrificial Greatsword</t>
  </si>
  <si>
    <t>Akuoumaru</t>
  </si>
  <si>
    <t>Blackcliff Slasher</t>
  </si>
  <si>
    <t>Skyward Spine</t>
  </si>
  <si>
    <t>Engulfing Lightning</t>
  </si>
  <si>
    <t>Primordial Jade-Winged Spear</t>
  </si>
  <si>
    <t>Vortex Vanquisher</t>
  </si>
  <si>
    <t>Staff of Homa</t>
  </si>
  <si>
    <t>The Catch</t>
  </si>
  <si>
    <t>Kitain Cross-Spear</t>
  </si>
  <si>
    <t>Dragonspine Spear</t>
  </si>
  <si>
    <t>Favonius Lance</t>
  </si>
  <si>
    <t>Prototype Starglitter</t>
  </si>
  <si>
    <t>Lithic Spear</t>
  </si>
  <si>
    <t>Dragon's Bane</t>
  </si>
  <si>
    <t>Deathmatch</t>
  </si>
  <si>
    <t>Crescent Pike</t>
  </si>
  <si>
    <t>Blackcliff Pole</t>
  </si>
  <si>
    <t>White Tassel</t>
  </si>
  <si>
    <t>Black Tassel</t>
  </si>
  <si>
    <t>Jade Cutter</t>
  </si>
  <si>
    <t>Freedom Sworn</t>
  </si>
  <si>
    <t>Mistsplitter Reforged</t>
  </si>
  <si>
    <t>Summit Shaper</t>
  </si>
  <si>
    <t>Skyward Blade</t>
  </si>
  <si>
    <t>Aquila Favonia</t>
  </si>
  <si>
    <t>Festering Desire</t>
  </si>
  <si>
    <t>The Flute</t>
  </si>
  <si>
    <t>The Black Sword</t>
  </si>
  <si>
    <t>The Alley Flash</t>
  </si>
  <si>
    <t>Sacrificial Sword</t>
  </si>
  <si>
    <t>Royal Longsword</t>
  </si>
  <si>
    <t>Prototype Rancour</t>
  </si>
  <si>
    <t>Lion's Roar</t>
  </si>
  <si>
    <t>Iron Sting</t>
  </si>
  <si>
    <t>Favonius Sword</t>
  </si>
  <si>
    <t>Blackcliff Longsword</t>
  </si>
  <si>
    <t>Agenoma Kageuchi</t>
  </si>
  <si>
    <t>Cinnabar Spindle</t>
  </si>
  <si>
    <t>Skyrider Sword</t>
  </si>
  <si>
    <t>Dark Iron Sword</t>
  </si>
  <si>
    <t>Harbinger of Dawn</t>
  </si>
  <si>
    <t>Memory of Dust</t>
  </si>
  <si>
    <t>Skyward Atlas</t>
  </si>
  <si>
    <t>Lost Prayers</t>
  </si>
  <si>
    <t>Everlasting Moonglow</t>
  </si>
  <si>
    <t>Frostbearer</t>
  </si>
  <si>
    <t>Eye of Perception</t>
  </si>
  <si>
    <t>Wine and Song</t>
  </si>
  <si>
    <t>The Widsith</t>
  </si>
  <si>
    <t>Solar Pearl</t>
  </si>
  <si>
    <t>Sacrificial Fragments</t>
  </si>
  <si>
    <t>Royal Grimore</t>
  </si>
  <si>
    <t>Prototype Amber</t>
  </si>
  <si>
    <t>Mappa Mare</t>
  </si>
  <si>
    <t>Favonius Codex</t>
  </si>
  <si>
    <t>Dodoco Tales</t>
  </si>
  <si>
    <t>Magic Guide</t>
  </si>
  <si>
    <t>Blackcliff Agate</t>
  </si>
  <si>
    <t>Hakushin Ring</t>
  </si>
  <si>
    <t>Thrilling Tales of Dragon Slayers</t>
  </si>
  <si>
    <t>Elegy for the End</t>
  </si>
  <si>
    <t>Polar Star</t>
  </si>
  <si>
    <t>Skyward Harp</t>
  </si>
  <si>
    <t>Amos Bow</t>
  </si>
  <si>
    <t>Rust</t>
  </si>
  <si>
    <t>Viridescent Hunt</t>
  </si>
  <si>
    <t>Compound Bow</t>
  </si>
  <si>
    <t>Blackcliff Warbow</t>
  </si>
  <si>
    <t>Prototype Crescent</t>
  </si>
  <si>
    <t>Favonius Warbow</t>
  </si>
  <si>
    <t>Windblume Ode</t>
  </si>
  <si>
    <t>Alley Hunter</t>
  </si>
  <si>
    <t>Sacrificial Bow</t>
  </si>
  <si>
    <t>Demon-Slayer's Bow</t>
  </si>
  <si>
    <t>The Stringless</t>
  </si>
  <si>
    <t>Royal Bow</t>
  </si>
  <si>
    <t>Mitternacht's Waltz</t>
  </si>
  <si>
    <t>Slingshot</t>
  </si>
  <si>
    <t>Thundering Pulse</t>
  </si>
  <si>
    <t>Upcoming Features:</t>
  </si>
  <si>
    <t>Character 1</t>
  </si>
  <si>
    <t>Arti Stats Matching Table</t>
  </si>
  <si>
    <t>oneStarArtiStats</t>
  </si>
  <si>
    <t>twoStarArtiStats</t>
  </si>
  <si>
    <t>threeStarArtiStats</t>
  </si>
  <si>
    <t>fourStarArtiStats</t>
  </si>
  <si>
    <t>fiveStarArtiStats</t>
  </si>
  <si>
    <t>Cons/Ascension Bonus (WIP)</t>
  </si>
  <si>
    <t>Artifacts</t>
  </si>
  <si>
    <t xml:space="preserve">2-piece Archaic Petra  </t>
  </si>
  <si>
    <t xml:space="preserve">2-piece Berserker   </t>
  </si>
  <si>
    <t xml:space="preserve">2-piece Bloodstained Chivalry  </t>
  </si>
  <si>
    <t xml:space="preserve">2-piece Brave Heart  </t>
  </si>
  <si>
    <t>2-piece Crimson Witch of Flames</t>
  </si>
  <si>
    <t xml:space="preserve">2-piece Defender's Will  </t>
  </si>
  <si>
    <t xml:space="preserve">2-piece Gambler   </t>
  </si>
  <si>
    <t xml:space="preserve">2-piece Gladiator's Finale  </t>
  </si>
  <si>
    <t xml:space="preserve">2-piece Instructor   </t>
  </si>
  <si>
    <t xml:space="preserve">2-piece Lavawalker   </t>
  </si>
  <si>
    <t xml:space="preserve">2-piece Maiden's Beloved  </t>
  </si>
  <si>
    <t xml:space="preserve">2-piece Martial Artist  </t>
  </si>
  <si>
    <t xml:space="preserve">2-piece Noblesse Oblige  </t>
  </si>
  <si>
    <t xml:space="preserve">2-piece Retracing Bolide  </t>
  </si>
  <si>
    <t xml:space="preserve">2-piece Thundering Fury  </t>
  </si>
  <si>
    <t xml:space="preserve">2-piece Thundersoother   </t>
  </si>
  <si>
    <t xml:space="preserve">2-piece Viridescent Venerer  </t>
  </si>
  <si>
    <t xml:space="preserve">2-piece Wanderer's Troupe  </t>
  </si>
  <si>
    <t xml:space="preserve">2-piece Blizzard Strayer  </t>
  </si>
  <si>
    <t xml:space="preserve">2-piece Heart of Depth </t>
  </si>
  <si>
    <t xml:space="preserve">2-piece Pale Flame  </t>
  </si>
  <si>
    <t>2-piece Tenacity of the Millelith</t>
  </si>
  <si>
    <t>2-piece Shimenawa's Reminiscence</t>
  </si>
  <si>
    <t>2-piece Emblem of Severed Fate</t>
  </si>
  <si>
    <t>2-piece Divine Chorus</t>
  </si>
  <si>
    <t>2-piece Husk of Opulent Dreams</t>
  </si>
  <si>
    <t xml:space="preserve">4-piece Archaic Petra  </t>
  </si>
  <si>
    <t xml:space="preserve">4-piece Berserker   </t>
  </si>
  <si>
    <t xml:space="preserve">4-piece Bloodstained Chivalry  </t>
  </si>
  <si>
    <t xml:space="preserve">4-piece Brave Heart  </t>
  </si>
  <si>
    <t>4-piece Crimson Witch of Flames</t>
  </si>
  <si>
    <t xml:space="preserve">4-piece Defender's Will  </t>
  </si>
  <si>
    <t xml:space="preserve">4-piece Gambler   </t>
  </si>
  <si>
    <t xml:space="preserve">4-piece Gladiator's Finale  </t>
  </si>
  <si>
    <t xml:space="preserve">4-piece Instructor   </t>
  </si>
  <si>
    <t xml:space="preserve">4-piece Lavawalker   </t>
  </si>
  <si>
    <t xml:space="preserve">4-piece Maiden's Beloved  </t>
  </si>
  <si>
    <t xml:space="preserve">4-piece Martial Artist  </t>
  </si>
  <si>
    <t xml:space="preserve">4-piece Noblesse Oblige  </t>
  </si>
  <si>
    <t xml:space="preserve">4-piece Retracing Bolide  </t>
  </si>
  <si>
    <t xml:space="preserve">4-piece Thundering Fury  </t>
  </si>
  <si>
    <t xml:space="preserve">4-piece Thundersoother   </t>
  </si>
  <si>
    <t xml:space="preserve">4-piece Viridescent Venerer  </t>
  </si>
  <si>
    <t xml:space="preserve">4-piece Wanderer's Troupe  </t>
  </si>
  <si>
    <t xml:space="preserve">4-piece Blizzard Strayer  </t>
  </si>
  <si>
    <t xml:space="preserve">4-piece Heart of Depth </t>
  </si>
  <si>
    <t xml:space="preserve">4-piece Pale Flame  </t>
  </si>
  <si>
    <t>4-piece Tenacity of the Millelith</t>
  </si>
  <si>
    <t>4-piece Shimenawa's Reminiscence</t>
  </si>
  <si>
    <t>4-piece Emblem of Severed Fate</t>
  </si>
  <si>
    <t>4-piece Divine Chorus</t>
  </si>
  <si>
    <t>4-piece Husk of Opulent Dreams</t>
  </si>
  <si>
    <t>Stat Block - Character 2</t>
  </si>
  <si>
    <t>Talent Level</t>
  </si>
  <si>
    <t>Stat Block - Character 3</t>
  </si>
  <si>
    <t>Stat Block - Character 4</t>
  </si>
  <si>
    <t>Transformative Rxn Mults</t>
  </si>
  <si>
    <t>Character Base ATK</t>
  </si>
  <si>
    <t>Character Number</t>
  </si>
  <si>
    <t>char1</t>
  </si>
  <si>
    <t>char2</t>
  </si>
  <si>
    <t>char3</t>
  </si>
  <si>
    <t>char4</t>
  </si>
  <si>
    <t>Intermediate Stats</t>
  </si>
  <si>
    <t>Weapon Base ATK</t>
  </si>
  <si>
    <t>Calc Information</t>
  </si>
  <si>
    <t>Character Base DEF</t>
  </si>
  <si>
    <t>Character Base HP</t>
  </si>
  <si>
    <t>Conditional Buffs (Per Attack)</t>
  </si>
  <si>
    <t>Final Stats, With Conditional Buffs</t>
  </si>
  <si>
    <t>Anemo Res Shred</t>
  </si>
  <si>
    <t>Geo Res Shred</t>
  </si>
  <si>
    <t>Pyro Res Shred</t>
  </si>
  <si>
    <t>Hydro Res Shred</t>
  </si>
  <si>
    <t>Cryo Res Shred</t>
  </si>
  <si>
    <t>Electro Res Shred</t>
  </si>
  <si>
    <t>Phys Res Shred</t>
  </si>
  <si>
    <t>Reaction Multiplier</t>
  </si>
  <si>
    <t>Level Transformative Multiplier</t>
  </si>
  <si>
    <t>Base</t>
  </si>
  <si>
    <t>Enemy Phys Res</t>
  </si>
  <si>
    <t>Enemy Anemo Res</t>
  </si>
  <si>
    <t>Enemy Geo Res</t>
  </si>
  <si>
    <t>Enemy Pyro Res</t>
  </si>
  <si>
    <t>Enemy Hydro Res</t>
  </si>
  <si>
    <t>Enemy Cryo Res</t>
  </si>
  <si>
    <t>Enemy Electro Res</t>
  </si>
  <si>
    <t>Dendro Res (WIP)</t>
  </si>
  <si>
    <t>Effective Phys Res</t>
  </si>
  <si>
    <t>Effective Anemo Res</t>
  </si>
  <si>
    <t>Effective Geo Res</t>
  </si>
  <si>
    <t>Effective Pyro Res</t>
  </si>
  <si>
    <t>Effective Hydro Res</t>
  </si>
  <si>
    <t>Effective Cryo Res</t>
  </si>
  <si>
    <t>Effective Electro Res</t>
  </si>
  <si>
    <t>Damage Numbers</t>
  </si>
  <si>
    <t>Skill Echo DMG Type</t>
  </si>
  <si>
    <t>Burst Echo DMG Type</t>
  </si>
  <si>
    <t>Damage Types</t>
  </si>
  <si>
    <t>Element Adjustments</t>
  </si>
  <si>
    <t>Resistance by Attack</t>
  </si>
  <si>
    <t>DMG% By Attack</t>
  </si>
  <si>
    <t>Base DMG%</t>
  </si>
  <si>
    <t>Plunge DMG%</t>
  </si>
  <si>
    <t>Attack DMG Type Info</t>
  </si>
  <si>
    <t>Skill Echo Type</t>
  </si>
  <si>
    <t>Burst Echo Type</t>
  </si>
  <si>
    <t>Stats for Calcing</t>
  </si>
  <si>
    <t>Base Scaling (ATK/DEF/HP)</t>
  </si>
  <si>
    <t>DMG% Bonus</t>
  </si>
  <si>
    <t>Crit Multiplier</t>
  </si>
  <si>
    <t>Enemy Defense Mult</t>
  </si>
  <si>
    <t>Defense Multiplier</t>
  </si>
  <si>
    <t>Resistance Multiplier</t>
  </si>
  <si>
    <t>Amping Reaction Base Multiplier</t>
  </si>
  <si>
    <t>Amping Reaction Final Mult</t>
  </si>
  <si>
    <t>Amping Reactions</t>
  </si>
  <si>
    <t>Vape</t>
  </si>
  <si>
    <t>Melt</t>
  </si>
  <si>
    <t>Reverse Vape</t>
  </si>
  <si>
    <t>Reverse Melt</t>
  </si>
  <si>
    <t>Other Calculations</t>
  </si>
  <si>
    <t>Breakdown by Character</t>
  </si>
  <si>
    <t>Effective Resistances</t>
  </si>
  <si>
    <t>Talent Multiplier</t>
  </si>
  <si>
    <t>skill</t>
  </si>
  <si>
    <t>burst</t>
  </si>
  <si>
    <t>Pyro</t>
  </si>
  <si>
    <t>Enemy Info</t>
  </si>
  <si>
    <t>Weapon Proc Calcs</t>
  </si>
  <si>
    <t>Weapon Proc Damage Type</t>
  </si>
  <si>
    <t>Weapon Proc Scaling Stat</t>
  </si>
  <si>
    <t>Weapon Proc Talent%</t>
  </si>
  <si>
    <t>Vacuum Blades</t>
  </si>
  <si>
    <t>Redhorn Normal Proc</t>
  </si>
  <si>
    <t>STSS Proc, No Cryo</t>
  </si>
  <si>
    <t>Archaic Proc</t>
  </si>
  <si>
    <t>Tuna</t>
  </si>
  <si>
    <t>Vacuum Blade</t>
  </si>
  <si>
    <t>Frost Burial, No Cryo</t>
  </si>
  <si>
    <t>Infusion Needle</t>
  </si>
  <si>
    <t>Sky-Piercing Fang</t>
  </si>
  <si>
    <t>Falcon's Defiance</t>
  </si>
  <si>
    <t>Harmonic Proc</t>
  </si>
  <si>
    <t>Cinnabar Spindle Proc</t>
  </si>
  <si>
    <t>Wandering Clouds</t>
  </si>
  <si>
    <t>Byakuya Kougetsu</t>
  </si>
  <si>
    <t>Frost Burial No Cryo</t>
  </si>
  <si>
    <t>Bolt of Perception</t>
  </si>
  <si>
    <t>Echoing Ballad</t>
  </si>
  <si>
    <t>Cyclone</t>
  </si>
  <si>
    <t>Phys</t>
  </si>
  <si>
    <t>Redhorn Charged Proc</t>
  </si>
  <si>
    <t>STSS Proc, With Cryo</t>
  </si>
  <si>
    <t>Frost Burial, With Cryo</t>
  </si>
  <si>
    <t>Proc 1 Exists</t>
  </si>
  <si>
    <t>Proc 2 Exists</t>
  </si>
  <si>
    <t>Proc 3 Exists</t>
  </si>
  <si>
    <t>Proc 1 Name</t>
  </si>
  <si>
    <t>Proc 1 Damage Type</t>
  </si>
  <si>
    <t>Proc 1 Scaling Stat</t>
  </si>
  <si>
    <t>Proc 1 Talent%</t>
  </si>
  <si>
    <t>Proc 1 Element</t>
  </si>
  <si>
    <t>Proc 2 Name</t>
  </si>
  <si>
    <t>Proc 2 Damage Type</t>
  </si>
  <si>
    <t>Proc 2 Scaling Stat</t>
  </si>
  <si>
    <t>Proc 2 Talent%</t>
  </si>
  <si>
    <t>Proc 2 Element</t>
  </si>
  <si>
    <t>Proc 3 Name</t>
  </si>
  <si>
    <t>Proc 3 Damage Type</t>
  </si>
  <si>
    <t>Proc 3 Scaling Stat</t>
  </si>
  <si>
    <t>Proc 3 Talent%</t>
  </si>
  <si>
    <t>Proc 3 Element</t>
  </si>
  <si>
    <t>Character 2</t>
  </si>
  <si>
    <t>Character 4</t>
  </si>
  <si>
    <t>Character 3</t>
  </si>
  <si>
    <t>Character 2 Info</t>
  </si>
  <si>
    <t>Character 3 Info</t>
  </si>
  <si>
    <t>Character 4 Info</t>
  </si>
  <si>
    <t>Final Info</t>
  </si>
  <si>
    <t>Final ATK</t>
  </si>
  <si>
    <t>Final DEF</t>
  </si>
  <si>
    <t>Final HP</t>
  </si>
  <si>
    <t>Character List</t>
  </si>
  <si>
    <t>HuTao</t>
  </si>
  <si>
    <t>Thoma</t>
  </si>
  <si>
    <t>Element</t>
  </si>
  <si>
    <t>Geo</t>
  </si>
  <si>
    <t>Cryo</t>
  </si>
  <si>
    <t>Hydro</t>
  </si>
  <si>
    <t>Electro</t>
  </si>
  <si>
    <t>Anemo</t>
  </si>
  <si>
    <t>Char 2 Element</t>
  </si>
  <si>
    <t>Char 1 Element</t>
  </si>
  <si>
    <t>Char 3 Element</t>
  </si>
  <si>
    <t>Char 4 Element</t>
  </si>
  <si>
    <t>Normal Attack Bonus (From Burst)</t>
  </si>
  <si>
    <t>Charged Attack Bonus (From Burst)</t>
  </si>
  <si>
    <t>Skill Bonus (From Burst)</t>
  </si>
  <si>
    <t>Weapon Proc</t>
  </si>
  <si>
    <t>Select an Attack</t>
  </si>
  <si>
    <t>Weapon Proc Selection</t>
  </si>
  <si>
    <t>Weapon Proc Information</t>
  </si>
  <si>
    <t>Name 1</t>
  </si>
  <si>
    <t>Name 2</t>
  </si>
  <si>
    <t>Name 3</t>
  </si>
  <si>
    <t>WeapProcs</t>
  </si>
  <si>
    <t>Weapon Proc Element</t>
  </si>
  <si>
    <t>Talent%</t>
  </si>
  <si>
    <t>Amping Reaction Final Multiplier</t>
  </si>
  <si>
    <t>Amping Reaction Bonus</t>
  </si>
  <si>
    <t>Weapon Proc Damage</t>
  </si>
  <si>
    <t>Integer Subs (WIP)</t>
  </si>
  <si>
    <t>Character Final Stats</t>
  </si>
  <si>
    <t>Final ER</t>
  </si>
  <si>
    <t>Final EM</t>
  </si>
  <si>
    <t>Final CR</t>
  </si>
  <si>
    <t>Final CDMG</t>
  </si>
  <si>
    <t>Percentage of Total</t>
  </si>
  <si>
    <t>Final Stats per Character</t>
  </si>
  <si>
    <t>Flower</t>
  </si>
  <si>
    <t>Feather</t>
  </si>
  <si>
    <t>Value</t>
  </si>
  <si>
    <t>5 Star</t>
  </si>
  <si>
    <t>4 Star</t>
  </si>
  <si>
    <t>3 Star</t>
  </si>
  <si>
    <t>2 Star</t>
  </si>
  <si>
    <t>1 Star</t>
  </si>
  <si>
    <t>5 star</t>
  </si>
  <si>
    <t>4 star</t>
  </si>
  <si>
    <t>3 star</t>
  </si>
  <si>
    <t>2 star</t>
  </si>
  <si>
    <t>1 star</t>
  </si>
  <si>
    <t>Start Row</t>
  </si>
  <si>
    <t>stats</t>
  </si>
  <si>
    <t>def mults</t>
  </si>
  <si>
    <t>Artifact Max Levels</t>
  </si>
  <si>
    <t>Max Levels</t>
  </si>
  <si>
    <t>Echo Talents</t>
  </si>
  <si>
    <t>Echo Talent Damage Types</t>
  </si>
  <si>
    <t>Talent Levels</t>
  </si>
  <si>
    <t>Transformative Mults</t>
  </si>
  <si>
    <t>Version 2.1</t>
  </si>
  <si>
    <t>Optimized sheet by removing volatile functions</t>
  </si>
  <si>
    <t>weapon proc start rows</t>
  </si>
  <si>
    <t>Gorou</t>
  </si>
  <si>
    <t>Crystal Collapse DMG</t>
  </si>
  <si>
    <t>Arataki Kesagiri Combo Slash DMG</t>
  </si>
  <si>
    <t>Arataki Kesagiri Final Slash DMG</t>
  </si>
  <si>
    <t>Saichimonji Slash DMG</t>
  </si>
  <si>
    <t>Bloodline of the Crimson Oni</t>
  </si>
  <si>
    <t>Skill DEF Bonus</t>
  </si>
  <si>
    <t>cr%</t>
  </si>
  <si>
    <t>Thanks to Arte, Nep, xf3, tenten, Sitri, and more for being great friends and giving me a reason to stick with Genshin TC.</t>
  </si>
  <si>
    <t>MV Lookup Tools</t>
  </si>
  <si>
    <t>Ayaka-Start</t>
  </si>
  <si>
    <t>Ayaka-End</t>
  </si>
  <si>
    <t>Albedo-Start</t>
  </si>
  <si>
    <t>Albedo-End</t>
  </si>
  <si>
    <t>Amber-Start</t>
  </si>
  <si>
    <t>Amber-End</t>
  </si>
  <si>
    <t>AMC-Start</t>
  </si>
  <si>
    <t>AMC-End</t>
  </si>
  <si>
    <t>Barbara-Start</t>
  </si>
  <si>
    <t>Barbara-End</t>
  </si>
  <si>
    <t>Beidou-Start</t>
  </si>
  <si>
    <t>Beidou-End</t>
  </si>
  <si>
    <t>Bennett-Start</t>
  </si>
  <si>
    <t>Bennett-End</t>
  </si>
  <si>
    <t>Chongyun-Start</t>
  </si>
  <si>
    <t>Chongyun-End</t>
  </si>
  <si>
    <t>Diluc-Start</t>
  </si>
  <si>
    <t>Diluc-End</t>
  </si>
  <si>
    <t>Diona-Start</t>
  </si>
  <si>
    <t>Diona-End</t>
  </si>
  <si>
    <t>EMC-Start</t>
  </si>
  <si>
    <t>EMC-End</t>
  </si>
  <si>
    <t>Eula-Start</t>
  </si>
  <si>
    <t>Eula-End</t>
  </si>
  <si>
    <t>Fischl-Start</t>
  </si>
  <si>
    <t>Fischl-End</t>
  </si>
  <si>
    <t>Ganyu-Start</t>
  </si>
  <si>
    <t>Ganyu-End</t>
  </si>
  <si>
    <t>GMC-Start</t>
  </si>
  <si>
    <t>GMC-End</t>
  </si>
  <si>
    <t>Gorou-Start</t>
  </si>
  <si>
    <t>Gorou-End</t>
  </si>
  <si>
    <t>HuTao-Start</t>
  </si>
  <si>
    <t>HuTao-End</t>
  </si>
  <si>
    <t>Itto-Start</t>
  </si>
  <si>
    <t>Itto-End</t>
  </si>
  <si>
    <t>Jean-Start</t>
  </si>
  <si>
    <t>Jean-End</t>
  </si>
  <si>
    <t>Kaeya-Start</t>
  </si>
  <si>
    <t>Kaeya-End</t>
  </si>
  <si>
    <t>Kazuha-Start</t>
  </si>
  <si>
    <t>Kazuha-End</t>
  </si>
  <si>
    <t>Keqing-Start</t>
  </si>
  <si>
    <t>Keqing-End</t>
  </si>
  <si>
    <t>Klee-Start</t>
  </si>
  <si>
    <t>Klee-End</t>
  </si>
  <si>
    <t>Kokomi-Start</t>
  </si>
  <si>
    <t>Kokomi-End</t>
  </si>
  <si>
    <t>Lisa-Start</t>
  </si>
  <si>
    <t>Lisa-End</t>
  </si>
  <si>
    <t>Mona-Start</t>
  </si>
  <si>
    <t>Mona-End</t>
  </si>
  <si>
    <t>Ningguang-Start</t>
  </si>
  <si>
    <t>Ningguang-End</t>
  </si>
  <si>
    <t>Noelle-Start</t>
  </si>
  <si>
    <t>Noelle-End</t>
  </si>
  <si>
    <t>Qiqi-Start</t>
  </si>
  <si>
    <t>Qiqi-End</t>
  </si>
  <si>
    <t>Razor-Start</t>
  </si>
  <si>
    <t>Razor-End</t>
  </si>
  <si>
    <t>Raiden-Start</t>
  </si>
  <si>
    <t>Raiden-End</t>
  </si>
  <si>
    <t>Rosaria-Start</t>
  </si>
  <si>
    <t>Sara-Start</t>
  </si>
  <si>
    <t>Sayu-End</t>
  </si>
  <si>
    <t>Sara-End</t>
  </si>
  <si>
    <t>Sayu-Start</t>
  </si>
  <si>
    <t>Sucrose-Start</t>
  </si>
  <si>
    <t>Sucrose-End</t>
  </si>
  <si>
    <t>Childe-Start</t>
  </si>
  <si>
    <t>Childe-End</t>
  </si>
  <si>
    <t>Venti-Start</t>
  </si>
  <si>
    <t>Venti-End</t>
  </si>
  <si>
    <t>Xiangling-Start</t>
  </si>
  <si>
    <t>Xiangling-End</t>
  </si>
  <si>
    <t>Xiao-Start</t>
  </si>
  <si>
    <t>Xiao-End</t>
  </si>
  <si>
    <t>Xingqiu-Start</t>
  </si>
  <si>
    <t>Xingqiu-End</t>
  </si>
  <si>
    <t>Xinyan-Start</t>
  </si>
  <si>
    <t>Xinyan-End</t>
  </si>
  <si>
    <t>Yanfei-Start</t>
  </si>
  <si>
    <t>Yanfei-End</t>
  </si>
  <si>
    <t>Yoimiya-Start</t>
  </si>
  <si>
    <t>Yoimiya-End</t>
  </si>
  <si>
    <t>Zhongli-Start</t>
  </si>
  <si>
    <t>Zhongli-End</t>
  </si>
  <si>
    <t>End Row</t>
  </si>
  <si>
    <t>Continuous Regeneration (Flat)</t>
  </si>
  <si>
    <t>Continuous Regeneration (Percentage)</t>
  </si>
  <si>
    <t>Burst Regeneration (Flat)</t>
  </si>
  <si>
    <t>Burst Regeneration (Percentage)</t>
  </si>
  <si>
    <t>Skill HP Regeneration On Attack (Percentage)</t>
  </si>
  <si>
    <t>Skill HP Regeneration On Attack (Flat)</t>
  </si>
  <si>
    <t>Skill HP Continuous Regeneration (Flat)</t>
  </si>
  <si>
    <t>HP Regen (Percentage)</t>
  </si>
  <si>
    <t>HP Regen (Flat)</t>
  </si>
  <si>
    <t>Skill HP Continuous Regeneration (Percentage)</t>
  </si>
  <si>
    <t>Burst Regen (Percentage)</t>
  </si>
  <si>
    <t>Burst Regen (Flat)</t>
  </si>
  <si>
    <t>C4 Healing</t>
  </si>
  <si>
    <t>Burst HP Regeneration</t>
  </si>
  <si>
    <t>Low HP Burst HP Regeneration</t>
  </si>
  <si>
    <t>Field Activation Healing (Percentage)</t>
  </si>
  <si>
    <t>Field Activation Healing (Flat)</t>
  </si>
  <si>
    <t>Cold-Blooded Strike (A1 HP Regen)</t>
  </si>
  <si>
    <t>Skill Regeneration (Percentage)</t>
  </si>
  <si>
    <t>Skill Regeneration (Flat)</t>
  </si>
  <si>
    <t>Burst On-Hit HP Regeneration (Percentage)</t>
  </si>
  <si>
    <t>Burst On-Hit HP Regeneration (Flat)</t>
  </si>
  <si>
    <t>Skill HP Regen (Flat)</t>
  </si>
  <si>
    <t>Skill HP Regen (Percentage)</t>
  </si>
  <si>
    <t>Skill Regeneration On Hit (Percentage)</t>
  </si>
  <si>
    <t>Skill Regeneration On Hit (Flat)</t>
  </si>
  <si>
    <t>Skill Regeneration Continuous (Percentage)</t>
  </si>
  <si>
    <t>Skill Regeneration Continuous (Flat)</t>
  </si>
  <si>
    <t>Burst Healing (Percentage)</t>
  </si>
  <si>
    <t>Burst Healing (Flat)</t>
  </si>
  <si>
    <t>Burst Tick Healing (Flat)</t>
  </si>
  <si>
    <t>Burst Tick Healing (Percentage)</t>
  </si>
  <si>
    <t>Burst Activation Healing (Percentage)</t>
  </si>
  <si>
    <t>Burst Activation Healing (Flat)</t>
  </si>
  <si>
    <t>Healing Per Swirl (Flat)</t>
  </si>
  <si>
    <t>C6 Additional Healing Restoration</t>
  </si>
  <si>
    <t>Rainsword Healing (Percentage)</t>
  </si>
  <si>
    <t>I have no idea how to implement Zhongli C6 with OHC</t>
  </si>
  <si>
    <t>Ocean-Hued Clam</t>
  </si>
  <si>
    <t>Healing Type</t>
  </si>
  <si>
    <t>Percentage</t>
  </si>
  <si>
    <t>Flat</t>
  </si>
  <si>
    <t>Is Healing Move?</t>
  </si>
  <si>
    <t>Healing</t>
  </si>
  <si>
    <t>Healing Bonus</t>
  </si>
  <si>
    <t>Healing Received</t>
  </si>
  <si>
    <t>Healing Target</t>
  </si>
  <si>
    <t>Cumulative Damage:</t>
  </si>
  <si>
    <t>Cumulative Healing:</t>
  </si>
  <si>
    <t>Ocean-Hued Clam Calcs</t>
  </si>
  <si>
    <t>Total OHC Damage</t>
  </si>
  <si>
    <t>Damage Multiplier</t>
  </si>
  <si>
    <t>Final Adjusted Damage</t>
  </si>
  <si>
    <t>Raw Damage</t>
  </si>
  <si>
    <t>Skill Hit 1 DMG (C4)</t>
  </si>
  <si>
    <t>Skill Hit 2 DMG (C4)</t>
  </si>
  <si>
    <t>Rotation Length:</t>
  </si>
  <si>
    <t>Team DPS:</t>
  </si>
  <si>
    <t>atk%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</si>
</sst>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0.0%"/>
    <numFmt numFmtId="166" formatCode="0.000"/>
  </numFmts>
  <fonts count="19"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sz val="11"/>
      <color theme="2" tint="-0.749992370372631"/>
      <name val="Calibri"/>
      <family val="2"/>
      <scheme val="minor"/>
    </font>
    <font>
      <sz val="11"/>
      <color theme="8" tint="0.39997558519241921"/>
      <name val="Calibri"/>
      <family val="2"/>
      <scheme val="minor"/>
    </font>
    <font>
      <b/>
      <sz val="11"/>
      <color rgb="FFFA7D00"/>
      <name val="Calibri"/>
      <family val="2"/>
      <scheme val="minor"/>
    </font>
    <font>
      <b/>
      <sz val="16"/>
      <color theme="0"/>
      <name val="Calibri"/>
      <family val="2"/>
      <scheme val="minor"/>
    </font>
    <font>
      <b/>
      <sz val="11"/>
      <name val="Calibri"/>
      <family val="2"/>
      <scheme val="minor"/>
    </font>
    <font>
      <sz val="11"/>
      <name val="Calibri"/>
      <family val="2"/>
      <scheme val="minor"/>
    </font>
    <font>
      <i/>
      <sz val="11"/>
      <color theme="0"/>
      <name val="Calibri"/>
      <family val="2"/>
      <scheme val="minor"/>
    </font>
    <font>
      <sz val="9"/>
      <color indexed="81"/>
      <name val="Tahoma"/>
      <family val="2"/>
    </font>
    <font>
      <b/>
      <sz val="9"/>
      <color indexed="81"/>
      <name val="Tahoma"/>
      <family val="2"/>
    </font>
    <font>
      <b/>
      <sz val="20"/>
      <color theme="0"/>
      <name val="Calibri"/>
      <family val="2"/>
      <scheme val="minor"/>
    </font>
    <font>
      <sz val="11"/>
      <color rgb="FF006100"/>
      <name val="Calibri"/>
      <family val="2"/>
      <scheme val="minor"/>
    </font>
    <font>
      <b/>
      <i/>
      <sz val="11"/>
      <color theme="0"/>
      <name val="Calibri"/>
      <family val="2"/>
      <scheme val="minor"/>
    </font>
    <font>
      <sz val="8"/>
      <name val="Calibri"/>
      <family val="2"/>
      <scheme val="minor"/>
    </font>
  </fonts>
  <fills count="30">
    <fill>
      <patternFill patternType="none"/>
    </fill>
    <fill>
      <patternFill patternType="gray125"/>
    </fill>
    <fill>
      <patternFill patternType="solid">
        <fgColor theme="6"/>
      </patternFill>
    </fill>
    <fill>
      <patternFill patternType="solid">
        <fgColor theme="8" tint="0.39997558519241921"/>
        <bgColor indexed="65"/>
      </patternFill>
    </fill>
    <fill>
      <patternFill patternType="solid">
        <fgColor theme="2" tint="-0.749992370372631"/>
        <bgColor indexed="64"/>
      </patternFill>
    </fill>
    <fill>
      <patternFill patternType="solid">
        <fgColor rgb="FF000000"/>
        <bgColor indexed="64"/>
      </patternFill>
    </fill>
    <fill>
      <patternFill patternType="solid">
        <fgColor rgb="FF292929"/>
        <bgColor indexed="64"/>
      </patternFill>
    </fill>
    <fill>
      <patternFill patternType="solid">
        <fgColor rgb="FF1C1C1C"/>
        <bgColor indexed="64"/>
      </patternFill>
    </fill>
    <fill>
      <patternFill patternType="solid">
        <fgColor rgb="FFF2F2F2"/>
      </patternFill>
    </fill>
    <fill>
      <patternFill patternType="solid">
        <fgColor theme="8" tint="0.59999389629810485"/>
        <bgColor indexed="65"/>
      </patternFill>
    </fill>
    <fill>
      <patternFill patternType="solid">
        <fgColor theme="5" tint="0.39997558519241921"/>
        <bgColor indexed="65"/>
      </patternFill>
    </fill>
    <fill>
      <patternFill patternType="solid">
        <fgColor theme="3" tint="-0.249977111117893"/>
        <bgColor indexed="64"/>
      </patternFill>
    </fill>
    <fill>
      <patternFill patternType="solid">
        <fgColor theme="1" tint="0.14999847407452621"/>
        <bgColor indexed="64"/>
      </patternFill>
    </fill>
    <fill>
      <patternFill patternType="solid">
        <fgColor theme="3" tint="-0.499984740745262"/>
        <bgColor indexed="64"/>
      </patternFill>
    </fill>
    <fill>
      <patternFill patternType="solid">
        <fgColor theme="1"/>
        <bgColor indexed="64"/>
      </patternFill>
    </fill>
    <fill>
      <patternFill patternType="solid">
        <fgColor rgb="FFC6EFCE"/>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6" tint="0.79998168889431442"/>
        <bgColor indexed="64"/>
      </patternFill>
    </fill>
    <fill>
      <patternFill patternType="solid">
        <fgColor theme="4"/>
      </patternFill>
    </fill>
    <fill>
      <patternFill patternType="solid">
        <fgColor theme="8"/>
      </patternFill>
    </fill>
    <fill>
      <patternFill patternType="solid">
        <fgColor theme="4" tint="0.79998168889431442"/>
        <bgColor theme="4" tint="0.79998168889431442"/>
      </patternFill>
    </fill>
    <fill>
      <patternFill patternType="solid">
        <fgColor theme="4"/>
        <bgColor theme="4"/>
      </patternFill>
    </fill>
    <fill>
      <patternFill patternType="solid">
        <fgColor theme="2" tint="-0.89999084444715716"/>
        <bgColor indexed="64"/>
      </patternFill>
    </fill>
    <fill>
      <patternFill patternType="solid">
        <fgColor theme="8" tint="-0.249977111117893"/>
        <bgColor theme="8" tint="-0.249977111117893"/>
      </patternFill>
    </fill>
    <fill>
      <patternFill patternType="solid">
        <fgColor theme="8"/>
        <bgColor theme="8"/>
      </patternFill>
    </fill>
    <fill>
      <patternFill patternType="solid">
        <fgColor theme="3" tint="-0.499984740745262"/>
        <bgColor theme="8"/>
      </patternFill>
    </fill>
    <fill>
      <patternFill patternType="solid">
        <fgColor theme="4" tint="0.79998168889431442"/>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rgb="FF7F7F7F"/>
      </left>
      <right style="thin">
        <color rgb="FF7F7F7F"/>
      </right>
      <top style="thin">
        <color rgb="FF7F7F7F"/>
      </top>
      <bottom style="thin">
        <color rgb="FF7F7F7F"/>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style="thin">
        <color theme="4" tint="0.39997558519241921"/>
      </right>
      <top style="thin">
        <color theme="4" tint="0.39997558519241921"/>
      </top>
      <bottom style="thin">
        <color theme="4" tint="0.39997558519241921"/>
      </bottom>
      <diagonal/>
    </border>
  </borders>
  <cellStyleXfs count="14">
    <xf numFmtId="0" fontId="0" fillId="0" borderId="0"/>
    <xf numFmtId="9" fontId="1" fillId="0" borderId="0" applyFont="0" applyFill="0" applyBorder="0" applyAlignment="0" applyProtection="0"/>
    <xf numFmtId="0" fontId="4" fillId="2" borderId="0" applyNumberFormat="0" applyBorder="0" applyAlignment="0" applyProtection="0"/>
    <xf numFmtId="0" fontId="1" fillId="3" borderId="0" applyNumberFormat="0" applyBorder="0" applyAlignment="0" applyProtection="0"/>
    <xf numFmtId="0" fontId="8" fillId="8" borderId="5" applyNumberFormat="0" applyAlignment="0" applyProtection="0"/>
    <xf numFmtId="0" fontId="1" fillId="9" borderId="0" applyNumberFormat="0" applyBorder="0" applyAlignment="0" applyProtection="0"/>
    <xf numFmtId="0" fontId="1" fillId="10" borderId="0" applyNumberFormat="0" applyBorder="0" applyAlignment="0" applyProtection="0"/>
    <xf numFmtId="0" fontId="16"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cellStyleXfs>
  <cellXfs count="241">
    <xf numFmtId="0" fontId="0" fillId="0" borderId="0" xfId="0"/>
    <xf numFmtId="0" fontId="0" fillId="4" borderId="0" xfId="0" applyFill="1"/>
    <xf numFmtId="10" fontId="0" fillId="0" borderId="0" xfId="1" applyNumberFormat="1" applyFont="1"/>
    <xf numFmtId="0" fontId="0" fillId="0" borderId="0" xfId="0" applyFont="1"/>
    <xf numFmtId="0" fontId="0" fillId="0" borderId="0" xfId="0" applyFont="1" applyAlignment="1"/>
    <xf numFmtId="0" fontId="5" fillId="0" borderId="0" xfId="0" applyFont="1"/>
    <xf numFmtId="0" fontId="0" fillId="4" borderId="0" xfId="0" applyFill="1" applyAlignment="1"/>
    <xf numFmtId="0" fontId="4" fillId="4" borderId="0" xfId="0" applyFont="1" applyFill="1"/>
    <xf numFmtId="0" fontId="4" fillId="4" borderId="0" xfId="2" applyFill="1"/>
    <xf numFmtId="0" fontId="3" fillId="4" borderId="0" xfId="3" applyFont="1" applyFill="1" applyAlignment="1">
      <alignment horizontal="center"/>
    </xf>
    <xf numFmtId="0" fontId="4" fillId="6" borderId="0" xfId="2" applyFill="1"/>
    <xf numFmtId="0" fontId="4" fillId="6" borderId="0" xfId="0" applyFont="1" applyFill="1" applyBorder="1" applyAlignment="1">
      <alignment horizontal="center"/>
    </xf>
    <xf numFmtId="0" fontId="1" fillId="6" borderId="0" xfId="3" applyFill="1" applyBorder="1" applyAlignment="1">
      <alignment horizontal="center"/>
    </xf>
    <xf numFmtId="0" fontId="0" fillId="6" borderId="0" xfId="0" applyFill="1"/>
    <xf numFmtId="0" fontId="1" fillId="3" borderId="1" xfId="3" applyBorder="1"/>
    <xf numFmtId="0" fontId="6" fillId="4" borderId="0" xfId="0" applyFont="1" applyFill="1"/>
    <xf numFmtId="0" fontId="7" fillId="3" borderId="1" xfId="3" applyFont="1" applyBorder="1"/>
    <xf numFmtId="0" fontId="2" fillId="4" borderId="0" xfId="0" applyFont="1" applyFill="1"/>
    <xf numFmtId="0" fontId="2" fillId="4" borderId="0" xfId="0" applyFont="1" applyFill="1" applyAlignment="1"/>
    <xf numFmtId="0" fontId="11" fillId="3" borderId="1" xfId="3" applyFont="1" applyBorder="1"/>
    <xf numFmtId="9" fontId="0" fillId="0" borderId="0" xfId="0" applyNumberFormat="1"/>
    <xf numFmtId="0" fontId="0" fillId="0" borderId="0" xfId="1" applyNumberFormat="1" applyFont="1"/>
    <xf numFmtId="0" fontId="0" fillId="0" borderId="0" xfId="0" applyFont="1" applyAlignment="1">
      <alignment horizontal="right"/>
    </xf>
    <xf numFmtId="10" fontId="0" fillId="0" borderId="0" xfId="0" applyNumberFormat="1" applyFont="1" applyAlignment="1">
      <alignment horizontal="right"/>
    </xf>
    <xf numFmtId="9" fontId="0" fillId="0" borderId="0" xfId="0" applyNumberFormat="1" applyFont="1" applyAlignment="1">
      <alignment horizontal="right"/>
    </xf>
    <xf numFmtId="10" fontId="0" fillId="0" borderId="0" xfId="1" applyNumberFormat="1" applyFont="1" applyAlignment="1">
      <alignment horizontal="right"/>
    </xf>
    <xf numFmtId="10" fontId="5" fillId="0" borderId="0" xfId="0" applyNumberFormat="1" applyFont="1" applyAlignment="1">
      <alignment horizontal="right"/>
    </xf>
    <xf numFmtId="0" fontId="0" fillId="0" borderId="0" xfId="0" applyNumberFormat="1" applyFont="1" applyAlignment="1">
      <alignment horizontal="right"/>
    </xf>
    <xf numFmtId="0" fontId="0" fillId="0" borderId="0" xfId="1" applyNumberFormat="1" applyFont="1" applyAlignment="1">
      <alignment horizontal="right"/>
    </xf>
    <xf numFmtId="10" fontId="0" fillId="0" borderId="0" xfId="0" applyNumberFormat="1"/>
    <xf numFmtId="0" fontId="0" fillId="0" borderId="0" xfId="0" applyAlignment="1"/>
    <xf numFmtId="0" fontId="1" fillId="9" borderId="1" xfId="5" applyBorder="1" applyAlignment="1">
      <alignment wrapText="1"/>
    </xf>
    <xf numFmtId="0" fontId="4" fillId="4" borderId="0" xfId="0" applyFont="1" applyFill="1" applyAlignment="1">
      <alignment wrapText="1"/>
    </xf>
    <xf numFmtId="0" fontId="4" fillId="4" borderId="0" xfId="0" applyFont="1" applyFill="1" applyAlignment="1"/>
    <xf numFmtId="0" fontId="1" fillId="10" borderId="1" xfId="6" applyBorder="1"/>
    <xf numFmtId="0" fontId="4" fillId="12" borderId="0" xfId="0" applyFont="1" applyFill="1"/>
    <xf numFmtId="0" fontId="4" fillId="7" borderId="0" xfId="0" applyFont="1" applyFill="1" applyAlignment="1"/>
    <xf numFmtId="0" fontId="12" fillId="11" borderId="0" xfId="0" applyFont="1" applyFill="1" applyAlignment="1">
      <alignment horizontal="center"/>
    </xf>
    <xf numFmtId="0" fontId="12" fillId="13" borderId="0" xfId="0" applyFont="1" applyFill="1" applyBorder="1" applyAlignment="1">
      <alignment horizontal="center"/>
    </xf>
    <xf numFmtId="0" fontId="12" fillId="7" borderId="0" xfId="0" applyFont="1" applyFill="1" applyAlignment="1">
      <alignment horizontal="center"/>
    </xf>
    <xf numFmtId="2" fontId="4" fillId="4" borderId="0" xfId="0" applyNumberFormat="1" applyFont="1" applyFill="1"/>
    <xf numFmtId="10" fontId="4" fillId="11" borderId="0" xfId="1" applyNumberFormat="1" applyFont="1" applyFill="1" applyAlignment="1">
      <alignment horizontal="center"/>
    </xf>
    <xf numFmtId="0" fontId="2" fillId="4" borderId="0" xfId="0" applyFont="1" applyFill="1" applyAlignment="1">
      <alignment horizontal="center"/>
    </xf>
    <xf numFmtId="0" fontId="2" fillId="4" borderId="0" xfId="0" applyFont="1" applyFill="1" applyAlignment="1">
      <alignment horizontal="center" vertical="center"/>
    </xf>
    <xf numFmtId="164" fontId="0" fillId="0" borderId="0" xfId="1" applyNumberFormat="1" applyFont="1"/>
    <xf numFmtId="10" fontId="12" fillId="13" borderId="0" xfId="1" applyNumberFormat="1" applyFont="1" applyFill="1" applyBorder="1" applyAlignment="1">
      <alignment horizontal="center"/>
    </xf>
    <xf numFmtId="9" fontId="0" fillId="0" borderId="0" xfId="1" applyFont="1"/>
    <xf numFmtId="0" fontId="4" fillId="11" borderId="0" xfId="1" applyNumberFormat="1" applyFont="1" applyFill="1" applyAlignment="1">
      <alignment horizontal="center"/>
    </xf>
    <xf numFmtId="0" fontId="12" fillId="13" borderId="0" xfId="1" applyNumberFormat="1" applyFont="1" applyFill="1" applyBorder="1" applyAlignment="1">
      <alignment horizontal="center"/>
    </xf>
    <xf numFmtId="0" fontId="10" fillId="16" borderId="6" xfId="8" applyFont="1" applyBorder="1"/>
    <xf numFmtId="0" fontId="0" fillId="16" borderId="6" xfId="8" applyFont="1" applyBorder="1"/>
    <xf numFmtId="10" fontId="0" fillId="16" borderId="6" xfId="8" applyNumberFormat="1" applyFont="1" applyBorder="1"/>
    <xf numFmtId="0" fontId="0" fillId="16" borderId="6" xfId="8" applyNumberFormat="1" applyFont="1" applyBorder="1"/>
    <xf numFmtId="0" fontId="10" fillId="16" borderId="7" xfId="8" applyFont="1" applyBorder="1"/>
    <xf numFmtId="0" fontId="0" fillId="16" borderId="7" xfId="8" applyFont="1" applyBorder="1"/>
    <xf numFmtId="10" fontId="0" fillId="16" borderId="7" xfId="1" applyNumberFormat="1" applyFont="1" applyFill="1" applyBorder="1"/>
    <xf numFmtId="0" fontId="0" fillId="16" borderId="7" xfId="8" applyNumberFormat="1" applyFont="1" applyBorder="1"/>
    <xf numFmtId="10" fontId="0" fillId="16" borderId="7" xfId="8" applyNumberFormat="1" applyFont="1" applyBorder="1"/>
    <xf numFmtId="0" fontId="10" fillId="19" borderId="7" xfId="11" applyFont="1" applyBorder="1"/>
    <xf numFmtId="0" fontId="10" fillId="15" borderId="7" xfId="7" applyFont="1" applyBorder="1"/>
    <xf numFmtId="0" fontId="10" fillId="18" borderId="7" xfId="10" applyFont="1" applyBorder="1"/>
    <xf numFmtId="0" fontId="10" fillId="17" borderId="7" xfId="9" applyFont="1" applyBorder="1"/>
    <xf numFmtId="0" fontId="0" fillId="19" borderId="7" xfId="11" applyFont="1" applyBorder="1"/>
    <xf numFmtId="0" fontId="16" fillId="15" borderId="7" xfId="7" applyBorder="1"/>
    <xf numFmtId="0" fontId="0" fillId="18" borderId="7" xfId="10" applyFont="1" applyBorder="1"/>
    <xf numFmtId="0" fontId="0" fillId="18" borderId="7" xfId="10" applyNumberFormat="1" applyFont="1" applyBorder="1"/>
    <xf numFmtId="0" fontId="0" fillId="17" borderId="7" xfId="9" applyFont="1" applyBorder="1"/>
    <xf numFmtId="10" fontId="0" fillId="19" borderId="7" xfId="11" applyNumberFormat="1" applyFont="1" applyBorder="1"/>
    <xf numFmtId="10" fontId="16" fillId="15" borderId="7" xfId="7" applyNumberFormat="1" applyBorder="1"/>
    <xf numFmtId="10" fontId="0" fillId="20" borderId="7" xfId="7" applyNumberFormat="1" applyFont="1" applyFill="1" applyBorder="1"/>
    <xf numFmtId="10" fontId="0" fillId="18" borderId="7" xfId="10" applyNumberFormat="1" applyFont="1" applyBorder="1"/>
    <xf numFmtId="9" fontId="0" fillId="17" borderId="7" xfId="1" applyFont="1" applyFill="1" applyBorder="1"/>
    <xf numFmtId="10" fontId="0" fillId="17" borderId="7" xfId="1" applyNumberFormat="1" applyFont="1" applyFill="1" applyBorder="1"/>
    <xf numFmtId="10" fontId="1" fillId="17" borderId="0" xfId="1" applyNumberFormat="1" applyFill="1"/>
    <xf numFmtId="10" fontId="0" fillId="17" borderId="7" xfId="9" applyNumberFormat="1" applyFont="1" applyBorder="1"/>
    <xf numFmtId="10" fontId="16" fillId="15" borderId="0" xfId="7" applyNumberFormat="1"/>
    <xf numFmtId="0" fontId="0" fillId="19" borderId="7" xfId="11" applyNumberFormat="1" applyFont="1" applyBorder="1"/>
    <xf numFmtId="0" fontId="16" fillId="15" borderId="7" xfId="7" applyNumberFormat="1" applyBorder="1"/>
    <xf numFmtId="0" fontId="0" fillId="17" borderId="7" xfId="9" applyNumberFormat="1" applyFont="1" applyBorder="1"/>
    <xf numFmtId="0" fontId="0" fillId="17" borderId="7" xfId="1" applyNumberFormat="1" applyFont="1" applyFill="1" applyBorder="1"/>
    <xf numFmtId="0" fontId="0" fillId="16" borderId="7" xfId="1" applyNumberFormat="1" applyFont="1" applyFill="1" applyBorder="1"/>
    <xf numFmtId="9" fontId="0" fillId="0" borderId="0" xfId="1" applyFont="1" applyFill="1" applyBorder="1"/>
    <xf numFmtId="10" fontId="11" fillId="3" borderId="1" xfId="1" applyNumberFormat="1" applyFont="1" applyFill="1" applyBorder="1"/>
    <xf numFmtId="10" fontId="12" fillId="11" borderId="0" xfId="1" applyNumberFormat="1" applyFont="1" applyFill="1" applyAlignment="1">
      <alignment horizontal="center"/>
    </xf>
    <xf numFmtId="0" fontId="0" fillId="0" borderId="6" xfId="0" applyFont="1" applyBorder="1"/>
    <xf numFmtId="0" fontId="2" fillId="24" borderId="8" xfId="0" applyFont="1" applyFill="1" applyBorder="1"/>
    <xf numFmtId="0" fontId="2" fillId="24" borderId="9" xfId="0" applyFont="1" applyFill="1" applyBorder="1"/>
    <xf numFmtId="9" fontId="2" fillId="24" borderId="9" xfId="1" applyNumberFormat="1" applyFont="1" applyFill="1" applyBorder="1"/>
    <xf numFmtId="9" fontId="2" fillId="24" borderId="10" xfId="1" applyNumberFormat="1" applyFont="1" applyFill="1" applyBorder="1"/>
    <xf numFmtId="0" fontId="0" fillId="23" borderId="8" xfId="0" applyFont="1" applyFill="1" applyBorder="1"/>
    <xf numFmtId="165" fontId="0" fillId="23" borderId="9" xfId="1" applyNumberFormat="1" applyFont="1" applyFill="1" applyBorder="1"/>
    <xf numFmtId="0" fontId="0" fillId="23" borderId="9" xfId="1" applyNumberFormat="1" applyFont="1" applyFill="1" applyBorder="1"/>
    <xf numFmtId="0" fontId="0" fillId="23" borderId="9" xfId="0" applyFont="1" applyFill="1" applyBorder="1"/>
    <xf numFmtId="0" fontId="0" fillId="23" borderId="10" xfId="0" applyFont="1" applyFill="1" applyBorder="1"/>
    <xf numFmtId="0" fontId="0" fillId="0" borderId="8" xfId="0" applyFont="1" applyBorder="1"/>
    <xf numFmtId="165" fontId="0" fillId="0" borderId="9" xfId="1" applyNumberFormat="1" applyFont="1" applyBorder="1"/>
    <xf numFmtId="0" fontId="0" fillId="0" borderId="9" xfId="1" applyNumberFormat="1" applyFont="1" applyBorder="1"/>
    <xf numFmtId="0" fontId="0" fillId="0" borderId="9" xfId="0" applyFont="1" applyBorder="1"/>
    <xf numFmtId="0" fontId="0" fillId="0" borderId="10" xfId="0" applyFont="1" applyBorder="1"/>
    <xf numFmtId="165" fontId="0" fillId="0" borderId="7" xfId="1" applyNumberFormat="1" applyFont="1" applyBorder="1"/>
    <xf numFmtId="0" fontId="0" fillId="0" borderId="7" xfId="1" applyNumberFormat="1" applyFont="1" applyBorder="1"/>
    <xf numFmtId="0" fontId="0" fillId="0" borderId="7" xfId="0" applyFont="1" applyBorder="1"/>
    <xf numFmtId="0" fontId="0" fillId="0" borderId="11" xfId="0" applyFont="1" applyBorder="1"/>
    <xf numFmtId="9" fontId="11" fillId="3" borderId="1" xfId="3" applyNumberFormat="1" applyFont="1" applyBorder="1"/>
    <xf numFmtId="1" fontId="4" fillId="4" borderId="0" xfId="0" applyNumberFormat="1" applyFont="1" applyFill="1"/>
    <xf numFmtId="10" fontId="4" fillId="4" borderId="0" xfId="1" applyNumberFormat="1" applyFont="1" applyFill="1"/>
    <xf numFmtId="10" fontId="4" fillId="22" borderId="0" xfId="13" applyNumberFormat="1"/>
    <xf numFmtId="0" fontId="4" fillId="22" borderId="0" xfId="13"/>
    <xf numFmtId="0" fontId="4" fillId="26" borderId="0" xfId="0" applyFont="1" applyFill="1"/>
    <xf numFmtId="0" fontId="4" fillId="27" borderId="0" xfId="0" applyFont="1" applyFill="1"/>
    <xf numFmtId="0" fontId="4" fillId="26" borderId="0" xfId="0" applyFont="1" applyFill="1" applyBorder="1"/>
    <xf numFmtId="0" fontId="4" fillId="27" borderId="0" xfId="0" applyFont="1" applyFill="1" applyBorder="1"/>
    <xf numFmtId="0" fontId="12" fillId="4" borderId="0" xfId="0" applyFont="1" applyFill="1" applyAlignment="1">
      <alignment horizontal="center"/>
    </xf>
    <xf numFmtId="0" fontId="4" fillId="13" borderId="0" xfId="12" applyFill="1"/>
    <xf numFmtId="0" fontId="2" fillId="13" borderId="0" xfId="0" applyFont="1" applyFill="1" applyAlignment="1">
      <alignment horizontal="center"/>
    </xf>
    <xf numFmtId="0" fontId="4" fillId="13" borderId="0" xfId="0" applyFont="1" applyFill="1"/>
    <xf numFmtId="10" fontId="4" fillId="26" borderId="0" xfId="1" applyNumberFormat="1" applyFont="1" applyFill="1"/>
    <xf numFmtId="10" fontId="4" fillId="27" borderId="0" xfId="1" applyNumberFormat="1" applyFont="1" applyFill="1"/>
    <xf numFmtId="0" fontId="2" fillId="13" borderId="0" xfId="12" applyFont="1" applyFill="1" applyAlignment="1">
      <alignment horizontal="center"/>
    </xf>
    <xf numFmtId="0" fontId="17" fillId="4" borderId="0" xfId="12" applyFont="1" applyFill="1" applyAlignment="1">
      <alignment horizontal="center"/>
    </xf>
    <xf numFmtId="0" fontId="4" fillId="26" borderId="0" xfId="1" applyNumberFormat="1" applyFont="1" applyFill="1"/>
    <xf numFmtId="10" fontId="4" fillId="28" borderId="0" xfId="1" applyNumberFormat="1" applyFont="1" applyFill="1"/>
    <xf numFmtId="10" fontId="4" fillId="2" borderId="0" xfId="2" applyNumberFormat="1"/>
    <xf numFmtId="0" fontId="4" fillId="2" borderId="0" xfId="2"/>
    <xf numFmtId="0" fontId="2" fillId="4" borderId="0" xfId="0" applyFont="1" applyFill="1" applyAlignment="1" applyProtection="1">
      <alignment horizontal="center"/>
    </xf>
    <xf numFmtId="10" fontId="1" fillId="3" borderId="1" xfId="3" applyNumberFormat="1" applyBorder="1" applyProtection="1"/>
    <xf numFmtId="0" fontId="17" fillId="4" borderId="0" xfId="0" applyFont="1" applyFill="1" applyAlignment="1" applyProtection="1">
      <alignment horizontal="center"/>
    </xf>
    <xf numFmtId="0" fontId="4" fillId="4" borderId="0" xfId="0" applyFont="1" applyFill="1" applyProtection="1"/>
    <xf numFmtId="10" fontId="4" fillId="4" borderId="0" xfId="1" applyNumberFormat="1" applyFont="1" applyFill="1" applyProtection="1"/>
    <xf numFmtId="9" fontId="4" fillId="27" borderId="0" xfId="0" applyNumberFormat="1" applyFont="1" applyFill="1"/>
    <xf numFmtId="0" fontId="4" fillId="4" borderId="0" xfId="1" applyNumberFormat="1" applyFont="1" applyFill="1"/>
    <xf numFmtId="0" fontId="4" fillId="4" borderId="0" xfId="0" applyNumberFormat="1" applyFont="1" applyFill="1"/>
    <xf numFmtId="0" fontId="2" fillId="4" borderId="0" xfId="0" applyFont="1" applyFill="1" applyAlignment="1">
      <alignment horizontal="center"/>
    </xf>
    <xf numFmtId="10" fontId="0" fillId="29" borderId="7" xfId="1" applyNumberFormat="1" applyFont="1" applyFill="1" applyBorder="1"/>
    <xf numFmtId="0" fontId="1" fillId="16" borderId="0" xfId="8" applyNumberFormat="1"/>
    <xf numFmtId="10" fontId="0" fillId="29" borderId="0" xfId="1" applyNumberFormat="1" applyFont="1" applyFill="1"/>
    <xf numFmtId="10" fontId="1" fillId="16" borderId="0" xfId="8" applyNumberFormat="1"/>
    <xf numFmtId="0" fontId="1" fillId="16" borderId="0" xfId="8"/>
    <xf numFmtId="10" fontId="1" fillId="19" borderId="0" xfId="11" applyNumberFormat="1"/>
    <xf numFmtId="0" fontId="1" fillId="19" borderId="0" xfId="11" applyNumberFormat="1"/>
    <xf numFmtId="0" fontId="16" fillId="15" borderId="0" xfId="7" applyNumberFormat="1"/>
    <xf numFmtId="10" fontId="1" fillId="18" borderId="0" xfId="10" applyNumberFormat="1"/>
    <xf numFmtId="0" fontId="1" fillId="18" borderId="0" xfId="10" applyNumberFormat="1"/>
    <xf numFmtId="0" fontId="1" fillId="17" borderId="0" xfId="9"/>
    <xf numFmtId="0" fontId="1" fillId="17" borderId="0" xfId="9" applyNumberFormat="1"/>
    <xf numFmtId="165" fontId="1" fillId="16" borderId="0" xfId="8" applyNumberFormat="1"/>
    <xf numFmtId="10" fontId="1" fillId="17" borderId="0" xfId="9" applyNumberFormat="1"/>
    <xf numFmtId="165" fontId="1" fillId="17" borderId="0" xfId="9" applyNumberFormat="1"/>
    <xf numFmtId="10" fontId="1" fillId="16" borderId="0" xfId="1" applyNumberFormat="1" applyFill="1"/>
    <xf numFmtId="0" fontId="1" fillId="19" borderId="0" xfId="11"/>
    <xf numFmtId="0" fontId="16" fillId="15" borderId="0" xfId="7"/>
    <xf numFmtId="0" fontId="1" fillId="18" borderId="0" xfId="10"/>
    <xf numFmtId="10" fontId="1" fillId="20" borderId="0" xfId="7" applyNumberFormat="1" applyFont="1" applyFill="1"/>
    <xf numFmtId="9" fontId="1" fillId="17" borderId="0" xfId="1" applyFill="1"/>
    <xf numFmtId="0" fontId="1" fillId="17" borderId="0" xfId="1" applyNumberFormat="1" applyFill="1"/>
    <xf numFmtId="0" fontId="10" fillId="16" borderId="8" xfId="8" applyFont="1" applyFill="1" applyBorder="1"/>
    <xf numFmtId="0" fontId="10" fillId="16" borderId="9" xfId="8" applyFont="1" applyFill="1" applyBorder="1"/>
    <xf numFmtId="0" fontId="10" fillId="19" borderId="9" xfId="11" applyFont="1" applyFill="1" applyBorder="1"/>
    <xf numFmtId="0" fontId="10" fillId="15" borderId="9" xfId="7" applyFont="1" applyFill="1" applyBorder="1"/>
    <xf numFmtId="0" fontId="10" fillId="18" borderId="9" xfId="10" applyFont="1" applyFill="1" applyBorder="1"/>
    <xf numFmtId="0" fontId="10" fillId="17" borderId="9" xfId="9" applyFont="1" applyFill="1" applyBorder="1"/>
    <xf numFmtId="0" fontId="0" fillId="16" borderId="8" xfId="8" applyFont="1" applyFill="1" applyBorder="1"/>
    <xf numFmtId="0" fontId="0" fillId="16" borderId="9" xfId="8" applyFont="1" applyFill="1" applyBorder="1"/>
    <xf numFmtId="0" fontId="0" fillId="19" borderId="9" xfId="11" applyFont="1" applyFill="1" applyBorder="1"/>
    <xf numFmtId="0" fontId="16" fillId="15" borderId="9" xfId="7" applyFont="1" applyFill="1" applyBorder="1"/>
    <xf numFmtId="0" fontId="0" fillId="18" borderId="9" xfId="10" applyFont="1" applyFill="1" applyBorder="1"/>
    <xf numFmtId="0" fontId="0" fillId="18" borderId="9" xfId="10" applyNumberFormat="1" applyFont="1" applyFill="1" applyBorder="1"/>
    <xf numFmtId="0" fontId="0" fillId="17" borderId="9" xfId="9" applyFont="1" applyFill="1" applyBorder="1"/>
    <xf numFmtId="10" fontId="0" fillId="16" borderId="8" xfId="8" applyNumberFormat="1" applyFont="1" applyFill="1" applyBorder="1"/>
    <xf numFmtId="10" fontId="0" fillId="16" borderId="9" xfId="1" applyNumberFormat="1" applyFont="1" applyFill="1" applyBorder="1"/>
    <xf numFmtId="10" fontId="0" fillId="16" borderId="9" xfId="8" applyNumberFormat="1" applyFont="1" applyFill="1" applyBorder="1"/>
    <xf numFmtId="10" fontId="0" fillId="19" borderId="9" xfId="11" applyNumberFormat="1" applyFont="1" applyFill="1" applyBorder="1"/>
    <xf numFmtId="10" fontId="16" fillId="15" borderId="9" xfId="7" applyNumberFormat="1" applyFont="1" applyFill="1" applyBorder="1"/>
    <xf numFmtId="10" fontId="0" fillId="20" borderId="9" xfId="7" applyNumberFormat="1" applyFont="1" applyFill="1" applyBorder="1"/>
    <xf numFmtId="10" fontId="0" fillId="18" borderId="9" xfId="10" applyNumberFormat="1" applyFont="1" applyFill="1" applyBorder="1"/>
    <xf numFmtId="9" fontId="0" fillId="17" borderId="9" xfId="1" applyNumberFormat="1" applyFont="1" applyFill="1" applyBorder="1"/>
    <xf numFmtId="10" fontId="0" fillId="17" borderId="9" xfId="1" applyNumberFormat="1" applyFont="1" applyFill="1" applyBorder="1"/>
    <xf numFmtId="10" fontId="0" fillId="17" borderId="9" xfId="9" applyNumberFormat="1" applyFont="1" applyFill="1" applyBorder="1"/>
    <xf numFmtId="0" fontId="0" fillId="16" borderId="8" xfId="8" applyNumberFormat="1" applyFont="1" applyFill="1" applyBorder="1"/>
    <xf numFmtId="0" fontId="0" fillId="16" borderId="9" xfId="8" applyNumberFormat="1" applyFont="1" applyFill="1" applyBorder="1"/>
    <xf numFmtId="0" fontId="0" fillId="19" borderId="9" xfId="11" applyNumberFormat="1" applyFont="1" applyFill="1" applyBorder="1"/>
    <xf numFmtId="0" fontId="16" fillId="15" borderId="9" xfId="7" applyNumberFormat="1" applyFont="1" applyFill="1" applyBorder="1"/>
    <xf numFmtId="0" fontId="0" fillId="17" borderId="9" xfId="9" applyNumberFormat="1" applyFont="1" applyFill="1" applyBorder="1"/>
    <xf numFmtId="0" fontId="0" fillId="17" borderId="9" xfId="1" applyNumberFormat="1" applyFont="1" applyFill="1" applyBorder="1"/>
    <xf numFmtId="10" fontId="0" fillId="29" borderId="9" xfId="1" applyNumberFormat="1" applyFont="1" applyFill="1" applyBorder="1"/>
    <xf numFmtId="165" fontId="0" fillId="16" borderId="9" xfId="8" applyNumberFormat="1" applyFont="1" applyFill="1" applyBorder="1"/>
    <xf numFmtId="165" fontId="0" fillId="17" borderId="9" xfId="9" applyNumberFormat="1" applyFont="1" applyFill="1" applyBorder="1"/>
    <xf numFmtId="0" fontId="0" fillId="16" borderId="6" xfId="8" applyNumberFormat="1" applyFont="1" applyFill="1" applyBorder="1"/>
    <xf numFmtId="0" fontId="0" fillId="16" borderId="7" xfId="8" applyNumberFormat="1" applyFont="1" applyFill="1" applyBorder="1"/>
    <xf numFmtId="10" fontId="0" fillId="16" borderId="7" xfId="8" applyNumberFormat="1" applyFont="1" applyFill="1" applyBorder="1"/>
    <xf numFmtId="0" fontId="0" fillId="16" borderId="7" xfId="8" applyFont="1" applyFill="1" applyBorder="1"/>
    <xf numFmtId="10" fontId="0" fillId="19" borderId="7" xfId="11" applyNumberFormat="1" applyFont="1" applyFill="1" applyBorder="1"/>
    <xf numFmtId="0" fontId="0" fillId="19" borderId="7" xfId="11" applyNumberFormat="1" applyFont="1" applyFill="1" applyBorder="1"/>
    <xf numFmtId="10" fontId="16" fillId="15" borderId="7" xfId="7" applyNumberFormat="1" applyFont="1" applyFill="1" applyBorder="1"/>
    <xf numFmtId="0" fontId="16" fillId="15" borderId="7" xfId="7" applyNumberFormat="1" applyFont="1" applyFill="1" applyBorder="1"/>
    <xf numFmtId="10" fontId="0" fillId="18" borderId="7" xfId="10" applyNumberFormat="1" applyFont="1" applyFill="1" applyBorder="1"/>
    <xf numFmtId="0" fontId="0" fillId="18" borderId="7" xfId="10" applyNumberFormat="1" applyFont="1" applyFill="1" applyBorder="1"/>
    <xf numFmtId="0" fontId="0" fillId="17" borderId="7" xfId="9" applyFont="1" applyFill="1" applyBorder="1"/>
    <xf numFmtId="0" fontId="10" fillId="16" borderId="0" xfId="8" applyFont="1"/>
    <xf numFmtId="0" fontId="10" fillId="19" borderId="0" xfId="11" applyFont="1"/>
    <xf numFmtId="0" fontId="10" fillId="15" borderId="0" xfId="7" applyFont="1"/>
    <xf numFmtId="0" fontId="10" fillId="18" borderId="0" xfId="10" applyFont="1"/>
    <xf numFmtId="0" fontId="10" fillId="17" borderId="0" xfId="9" applyFont="1"/>
    <xf numFmtId="0" fontId="1" fillId="16" borderId="0" xfId="1" applyNumberFormat="1" applyFill="1"/>
    <xf numFmtId="0" fontId="0" fillId="16" borderId="9" xfId="1" applyNumberFormat="1" applyFont="1" applyFill="1" applyBorder="1"/>
    <xf numFmtId="10" fontId="4" fillId="27" borderId="0" xfId="0" applyNumberFormat="1" applyFont="1" applyFill="1"/>
    <xf numFmtId="10" fontId="4" fillId="26" borderId="0" xfId="0" applyNumberFormat="1" applyFont="1" applyFill="1"/>
    <xf numFmtId="0" fontId="0" fillId="23" borderId="7" xfId="0" applyFill="1" applyBorder="1"/>
    <xf numFmtId="0" fontId="0" fillId="0" borderId="7" xfId="0" applyBorder="1"/>
    <xf numFmtId="0" fontId="4" fillId="7" borderId="0" xfId="0" applyFont="1" applyFill="1"/>
    <xf numFmtId="0" fontId="3" fillId="3" borderId="1" xfId="3" applyFont="1" applyBorder="1"/>
    <xf numFmtId="0" fontId="1" fillId="9" borderId="1" xfId="5" applyBorder="1"/>
    <xf numFmtId="0" fontId="2" fillId="4" borderId="0" xfId="0" applyFont="1" applyFill="1" applyAlignment="1">
      <alignment horizontal="center"/>
    </xf>
    <xf numFmtId="0" fontId="3" fillId="0" borderId="0" xfId="0" applyFont="1"/>
    <xf numFmtId="166" fontId="4" fillId="4" borderId="0" xfId="1" applyNumberFormat="1" applyFont="1" applyFill="1"/>
    <xf numFmtId="9" fontId="0" fillId="0" borderId="0" xfId="1" applyNumberFormat="1" applyFont="1"/>
    <xf numFmtId="2" fontId="4" fillId="13" borderId="0" xfId="0" applyNumberFormat="1" applyFont="1" applyFill="1"/>
    <xf numFmtId="9" fontId="4" fillId="26" borderId="0" xfId="0" applyNumberFormat="1" applyFont="1" applyFill="1"/>
    <xf numFmtId="0" fontId="4" fillId="4" borderId="0" xfId="0" applyFont="1" applyFill="1" applyAlignment="1">
      <alignment horizontal="left" wrapText="1"/>
    </xf>
    <xf numFmtId="0" fontId="9" fillId="4" borderId="0" xfId="0" applyFont="1" applyFill="1" applyAlignment="1">
      <alignment horizontal="center" vertical="center"/>
    </xf>
    <xf numFmtId="0" fontId="2" fillId="4" borderId="0" xfId="0" applyFont="1" applyFill="1" applyAlignment="1">
      <alignment horizontal="center"/>
    </xf>
    <xf numFmtId="0" fontId="4" fillId="4" borderId="0" xfId="0" applyFont="1" applyFill="1" applyAlignment="1">
      <alignment horizontal="center"/>
    </xf>
    <xf numFmtId="0" fontId="4" fillId="7" borderId="0" xfId="0" applyFont="1" applyFill="1" applyAlignment="1">
      <alignment horizontal="center"/>
    </xf>
    <xf numFmtId="0" fontId="4" fillId="7" borderId="0" xfId="0" applyFont="1" applyFill="1" applyBorder="1" applyAlignment="1">
      <alignment horizontal="center"/>
    </xf>
    <xf numFmtId="0" fontId="11" fillId="3" borderId="1" xfId="3" applyFont="1" applyBorder="1" applyAlignment="1">
      <alignment horizontal="center"/>
    </xf>
    <xf numFmtId="0" fontId="4" fillId="7" borderId="4" xfId="0" applyFont="1" applyFill="1" applyBorder="1" applyAlignment="1">
      <alignment horizontal="center"/>
    </xf>
    <xf numFmtId="0" fontId="11" fillId="3" borderId="2" xfId="3" applyFont="1" applyBorder="1" applyAlignment="1">
      <alignment horizontal="center"/>
    </xf>
    <xf numFmtId="0" fontId="11" fillId="3" borderId="3" xfId="3" applyFont="1" applyBorder="1" applyAlignment="1">
      <alignment horizontal="center"/>
    </xf>
    <xf numFmtId="0" fontId="2" fillId="5" borderId="0" xfId="0" applyFont="1" applyFill="1" applyAlignment="1">
      <alignment horizontal="center" vertical="center"/>
    </xf>
    <xf numFmtId="10" fontId="11" fillId="3" borderId="2" xfId="3" applyNumberFormat="1" applyFont="1" applyBorder="1" applyAlignment="1">
      <alignment horizontal="center"/>
    </xf>
    <xf numFmtId="10" fontId="11" fillId="3" borderId="3" xfId="3" applyNumberFormat="1" applyFont="1" applyBorder="1" applyAlignment="1">
      <alignment horizontal="center"/>
    </xf>
    <xf numFmtId="0" fontId="4" fillId="4" borderId="0" xfId="0" applyFont="1" applyFill="1" applyBorder="1" applyAlignment="1">
      <alignment horizontal="center"/>
    </xf>
    <xf numFmtId="0" fontId="1" fillId="4" borderId="0" xfId="3" applyFill="1" applyBorder="1" applyAlignment="1">
      <alignment horizontal="center"/>
    </xf>
    <xf numFmtId="0" fontId="7" fillId="3" borderId="1" xfId="3" applyFont="1" applyBorder="1" applyAlignment="1">
      <alignment horizontal="center"/>
    </xf>
    <xf numFmtId="0" fontId="10" fillId="8" borderId="5" xfId="4" applyFont="1" applyAlignment="1">
      <alignment horizontal="center"/>
    </xf>
    <xf numFmtId="10" fontId="4" fillId="4" borderId="0" xfId="1" applyNumberFormat="1" applyFont="1" applyFill="1" applyAlignment="1">
      <alignment horizontal="center"/>
    </xf>
    <xf numFmtId="10" fontId="4" fillId="4" borderId="0" xfId="0" applyNumberFormat="1" applyFont="1" applyFill="1" applyAlignment="1">
      <alignment horizontal="center"/>
    </xf>
    <xf numFmtId="0" fontId="15" fillId="14" borderId="0" xfId="0" applyFont="1" applyFill="1" applyAlignment="1">
      <alignment horizontal="center" vertical="center"/>
    </xf>
    <xf numFmtId="0" fontId="2" fillId="14" borderId="0" xfId="0" applyFont="1" applyFill="1" applyAlignment="1">
      <alignment horizontal="center" vertical="center"/>
    </xf>
    <xf numFmtId="0" fontId="4" fillId="25" borderId="0" xfId="0" applyFont="1" applyFill="1" applyAlignment="1">
      <alignment horizontal="center"/>
    </xf>
    <xf numFmtId="0" fontId="15" fillId="5" borderId="0" xfId="0" applyFont="1" applyFill="1" applyAlignment="1">
      <alignment horizontal="center" vertical="center"/>
    </xf>
  </cellXfs>
  <cellStyles count="14">
    <cellStyle name="20% - Accent1" xfId="8" builtinId="30"/>
    <cellStyle name="20% - Accent2" xfId="9" builtinId="34"/>
    <cellStyle name="20% - Accent3" xfId="10" builtinId="38"/>
    <cellStyle name="20% - Accent4" xfId="11" builtinId="42"/>
    <cellStyle name="40% - Accent5" xfId="5" builtinId="47"/>
    <cellStyle name="60% - Accent2" xfId="6" builtinId="36"/>
    <cellStyle name="60% - Accent5" xfId="3" builtinId="48"/>
    <cellStyle name="Accent1" xfId="12" builtinId="29"/>
    <cellStyle name="Accent3" xfId="2" builtinId="37"/>
    <cellStyle name="Accent5" xfId="13" builtinId="45"/>
    <cellStyle name="Calculation" xfId="4" builtinId="22"/>
    <cellStyle name="Good" xfId="7" builtinId="26"/>
    <cellStyle name="Normal" xfId="0" builtinId="0"/>
    <cellStyle name="Percent" xfId="1" builtinId="5"/>
  </cellStyles>
  <dxfs count="0"/>
  <tableStyles count="0" defaultTableStyle="TableStyleMedium2" defaultPivotStyle="PivotStyleLight16"/>
  <colors>
    <mruColors>
      <color rgb="FF292929"/>
      <color rgb="FF1C1C1C"/>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trlProps/ctrlProp1.xml><?xml version="1.0" encoding="utf-8"?>
<formControlPr xmlns="http://schemas.microsoft.com/office/spreadsheetml/2009/9/main" objectType="CheckBox" checked="Checked" fmlaLink="$L$8" lockText="1" noThreeD="1"/>
</file>

<file path=xl/ctrlProps/ctrlProp2.xml><?xml version="1.0" encoding="utf-8"?>
<formControlPr xmlns="http://schemas.microsoft.com/office/spreadsheetml/2009/9/main" objectType="CheckBox" checked="Checked" fmlaLink="$L$17" lockText="1" noThreeD="1"/>
</file>

<file path=xl/ctrlProps/ctrlProp3.xml><?xml version="1.0" encoding="utf-8"?>
<formControlPr xmlns="http://schemas.microsoft.com/office/spreadsheetml/2009/9/main" objectType="CheckBox" checked="Checked" fmlaLink="$L$8" lockText="1" noThreeD="1"/>
</file>

<file path=xl/ctrlProps/ctrlProp4.xml><?xml version="1.0" encoding="utf-8"?>
<formControlPr xmlns="http://schemas.microsoft.com/office/spreadsheetml/2009/9/main" objectType="CheckBox" checked="Checked" fmlaLink="$L$17" lockText="1" noThreeD="1"/>
</file>

<file path=xl/ctrlProps/ctrlProp5.xml><?xml version="1.0" encoding="utf-8"?>
<formControlPr xmlns="http://schemas.microsoft.com/office/spreadsheetml/2009/9/main" objectType="CheckBox" checked="Checked" fmlaLink="$L$8" lockText="1" noThreeD="1"/>
</file>

<file path=xl/ctrlProps/ctrlProp6.xml><?xml version="1.0" encoding="utf-8"?>
<formControlPr xmlns="http://schemas.microsoft.com/office/spreadsheetml/2009/9/main" objectType="CheckBox" checked="Checked" fmlaLink="$L$17" lockText="1" noThreeD="1"/>
</file>

<file path=xl/ctrlProps/ctrlProp7.xml><?xml version="1.0" encoding="utf-8"?>
<formControlPr xmlns="http://schemas.microsoft.com/office/spreadsheetml/2009/9/main" objectType="CheckBox" checked="Checked" fmlaLink="$L$8" lockText="1" noThreeD="1"/>
</file>

<file path=xl/ctrlProps/ctrlProp8.xml><?xml version="1.0" encoding="utf-8"?>
<formControlPr xmlns="http://schemas.microsoft.com/office/spreadsheetml/2009/9/main" objectType="CheckBox" checked="Checked" fmlaLink="$L$17"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12</xdr:col>
          <xdr:colOff>257175</xdr:colOff>
          <xdr:row>7</xdr:row>
          <xdr:rowOff>9525</xdr:rowOff>
        </xdr:from>
        <xdr:to>
          <xdr:col>12</xdr:col>
          <xdr:colOff>447675</xdr:colOff>
          <xdr:row>8</xdr:row>
          <xdr:rowOff>9525</xdr:rowOff>
        </xdr:to>
        <xdr:sp macro="" textlink="">
          <xdr:nvSpPr>
            <xdr:cNvPr id="1033" name="Check Box 9" hidden="1">
              <a:extLst>
                <a:ext uri="{63B3BB69-23CF-44E3-9099-C40C66FF867C}">
                  <a14:compatExt spid="_x0000_s1033"/>
                </a:ext>
                <a:ext uri="{FF2B5EF4-FFF2-40B4-BE49-F238E27FC236}">
                  <a16:creationId xmlns:a16="http://schemas.microsoft.com/office/drawing/2014/main" id="{00000000-0008-0000-0100-00000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257175</xdr:colOff>
          <xdr:row>15</xdr:row>
          <xdr:rowOff>171450</xdr:rowOff>
        </xdr:from>
        <xdr:to>
          <xdr:col>12</xdr:col>
          <xdr:colOff>485775</xdr:colOff>
          <xdr:row>16</xdr:row>
          <xdr:rowOff>180975</xdr:rowOff>
        </xdr:to>
        <xdr:sp macro="" textlink="">
          <xdr:nvSpPr>
            <xdr:cNvPr id="1037" name="Check Box 13" hidden="1">
              <a:extLst>
                <a:ext uri="{63B3BB69-23CF-44E3-9099-C40C66FF867C}">
                  <a14:compatExt spid="_x0000_s1037"/>
                </a:ext>
                <a:ext uri="{FF2B5EF4-FFF2-40B4-BE49-F238E27FC236}">
                  <a16:creationId xmlns:a16="http://schemas.microsoft.com/office/drawing/2014/main" id="{00000000-0008-0000-0100-00000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12</xdr:col>
          <xdr:colOff>266700</xdr:colOff>
          <xdr:row>7</xdr:row>
          <xdr:rowOff>0</xdr:rowOff>
        </xdr:from>
        <xdr:to>
          <xdr:col>12</xdr:col>
          <xdr:colOff>457200</xdr:colOff>
          <xdr:row>8</xdr:row>
          <xdr:rowOff>0</xdr:rowOff>
        </xdr:to>
        <xdr:sp macro="" textlink="">
          <xdr:nvSpPr>
            <xdr:cNvPr id="14338" name="Check Box 2" hidden="1">
              <a:extLst>
                <a:ext uri="{63B3BB69-23CF-44E3-9099-C40C66FF867C}">
                  <a14:compatExt spid="_x0000_s14338"/>
                </a:ext>
                <a:ext uri="{FF2B5EF4-FFF2-40B4-BE49-F238E27FC236}">
                  <a16:creationId xmlns:a16="http://schemas.microsoft.com/office/drawing/2014/main" id="{00000000-0008-0000-0200-000002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266700</xdr:colOff>
          <xdr:row>16</xdr:row>
          <xdr:rowOff>0</xdr:rowOff>
        </xdr:from>
        <xdr:to>
          <xdr:col>12</xdr:col>
          <xdr:colOff>495300</xdr:colOff>
          <xdr:row>17</xdr:row>
          <xdr:rowOff>9525</xdr:rowOff>
        </xdr:to>
        <xdr:sp macro="" textlink="">
          <xdr:nvSpPr>
            <xdr:cNvPr id="14339" name="Check Box 3" hidden="1">
              <a:extLst>
                <a:ext uri="{63B3BB69-23CF-44E3-9099-C40C66FF867C}">
                  <a14:compatExt spid="_x0000_s14339"/>
                </a:ext>
                <a:ext uri="{FF2B5EF4-FFF2-40B4-BE49-F238E27FC236}">
                  <a16:creationId xmlns:a16="http://schemas.microsoft.com/office/drawing/2014/main" id="{00000000-0008-0000-0200-000003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12</xdr:col>
          <xdr:colOff>200025</xdr:colOff>
          <xdr:row>7</xdr:row>
          <xdr:rowOff>9525</xdr:rowOff>
        </xdr:from>
        <xdr:to>
          <xdr:col>12</xdr:col>
          <xdr:colOff>390525</xdr:colOff>
          <xdr:row>8</xdr:row>
          <xdr:rowOff>9525</xdr:rowOff>
        </xdr:to>
        <xdr:sp macro="" textlink="">
          <xdr:nvSpPr>
            <xdr:cNvPr id="15362" name="Check Box 2" hidden="1">
              <a:extLst>
                <a:ext uri="{63B3BB69-23CF-44E3-9099-C40C66FF867C}">
                  <a14:compatExt spid="_x0000_s15362"/>
                </a:ext>
                <a:ext uri="{FF2B5EF4-FFF2-40B4-BE49-F238E27FC236}">
                  <a16:creationId xmlns:a16="http://schemas.microsoft.com/office/drawing/2014/main" id="{00000000-0008-0000-0300-00000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200025</xdr:colOff>
          <xdr:row>15</xdr:row>
          <xdr:rowOff>180975</xdr:rowOff>
        </xdr:from>
        <xdr:to>
          <xdr:col>12</xdr:col>
          <xdr:colOff>428625</xdr:colOff>
          <xdr:row>17</xdr:row>
          <xdr:rowOff>0</xdr:rowOff>
        </xdr:to>
        <xdr:sp macro="" textlink="">
          <xdr:nvSpPr>
            <xdr:cNvPr id="15363" name="Check Box 3" hidden="1">
              <a:extLst>
                <a:ext uri="{63B3BB69-23CF-44E3-9099-C40C66FF867C}">
                  <a14:compatExt spid="_x0000_s15363"/>
                </a:ext>
                <a:ext uri="{FF2B5EF4-FFF2-40B4-BE49-F238E27FC236}">
                  <a16:creationId xmlns:a16="http://schemas.microsoft.com/office/drawing/2014/main" id="{00000000-0008-0000-0300-00000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12</xdr:col>
          <xdr:colOff>200025</xdr:colOff>
          <xdr:row>7</xdr:row>
          <xdr:rowOff>9525</xdr:rowOff>
        </xdr:from>
        <xdr:to>
          <xdr:col>12</xdr:col>
          <xdr:colOff>390525</xdr:colOff>
          <xdr:row>8</xdr:row>
          <xdr:rowOff>9525</xdr:rowOff>
        </xdr:to>
        <xdr:sp macro="" textlink="">
          <xdr:nvSpPr>
            <xdr:cNvPr id="16386" name="Check Box 2" hidden="1">
              <a:extLst>
                <a:ext uri="{63B3BB69-23CF-44E3-9099-C40C66FF867C}">
                  <a14:compatExt spid="_x0000_s16386"/>
                </a:ext>
                <a:ext uri="{FF2B5EF4-FFF2-40B4-BE49-F238E27FC236}">
                  <a16:creationId xmlns:a16="http://schemas.microsoft.com/office/drawing/2014/main" id="{00000000-0008-0000-0400-000002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200025</xdr:colOff>
          <xdr:row>15</xdr:row>
          <xdr:rowOff>180975</xdr:rowOff>
        </xdr:from>
        <xdr:to>
          <xdr:col>12</xdr:col>
          <xdr:colOff>428625</xdr:colOff>
          <xdr:row>17</xdr:row>
          <xdr:rowOff>0</xdr:rowOff>
        </xdr:to>
        <xdr:sp macro="" textlink="">
          <xdr:nvSpPr>
            <xdr:cNvPr id="16387" name="Check Box 3" hidden="1">
              <a:extLst>
                <a:ext uri="{63B3BB69-23CF-44E3-9099-C40C66FF867C}">
                  <a14:compatExt spid="_x0000_s16387"/>
                </a:ext>
                <a:ext uri="{FF2B5EF4-FFF2-40B4-BE49-F238E27FC236}">
                  <a16:creationId xmlns:a16="http://schemas.microsoft.com/office/drawing/2014/main" id="{00000000-0008-0000-0400-000003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ctrlProp" Target="../ctrlProps/ctrlProp4.xml"/><Relationship Id="rId4" Type="http://schemas.openxmlformats.org/officeDocument/2006/relationships/ctrlProp" Target="../ctrlProps/ctrlProp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5" Type="http://schemas.openxmlformats.org/officeDocument/2006/relationships/ctrlProp" Target="../ctrlProps/ctrlProp6.xml"/><Relationship Id="rId4" Type="http://schemas.openxmlformats.org/officeDocument/2006/relationships/ctrlProp" Target="../ctrlProps/ctrlProp5.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5" Type="http://schemas.openxmlformats.org/officeDocument/2006/relationships/ctrlProp" Target="../ctrlProps/ctrlProp8.xml"/><Relationship Id="rId4" Type="http://schemas.openxmlformats.org/officeDocument/2006/relationships/ctrlProp" Target="../ctrlProps/ctrlProp7.xml"/></Relationships>
</file>

<file path=xl/worksheets/_rels/sheet7.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5.v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F721D0-E17E-4C17-982A-6B9D80C07938}">
  <dimension ref="A1:AA25"/>
  <sheetViews>
    <sheetView workbookViewId="0">
      <selection activeCell="X15" sqref="X15"/>
    </sheetView>
  </sheetViews>
  <sheetFormatPr defaultRowHeight="15" x14ac:dyDescent="0.25"/>
  <cols>
    <col min="1" max="22" width="9.140625" style="7"/>
    <col min="23" max="16384" width="9.140625" style="33"/>
  </cols>
  <sheetData>
    <row r="1" spans="2:27" s="7" customFormat="1" x14ac:dyDescent="0.25"/>
    <row r="2" spans="2:27" s="7" customFormat="1" x14ac:dyDescent="0.25">
      <c r="B2" s="219" t="s">
        <v>399</v>
      </c>
      <c r="C2" s="219"/>
      <c r="D2" s="219"/>
      <c r="E2" s="219"/>
      <c r="F2" s="219"/>
      <c r="K2" s="219" t="s">
        <v>117</v>
      </c>
      <c r="L2" s="219"/>
      <c r="M2" s="219"/>
      <c r="N2" s="219"/>
      <c r="O2" s="219"/>
      <c r="Q2" s="219" t="s">
        <v>381</v>
      </c>
      <c r="R2" s="219"/>
      <c r="S2" s="219"/>
      <c r="T2" s="219"/>
      <c r="U2" s="219"/>
      <c r="W2" s="219" t="s">
        <v>385</v>
      </c>
      <c r="X2" s="219"/>
      <c r="Y2" s="219"/>
      <c r="Z2" s="219"/>
      <c r="AA2" s="219"/>
    </row>
    <row r="3" spans="2:27" s="7" customFormat="1" x14ac:dyDescent="0.25">
      <c r="B3" s="219"/>
      <c r="C3" s="219"/>
      <c r="D3" s="219"/>
      <c r="E3" s="219"/>
      <c r="F3" s="219"/>
      <c r="K3" s="219"/>
      <c r="L3" s="219"/>
      <c r="M3" s="219"/>
      <c r="N3" s="219"/>
      <c r="O3" s="219"/>
      <c r="Q3" s="219"/>
      <c r="R3" s="219"/>
      <c r="S3" s="219"/>
      <c r="T3" s="219"/>
      <c r="U3" s="219"/>
      <c r="W3" s="219"/>
      <c r="X3" s="219"/>
      <c r="Y3" s="219"/>
      <c r="Z3" s="219"/>
      <c r="AA3" s="219"/>
    </row>
    <row r="4" spans="2:27" s="7" customFormat="1" ht="15" customHeight="1" x14ac:dyDescent="0.25">
      <c r="B4" s="220" t="s">
        <v>109</v>
      </c>
      <c r="C4" s="220"/>
      <c r="D4" s="220"/>
      <c r="E4" s="220"/>
      <c r="F4" s="220"/>
      <c r="K4" s="221" t="s">
        <v>115</v>
      </c>
      <c r="L4" s="221"/>
      <c r="M4" s="7" t="s">
        <v>116</v>
      </c>
      <c r="Q4" s="218" t="s">
        <v>400</v>
      </c>
      <c r="R4" s="218"/>
      <c r="S4" s="218"/>
      <c r="T4" s="218"/>
      <c r="U4" s="218"/>
      <c r="W4" s="7" t="s">
        <v>386</v>
      </c>
    </row>
    <row r="5" spans="2:27" s="7" customFormat="1" x14ac:dyDescent="0.25">
      <c r="Q5" s="218"/>
      <c r="R5" s="218"/>
      <c r="S5" s="218"/>
      <c r="T5" s="218"/>
      <c r="U5" s="218"/>
    </row>
    <row r="6" spans="2:27" s="7" customFormat="1" ht="15" customHeight="1" x14ac:dyDescent="0.25">
      <c r="B6" s="17" t="s">
        <v>110</v>
      </c>
      <c r="R6" s="32"/>
      <c r="S6" s="32"/>
      <c r="T6" s="32"/>
      <c r="U6" s="32"/>
      <c r="V6" s="32"/>
      <c r="W6" s="33" t="s">
        <v>387</v>
      </c>
      <c r="X6" s="32"/>
    </row>
    <row r="7" spans="2:27" s="7" customFormat="1" x14ac:dyDescent="0.25">
      <c r="Q7" s="218" t="s">
        <v>382</v>
      </c>
      <c r="R7" s="218"/>
      <c r="S7" s="218"/>
      <c r="T7" s="218"/>
      <c r="U7" s="218"/>
      <c r="V7" s="32"/>
      <c r="W7" s="33"/>
      <c r="X7" s="32"/>
    </row>
    <row r="8" spans="2:27" x14ac:dyDescent="0.25">
      <c r="B8" s="17" t="s">
        <v>814</v>
      </c>
      <c r="C8" s="18"/>
      <c r="D8" s="18"/>
      <c r="E8" s="18"/>
      <c r="F8" s="18"/>
      <c r="Q8" s="218"/>
      <c r="R8" s="218"/>
      <c r="S8" s="218"/>
      <c r="T8" s="218"/>
      <c r="U8" s="218"/>
      <c r="V8" s="33"/>
      <c r="W8" s="218" t="s">
        <v>825</v>
      </c>
      <c r="X8" s="218"/>
      <c r="Y8" s="218"/>
      <c r="Z8" s="218"/>
      <c r="AA8" s="218"/>
    </row>
    <row r="9" spans="2:27" x14ac:dyDescent="0.25">
      <c r="B9" s="7" t="s">
        <v>815</v>
      </c>
      <c r="R9" s="32"/>
      <c r="S9" s="32"/>
      <c r="T9" s="32"/>
      <c r="U9" s="32"/>
      <c r="V9" s="32"/>
      <c r="W9" s="218"/>
      <c r="X9" s="218"/>
      <c r="Y9" s="218"/>
      <c r="Z9" s="218"/>
      <c r="AA9" s="218"/>
    </row>
    <row r="10" spans="2:27" ht="15" customHeight="1" x14ac:dyDescent="0.25">
      <c r="Q10" s="218" t="s">
        <v>383</v>
      </c>
      <c r="R10" s="218"/>
      <c r="S10" s="218"/>
      <c r="T10" s="218"/>
      <c r="U10" s="218"/>
      <c r="V10" s="32"/>
      <c r="W10" s="218"/>
      <c r="X10" s="218"/>
      <c r="Y10" s="218"/>
      <c r="Z10" s="218"/>
      <c r="AA10" s="218"/>
    </row>
    <row r="11" spans="2:27" x14ac:dyDescent="0.25">
      <c r="B11" s="18" t="s">
        <v>114</v>
      </c>
      <c r="Q11" s="218"/>
      <c r="R11" s="218"/>
      <c r="S11" s="218"/>
      <c r="T11" s="218"/>
      <c r="U11" s="218"/>
      <c r="W11" s="32"/>
      <c r="X11" s="32"/>
      <c r="Y11" s="32"/>
      <c r="Z11" s="32"/>
      <c r="AA11" s="32"/>
    </row>
    <row r="12" spans="2:27" x14ac:dyDescent="0.25">
      <c r="B12" s="7" t="s">
        <v>111</v>
      </c>
      <c r="Q12" s="218"/>
      <c r="R12" s="218"/>
      <c r="S12" s="218"/>
      <c r="T12" s="218"/>
      <c r="U12" s="218"/>
      <c r="W12" s="32"/>
      <c r="X12" s="32"/>
      <c r="Y12" s="32"/>
      <c r="Z12" s="32"/>
      <c r="AA12" s="32"/>
    </row>
    <row r="13" spans="2:27" x14ac:dyDescent="0.25">
      <c r="B13" s="7" t="s">
        <v>237</v>
      </c>
      <c r="Q13" s="218"/>
      <c r="R13" s="218"/>
      <c r="S13" s="218"/>
      <c r="T13" s="218"/>
      <c r="U13" s="218"/>
      <c r="W13" s="32"/>
      <c r="X13" s="32"/>
      <c r="Y13" s="32"/>
      <c r="Z13" s="32"/>
      <c r="AA13" s="32"/>
    </row>
    <row r="14" spans="2:27" x14ac:dyDescent="0.25">
      <c r="B14" s="7" t="s">
        <v>112</v>
      </c>
      <c r="Q14" s="218"/>
      <c r="R14" s="218"/>
      <c r="S14" s="218"/>
      <c r="T14" s="218"/>
      <c r="U14" s="218"/>
      <c r="W14" s="32"/>
      <c r="X14" s="32"/>
      <c r="Y14" s="32"/>
      <c r="Z14" s="32"/>
      <c r="AA14" s="32"/>
    </row>
    <row r="15" spans="2:27" x14ac:dyDescent="0.25">
      <c r="B15" s="7" t="s">
        <v>113</v>
      </c>
      <c r="Q15" s="218"/>
      <c r="R15" s="218"/>
      <c r="S15" s="218"/>
      <c r="T15" s="218"/>
      <c r="U15" s="218"/>
    </row>
    <row r="16" spans="2:27" x14ac:dyDescent="0.25">
      <c r="B16" s="7" t="s">
        <v>118</v>
      </c>
      <c r="Q16" s="218"/>
      <c r="R16" s="218"/>
      <c r="S16" s="218"/>
      <c r="T16" s="218"/>
      <c r="U16" s="218"/>
    </row>
    <row r="17" spans="2:21" x14ac:dyDescent="0.25">
      <c r="B17" s="7" t="s">
        <v>119</v>
      </c>
    </row>
    <row r="18" spans="2:21" ht="15" customHeight="1" x14ac:dyDescent="0.25">
      <c r="B18" s="7" t="s">
        <v>124</v>
      </c>
      <c r="Q18" s="218" t="s">
        <v>401</v>
      </c>
      <c r="R18" s="218"/>
      <c r="S18" s="218"/>
      <c r="T18" s="218"/>
      <c r="U18" s="218"/>
    </row>
    <row r="19" spans="2:21" x14ac:dyDescent="0.25">
      <c r="Q19" s="218"/>
      <c r="R19" s="218"/>
      <c r="S19" s="218"/>
      <c r="T19" s="218"/>
      <c r="U19" s="218"/>
    </row>
    <row r="20" spans="2:21" x14ac:dyDescent="0.25">
      <c r="B20" s="17" t="s">
        <v>150</v>
      </c>
      <c r="Q20" s="218"/>
      <c r="R20" s="218"/>
      <c r="S20" s="218"/>
      <c r="T20" s="218"/>
      <c r="U20" s="218"/>
    </row>
    <row r="21" spans="2:21" x14ac:dyDescent="0.25">
      <c r="B21" s="7" t="s">
        <v>151</v>
      </c>
      <c r="Q21" s="218"/>
      <c r="R21" s="218"/>
      <c r="S21" s="218"/>
      <c r="T21" s="218"/>
      <c r="U21" s="218"/>
    </row>
    <row r="22" spans="2:21" x14ac:dyDescent="0.25">
      <c r="B22" s="7" t="s">
        <v>952</v>
      </c>
      <c r="Q22" s="218"/>
      <c r="R22" s="218"/>
      <c r="S22" s="218"/>
      <c r="T22" s="218"/>
      <c r="U22" s="218"/>
    </row>
    <row r="23" spans="2:21" x14ac:dyDescent="0.25">
      <c r="Q23" s="218"/>
      <c r="R23" s="218"/>
      <c r="S23" s="218"/>
      <c r="T23" s="218"/>
      <c r="U23" s="218"/>
    </row>
    <row r="24" spans="2:21" x14ac:dyDescent="0.25">
      <c r="B24" s="17" t="s">
        <v>562</v>
      </c>
      <c r="Q24" s="32"/>
      <c r="R24" s="32"/>
      <c r="S24" s="32"/>
      <c r="T24" s="32"/>
      <c r="U24" s="32"/>
    </row>
    <row r="25" spans="2:21" x14ac:dyDescent="0.25">
      <c r="B25" s="7" t="s">
        <v>953</v>
      </c>
      <c r="Q25" s="32"/>
      <c r="R25" s="32"/>
      <c r="S25" s="32"/>
      <c r="T25" s="32"/>
      <c r="U25" s="32"/>
    </row>
  </sheetData>
  <mergeCells count="11">
    <mergeCell ref="W8:AA10"/>
    <mergeCell ref="B2:F3"/>
    <mergeCell ref="B4:F4"/>
    <mergeCell ref="K2:O3"/>
    <mergeCell ref="K4:L4"/>
    <mergeCell ref="W2:AA3"/>
    <mergeCell ref="Q18:U23"/>
    <mergeCell ref="Q7:U8"/>
    <mergeCell ref="Q10:U16"/>
    <mergeCell ref="Q2:U3"/>
    <mergeCell ref="Q4:U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017E6C-5B7F-4D3A-B606-56DE140CA124}">
  <dimension ref="A1:AH51"/>
  <sheetViews>
    <sheetView topLeftCell="A16" zoomScaleNormal="100" workbookViewId="0">
      <selection activeCell="X37" sqref="X37"/>
    </sheetView>
  </sheetViews>
  <sheetFormatPr defaultRowHeight="15" x14ac:dyDescent="0.25"/>
  <cols>
    <col min="1" max="1" width="2.7109375" style="1" customWidth="1"/>
    <col min="2" max="2" width="2.7109375" style="8" customWidth="1"/>
    <col min="3" max="3" width="9.85546875" style="1" customWidth="1"/>
    <col min="4" max="6" width="9.140625" style="1"/>
    <col min="7" max="7" width="2.7109375" style="8" customWidth="1"/>
    <col min="8" max="9" width="2.7109375" style="1" customWidth="1"/>
    <col min="10" max="11" width="9.140625" style="1"/>
    <col min="12" max="14" width="10.7109375" style="1" customWidth="1"/>
    <col min="15" max="17" width="2.7109375" style="1" customWidth="1"/>
    <col min="18" max="20" width="9.140625" style="1"/>
    <col min="21" max="21" width="2.7109375" style="15" customWidth="1"/>
    <col min="22" max="23" width="2.7109375" style="1" customWidth="1"/>
    <col min="24" max="25" width="9.140625" style="1"/>
    <col min="26" max="26" width="9.140625" style="1" customWidth="1"/>
    <col min="27" max="29" width="2.7109375" style="1" customWidth="1"/>
    <col min="30" max="33" width="9.140625" style="1"/>
    <col min="34" max="34" width="2.7109375" style="1" customWidth="1"/>
    <col min="35" max="16384" width="9.140625" style="1"/>
  </cols>
  <sheetData>
    <row r="1" spans="1:34" ht="15" customHeight="1" x14ac:dyDescent="0.25">
      <c r="A1" s="9"/>
      <c r="C1" s="7"/>
      <c r="D1" s="7"/>
      <c r="E1" s="7"/>
      <c r="F1" s="7"/>
    </row>
    <row r="2" spans="1:34" s="8" customFormat="1" ht="15" customHeight="1" x14ac:dyDescent="0.25">
      <c r="B2" s="10"/>
      <c r="C2" s="10"/>
      <c r="D2" s="10"/>
      <c r="E2" s="10"/>
      <c r="F2" s="10"/>
      <c r="G2" s="10"/>
      <c r="I2" s="10"/>
      <c r="J2" s="10"/>
      <c r="K2" s="10"/>
      <c r="L2" s="10"/>
      <c r="M2" s="10"/>
      <c r="N2" s="10"/>
      <c r="O2" s="10"/>
      <c r="Q2" s="10"/>
      <c r="R2" s="10"/>
      <c r="S2" s="10"/>
      <c r="T2" s="10"/>
      <c r="U2" s="10"/>
      <c r="W2" s="10"/>
      <c r="X2" s="10"/>
      <c r="Y2" s="10"/>
      <c r="Z2" s="10"/>
      <c r="AA2" s="10"/>
      <c r="AC2" s="10"/>
      <c r="AD2" s="10"/>
      <c r="AE2" s="10"/>
      <c r="AF2" s="10"/>
      <c r="AG2" s="10"/>
      <c r="AH2" s="10"/>
    </row>
    <row r="3" spans="1:34" x14ac:dyDescent="0.25">
      <c r="B3" s="10"/>
      <c r="C3" s="228" t="s">
        <v>187</v>
      </c>
      <c r="D3" s="228"/>
      <c r="E3" s="228"/>
      <c r="F3" s="228"/>
      <c r="G3" s="10"/>
      <c r="H3" s="6"/>
      <c r="I3" s="10"/>
      <c r="J3" s="228" t="s">
        <v>28</v>
      </c>
      <c r="K3" s="228"/>
      <c r="L3" s="228"/>
      <c r="M3" s="228"/>
      <c r="N3" s="228"/>
      <c r="O3" s="10"/>
      <c r="Q3" s="10"/>
      <c r="R3" s="228" t="s">
        <v>61</v>
      </c>
      <c r="S3" s="228"/>
      <c r="T3" s="228"/>
      <c r="U3" s="10"/>
      <c r="W3" s="10"/>
      <c r="X3" s="228" t="s">
        <v>99</v>
      </c>
      <c r="Y3" s="228"/>
      <c r="Z3" s="228"/>
      <c r="AA3" s="10"/>
      <c r="AC3" s="10"/>
      <c r="AD3" s="228" t="s">
        <v>120</v>
      </c>
      <c r="AE3" s="228"/>
      <c r="AF3" s="228"/>
      <c r="AG3" s="228"/>
      <c r="AH3" s="10"/>
    </row>
    <row r="4" spans="1:34" x14ac:dyDescent="0.25">
      <c r="B4" s="10"/>
      <c r="C4" s="228"/>
      <c r="D4" s="228"/>
      <c r="E4" s="228"/>
      <c r="F4" s="228"/>
      <c r="G4" s="10"/>
      <c r="H4" s="6"/>
      <c r="I4" s="10"/>
      <c r="J4" s="228"/>
      <c r="K4" s="228"/>
      <c r="L4" s="228"/>
      <c r="M4" s="228"/>
      <c r="N4" s="228"/>
      <c r="O4" s="10"/>
      <c r="Q4" s="10"/>
      <c r="R4" s="228"/>
      <c r="S4" s="228"/>
      <c r="T4" s="228"/>
      <c r="U4" s="10"/>
      <c r="W4" s="10"/>
      <c r="X4" s="228"/>
      <c r="Y4" s="228"/>
      <c r="Z4" s="228"/>
      <c r="AA4" s="10"/>
      <c r="AC4" s="10"/>
      <c r="AD4" s="228"/>
      <c r="AE4" s="228"/>
      <c r="AF4" s="228"/>
      <c r="AG4" s="228"/>
      <c r="AH4" s="10"/>
    </row>
    <row r="5" spans="1:34" x14ac:dyDescent="0.25">
      <c r="B5" s="10"/>
      <c r="C5" s="222" t="s">
        <v>50</v>
      </c>
      <c r="D5" s="223"/>
      <c r="E5" s="224" t="s">
        <v>284</v>
      </c>
      <c r="F5" s="224"/>
      <c r="G5" s="10"/>
      <c r="I5" s="10"/>
      <c r="J5" s="222" t="s">
        <v>48</v>
      </c>
      <c r="K5" s="223"/>
      <c r="L5" s="224" t="s">
        <v>490</v>
      </c>
      <c r="M5" s="224"/>
      <c r="N5" s="224"/>
      <c r="O5" s="10"/>
      <c r="Q5" s="10"/>
      <c r="R5" s="222" t="s">
        <v>62</v>
      </c>
      <c r="S5" s="223"/>
      <c r="T5" s="19">
        <v>0</v>
      </c>
      <c r="U5" s="10"/>
      <c r="W5" s="10"/>
      <c r="X5" s="222" t="s">
        <v>108</v>
      </c>
      <c r="Y5" s="223"/>
      <c r="Z5" s="19">
        <v>40</v>
      </c>
      <c r="AA5" s="10"/>
      <c r="AC5" s="10"/>
      <c r="AD5" s="222" t="s">
        <v>121</v>
      </c>
      <c r="AE5" s="223"/>
      <c r="AF5" s="234">
        <f ca="1">'Rotation Assembler'!B270</f>
        <v>279067.15284279198</v>
      </c>
      <c r="AG5" s="234"/>
      <c r="AH5" s="10"/>
    </row>
    <row r="6" spans="1:34" x14ac:dyDescent="0.25">
      <c r="B6" s="10"/>
      <c r="C6" s="222" t="s">
        <v>51</v>
      </c>
      <c r="D6" s="223"/>
      <c r="E6" s="224" t="s">
        <v>420</v>
      </c>
      <c r="F6" s="224"/>
      <c r="G6" s="10"/>
      <c r="I6" s="10"/>
      <c r="J6" s="222" t="s">
        <v>49</v>
      </c>
      <c r="K6" s="223"/>
      <c r="L6" s="224">
        <v>5</v>
      </c>
      <c r="M6" s="224"/>
      <c r="N6" s="224"/>
      <c r="O6" s="10"/>
      <c r="Q6" s="10"/>
      <c r="R6" s="222" t="s">
        <v>63</v>
      </c>
      <c r="S6" s="223"/>
      <c r="T6" s="19">
        <v>0</v>
      </c>
      <c r="U6" s="10"/>
      <c r="W6" s="10"/>
      <c r="X6" s="222" t="s">
        <v>784</v>
      </c>
      <c r="Y6" s="225"/>
      <c r="Z6" s="16"/>
      <c r="AA6" s="10"/>
      <c r="AC6" s="10"/>
      <c r="AD6" s="10"/>
      <c r="AE6" s="10"/>
      <c r="AF6" s="10"/>
      <c r="AG6" s="10"/>
      <c r="AH6" s="10"/>
    </row>
    <row r="7" spans="1:34" x14ac:dyDescent="0.25">
      <c r="B7" s="10"/>
      <c r="C7" s="222" t="s">
        <v>52</v>
      </c>
      <c r="D7" s="223"/>
      <c r="E7" s="224">
        <v>1</v>
      </c>
      <c r="F7" s="224"/>
      <c r="G7" s="10"/>
      <c r="I7" s="10"/>
      <c r="J7" s="222" t="s">
        <v>46</v>
      </c>
      <c r="K7" s="223"/>
      <c r="L7" s="224">
        <v>0</v>
      </c>
      <c r="M7" s="224"/>
      <c r="N7" s="224"/>
      <c r="O7" s="10"/>
      <c r="Q7" s="10"/>
      <c r="R7" s="222" t="s">
        <v>64</v>
      </c>
      <c r="S7" s="223"/>
      <c r="T7" s="19">
        <v>0</v>
      </c>
      <c r="U7" s="10"/>
      <c r="W7" s="10"/>
      <c r="X7" s="222" t="s">
        <v>102</v>
      </c>
      <c r="Y7" s="225"/>
      <c r="Z7" s="19" t="s">
        <v>435</v>
      </c>
      <c r="AA7" s="10"/>
      <c r="AC7" s="8"/>
      <c r="AD7" s="8"/>
      <c r="AE7" s="8"/>
      <c r="AF7" s="8"/>
      <c r="AG7" s="8"/>
      <c r="AH7" s="8"/>
    </row>
    <row r="8" spans="1:34" x14ac:dyDescent="0.25">
      <c r="B8" s="10"/>
      <c r="C8" s="222" t="s">
        <v>53</v>
      </c>
      <c r="D8" s="223"/>
      <c r="E8" s="224">
        <v>9</v>
      </c>
      <c r="F8" s="224"/>
      <c r="G8" s="10"/>
      <c r="I8" s="10"/>
      <c r="J8" s="222" t="s">
        <v>47</v>
      </c>
      <c r="K8" s="223"/>
      <c r="L8" s="233" t="b">
        <v>1</v>
      </c>
      <c r="M8" s="233"/>
      <c r="N8" s="233"/>
      <c r="O8" s="10"/>
      <c r="Q8" s="10"/>
      <c r="R8" s="222" t="s">
        <v>69</v>
      </c>
      <c r="S8" s="223"/>
      <c r="T8" s="19">
        <v>0</v>
      </c>
      <c r="U8" s="10"/>
      <c r="W8" s="10"/>
      <c r="X8" s="222" t="s">
        <v>100</v>
      </c>
      <c r="Y8" s="225"/>
      <c r="Z8" s="103">
        <v>2</v>
      </c>
      <c r="AA8" s="10"/>
      <c r="AC8" s="10"/>
      <c r="AD8" s="10"/>
      <c r="AE8" s="10"/>
      <c r="AF8" s="10"/>
      <c r="AG8" s="10"/>
      <c r="AH8" s="10"/>
    </row>
    <row r="9" spans="1:34" ht="15" customHeight="1" x14ac:dyDescent="0.25">
      <c r="B9" s="10"/>
      <c r="C9" s="222" t="s">
        <v>54</v>
      </c>
      <c r="D9" s="223"/>
      <c r="E9" s="224">
        <v>9</v>
      </c>
      <c r="F9" s="224"/>
      <c r="G9" s="10"/>
      <c r="I9" s="10"/>
      <c r="J9" s="13"/>
      <c r="K9" s="13"/>
      <c r="L9" s="13"/>
      <c r="M9" s="13"/>
      <c r="N9" s="13"/>
      <c r="O9" s="10"/>
      <c r="Q9" s="10"/>
      <c r="R9" s="222" t="s">
        <v>65</v>
      </c>
      <c r="S9" s="223"/>
      <c r="T9" s="82">
        <v>0.25</v>
      </c>
      <c r="U9" s="10"/>
      <c r="W9" s="10"/>
      <c r="X9" s="222" t="s">
        <v>103</v>
      </c>
      <c r="Y9" s="223"/>
      <c r="Z9" s="19">
        <v>2</v>
      </c>
      <c r="AA9" s="10"/>
      <c r="AC9" s="10"/>
      <c r="AD9" s="228" t="s">
        <v>785</v>
      </c>
      <c r="AE9" s="228"/>
      <c r="AF9" s="228"/>
      <c r="AG9" s="228"/>
      <c r="AH9" s="10"/>
    </row>
    <row r="10" spans="1:34" x14ac:dyDescent="0.25">
      <c r="B10" s="10"/>
      <c r="C10" s="10"/>
      <c r="D10" s="10"/>
      <c r="E10" s="10"/>
      <c r="F10" s="10"/>
      <c r="G10" s="10"/>
      <c r="I10" s="8"/>
      <c r="Q10" s="10"/>
      <c r="R10" s="222" t="s">
        <v>66</v>
      </c>
      <c r="S10" s="223"/>
      <c r="T10" s="82">
        <v>0</v>
      </c>
      <c r="U10" s="10"/>
      <c r="W10" s="10"/>
      <c r="X10" s="222" t="s">
        <v>104</v>
      </c>
      <c r="Y10" s="223"/>
      <c r="Z10" s="103">
        <v>1</v>
      </c>
      <c r="AA10" s="10"/>
      <c r="AC10" s="10"/>
      <c r="AD10" s="228"/>
      <c r="AE10" s="228"/>
      <c r="AF10" s="228"/>
      <c r="AG10" s="228"/>
      <c r="AH10" s="10"/>
    </row>
    <row r="11" spans="1:34" ht="14.25" customHeight="1" x14ac:dyDescent="0.25">
      <c r="C11" s="8"/>
      <c r="D11" s="8"/>
      <c r="E11" s="8"/>
      <c r="F11" s="8"/>
      <c r="I11" s="10"/>
      <c r="J11" s="10"/>
      <c r="K11" s="10"/>
      <c r="L11" s="10"/>
      <c r="M11" s="10"/>
      <c r="N11" s="10"/>
      <c r="O11" s="10"/>
      <c r="Q11" s="10"/>
      <c r="R11" s="222" t="s">
        <v>67</v>
      </c>
      <c r="S11" s="223"/>
      <c r="T11" s="82">
        <v>0</v>
      </c>
      <c r="U11" s="10"/>
      <c r="W11" s="10"/>
      <c r="X11" s="222" t="s">
        <v>105</v>
      </c>
      <c r="Y11" s="223"/>
      <c r="Z11" s="103">
        <v>2</v>
      </c>
      <c r="AA11" s="10"/>
      <c r="AC11" s="10"/>
      <c r="AD11" s="222" t="s">
        <v>754</v>
      </c>
      <c r="AE11" s="223"/>
      <c r="AF11" s="221">
        <f>char1FinalHP</f>
        <v>18478.28</v>
      </c>
      <c r="AG11" s="221"/>
      <c r="AH11" s="10"/>
    </row>
    <row r="12" spans="1:34" ht="15" customHeight="1" x14ac:dyDescent="0.25">
      <c r="B12" s="10"/>
      <c r="C12" s="10"/>
      <c r="D12" s="10"/>
      <c r="E12" s="10"/>
      <c r="F12" s="10"/>
      <c r="G12" s="10"/>
      <c r="I12" s="10"/>
      <c r="J12" s="228" t="s">
        <v>29</v>
      </c>
      <c r="K12" s="228"/>
      <c r="L12" s="228"/>
      <c r="M12" s="228"/>
      <c r="N12" s="228"/>
      <c r="O12" s="10"/>
      <c r="Q12" s="10"/>
      <c r="R12" s="222" t="s">
        <v>413</v>
      </c>
      <c r="S12" s="223"/>
      <c r="T12" s="82">
        <v>0</v>
      </c>
      <c r="U12" s="10"/>
      <c r="W12" s="10"/>
      <c r="X12" s="222" t="s">
        <v>106</v>
      </c>
      <c r="Y12" s="223"/>
      <c r="Z12" s="19">
        <v>500</v>
      </c>
      <c r="AA12" s="10"/>
      <c r="AC12" s="10"/>
      <c r="AD12" s="222" t="s">
        <v>753</v>
      </c>
      <c r="AE12" s="223"/>
      <c r="AF12" s="221">
        <f>char1FinalDEF</f>
        <v>864.37600000000009</v>
      </c>
      <c r="AG12" s="221"/>
      <c r="AH12" s="10"/>
    </row>
    <row r="13" spans="1:34" x14ac:dyDescent="0.25">
      <c r="B13" s="10"/>
      <c r="C13" s="228" t="s">
        <v>27</v>
      </c>
      <c r="D13" s="228"/>
      <c r="E13" s="228"/>
      <c r="F13" s="228"/>
      <c r="G13" s="10"/>
      <c r="I13" s="10"/>
      <c r="J13" s="228"/>
      <c r="K13" s="228"/>
      <c r="L13" s="228"/>
      <c r="M13" s="228"/>
      <c r="N13" s="228"/>
      <c r="O13" s="10"/>
      <c r="Q13" s="10"/>
      <c r="R13" s="222" t="s">
        <v>414</v>
      </c>
      <c r="S13" s="223"/>
      <c r="T13" s="82">
        <v>0</v>
      </c>
      <c r="U13" s="10"/>
      <c r="W13" s="10"/>
      <c r="X13" s="10"/>
      <c r="Y13" s="10"/>
      <c r="Z13" s="10"/>
      <c r="AA13" s="10"/>
      <c r="AC13" s="10"/>
      <c r="AD13" s="222" t="s">
        <v>752</v>
      </c>
      <c r="AE13" s="223"/>
      <c r="AF13" s="221">
        <f>char1FinalATK</f>
        <v>1839.8047999999999</v>
      </c>
      <c r="AG13" s="221"/>
      <c r="AH13" s="10"/>
    </row>
    <row r="14" spans="1:34" ht="15" customHeight="1" x14ac:dyDescent="0.25">
      <c r="B14" s="10"/>
      <c r="C14" s="228"/>
      <c r="D14" s="228"/>
      <c r="E14" s="228"/>
      <c r="F14" s="228"/>
      <c r="G14" s="10"/>
      <c r="I14" s="10"/>
      <c r="J14" s="222" t="s">
        <v>44</v>
      </c>
      <c r="K14" s="223"/>
      <c r="L14" s="224" t="s">
        <v>595</v>
      </c>
      <c r="M14" s="224"/>
      <c r="N14" s="224"/>
      <c r="O14" s="10"/>
      <c r="Q14" s="10"/>
      <c r="R14" s="222" t="s">
        <v>68</v>
      </c>
      <c r="S14" s="223"/>
      <c r="T14" s="82">
        <v>0</v>
      </c>
      <c r="U14" s="10"/>
      <c r="AC14" s="10"/>
      <c r="AD14" s="222" t="s">
        <v>786</v>
      </c>
      <c r="AE14" s="223"/>
      <c r="AF14" s="235">
        <f ca="1">char1FinalER</f>
        <v>2.0891999999999999</v>
      </c>
      <c r="AG14" s="235"/>
      <c r="AH14" s="10"/>
    </row>
    <row r="15" spans="1:34" x14ac:dyDescent="0.25">
      <c r="B15" s="10"/>
      <c r="C15" s="222" t="s">
        <v>20</v>
      </c>
      <c r="D15" s="225"/>
      <c r="E15" s="226" t="s">
        <v>762</v>
      </c>
      <c r="F15" s="227"/>
      <c r="G15" s="10"/>
      <c r="I15" s="10"/>
      <c r="J15" s="222" t="s">
        <v>45</v>
      </c>
      <c r="K15" s="223"/>
      <c r="L15" s="224" t="s">
        <v>621</v>
      </c>
      <c r="M15" s="224"/>
      <c r="N15" s="224"/>
      <c r="O15" s="10"/>
      <c r="Q15" s="10"/>
      <c r="R15" s="222" t="s">
        <v>82</v>
      </c>
      <c r="S15" s="223"/>
      <c r="T15" s="82">
        <v>0</v>
      </c>
      <c r="U15" s="10"/>
      <c r="W15" s="10"/>
      <c r="X15" s="10"/>
      <c r="Y15" s="10"/>
      <c r="Z15" s="10"/>
      <c r="AA15" s="10"/>
      <c r="AC15" s="10"/>
      <c r="AD15" s="222" t="s">
        <v>787</v>
      </c>
      <c r="AE15" s="223"/>
      <c r="AF15" s="221">
        <f>char1FinalEM</f>
        <v>39.64</v>
      </c>
      <c r="AG15" s="221"/>
      <c r="AH15" s="10"/>
    </row>
    <row r="16" spans="1:34" x14ac:dyDescent="0.25">
      <c r="B16" s="10"/>
      <c r="C16" s="222" t="s">
        <v>21</v>
      </c>
      <c r="D16" s="225"/>
      <c r="E16" s="226" t="s">
        <v>762</v>
      </c>
      <c r="F16" s="227"/>
      <c r="G16" s="10"/>
      <c r="I16" s="10"/>
      <c r="J16" s="222" t="s">
        <v>46</v>
      </c>
      <c r="K16" s="223"/>
      <c r="L16" s="224">
        <v>0</v>
      </c>
      <c r="M16" s="224"/>
      <c r="N16" s="224"/>
      <c r="O16" s="10"/>
      <c r="Q16" s="10"/>
      <c r="R16" s="222" t="s">
        <v>70</v>
      </c>
      <c r="S16" s="223"/>
      <c r="T16" s="82">
        <v>0</v>
      </c>
      <c r="U16" s="10"/>
      <c r="W16" s="10"/>
      <c r="X16" s="228" t="s">
        <v>107</v>
      </c>
      <c r="Y16" s="228"/>
      <c r="Z16" s="228"/>
      <c r="AA16" s="10"/>
      <c r="AC16" s="10"/>
      <c r="AD16" s="222" t="s">
        <v>788</v>
      </c>
      <c r="AE16" s="223"/>
      <c r="AF16" s="235">
        <f ca="1">char1FinalCR</f>
        <v>0.65890000000000004</v>
      </c>
      <c r="AG16" s="235"/>
      <c r="AH16" s="10"/>
    </row>
    <row r="17" spans="2:34" x14ac:dyDescent="0.25">
      <c r="B17" s="10"/>
      <c r="C17" s="222" t="s">
        <v>22</v>
      </c>
      <c r="D17" s="225"/>
      <c r="E17" s="226" t="s">
        <v>762</v>
      </c>
      <c r="F17" s="227"/>
      <c r="G17" s="10"/>
      <c r="I17" s="10"/>
      <c r="J17" s="222" t="s">
        <v>47</v>
      </c>
      <c r="K17" s="223"/>
      <c r="L17" s="233" t="b">
        <v>1</v>
      </c>
      <c r="M17" s="233"/>
      <c r="N17" s="233"/>
      <c r="O17" s="10"/>
      <c r="Q17" s="10"/>
      <c r="R17" s="222" t="s">
        <v>71</v>
      </c>
      <c r="S17" s="222"/>
      <c r="T17" s="82">
        <v>0</v>
      </c>
      <c r="U17" s="10"/>
      <c r="W17" s="10"/>
      <c r="X17" s="228"/>
      <c r="Y17" s="228"/>
      <c r="Z17" s="228"/>
      <c r="AA17" s="10"/>
      <c r="AC17" s="10"/>
      <c r="AD17" s="222" t="s">
        <v>789</v>
      </c>
      <c r="AE17" s="223"/>
      <c r="AF17" s="235">
        <f ca="1">char1FinalCDMG</f>
        <v>1.4929999999999999</v>
      </c>
      <c r="AG17" s="235"/>
      <c r="AH17" s="10"/>
    </row>
    <row r="18" spans="2:34" x14ac:dyDescent="0.25">
      <c r="B18" s="10"/>
      <c r="C18" s="222" t="s">
        <v>19</v>
      </c>
      <c r="D18" s="225"/>
      <c r="E18" s="226" t="s">
        <v>762</v>
      </c>
      <c r="F18" s="227"/>
      <c r="G18" s="10"/>
      <c r="I18" s="10"/>
      <c r="J18" s="10"/>
      <c r="K18" s="10"/>
      <c r="L18" s="10"/>
      <c r="M18" s="10"/>
      <c r="N18" s="10"/>
      <c r="O18" s="10"/>
      <c r="Q18" s="10"/>
      <c r="R18" s="222" t="s">
        <v>72</v>
      </c>
      <c r="S18" s="222"/>
      <c r="T18" s="82">
        <v>0</v>
      </c>
      <c r="U18" s="10"/>
      <c r="W18" s="10"/>
      <c r="X18" s="222" t="s">
        <v>101</v>
      </c>
      <c r="Y18" s="223"/>
      <c r="Z18" s="19">
        <f>SUM(Z19:Z28)</f>
        <v>40</v>
      </c>
      <c r="AA18" s="10"/>
      <c r="AC18" s="10"/>
      <c r="AD18" s="222" t="s">
        <v>82</v>
      </c>
      <c r="AE18" s="222"/>
      <c r="AF18" s="235">
        <f>char1FinalDMGPercent</f>
        <v>0</v>
      </c>
      <c r="AG18" s="235"/>
      <c r="AH18" s="10"/>
    </row>
    <row r="19" spans="2:34" x14ac:dyDescent="0.25">
      <c r="B19" s="10"/>
      <c r="C19" s="222" t="s">
        <v>23</v>
      </c>
      <c r="D19" s="225"/>
      <c r="E19" s="226" t="s">
        <v>762</v>
      </c>
      <c r="F19" s="227"/>
      <c r="G19" s="10"/>
      <c r="I19" s="8"/>
      <c r="J19" s="221"/>
      <c r="K19" s="231"/>
      <c r="O19" s="8"/>
      <c r="Q19" s="10"/>
      <c r="R19" s="222" t="s">
        <v>73</v>
      </c>
      <c r="S19" s="222"/>
      <c r="T19" s="82">
        <v>0</v>
      </c>
      <c r="U19" s="10"/>
      <c r="W19" s="10"/>
      <c r="X19" s="222" t="s">
        <v>62</v>
      </c>
      <c r="Y19" s="223"/>
      <c r="Z19" s="19">
        <v>2</v>
      </c>
      <c r="AA19" s="10"/>
      <c r="AC19" s="10"/>
      <c r="AD19" s="222" t="s">
        <v>70</v>
      </c>
      <c r="AE19" s="222"/>
      <c r="AF19" s="235">
        <f>char1FinalPhysDMG</f>
        <v>0</v>
      </c>
      <c r="AG19" s="235"/>
      <c r="AH19" s="10"/>
    </row>
    <row r="20" spans="2:34" x14ac:dyDescent="0.25">
      <c r="B20" s="10"/>
      <c r="C20" s="222" t="s">
        <v>668</v>
      </c>
      <c r="D20" s="225"/>
      <c r="E20" s="226" t="s">
        <v>19</v>
      </c>
      <c r="F20" s="227"/>
      <c r="G20" s="10"/>
      <c r="I20" s="10"/>
      <c r="J20" s="10"/>
      <c r="K20" s="10"/>
      <c r="L20" s="10"/>
      <c r="M20" s="10"/>
      <c r="N20" s="10"/>
      <c r="O20" s="10"/>
      <c r="Q20" s="10"/>
      <c r="R20" s="222" t="s">
        <v>74</v>
      </c>
      <c r="S20" s="222"/>
      <c r="T20" s="82">
        <v>0</v>
      </c>
      <c r="U20" s="10"/>
      <c r="W20" s="10"/>
      <c r="X20" s="222" t="s">
        <v>63</v>
      </c>
      <c r="Y20" s="223"/>
      <c r="Z20" s="19">
        <v>2</v>
      </c>
      <c r="AA20" s="10"/>
      <c r="AC20" s="10"/>
      <c r="AD20" s="222" t="s">
        <v>71</v>
      </c>
      <c r="AE20" s="222"/>
      <c r="AF20" s="235">
        <f>char1FinalAnemoDMG</f>
        <v>0</v>
      </c>
      <c r="AG20" s="235"/>
      <c r="AH20" s="10"/>
    </row>
    <row r="21" spans="2:34" x14ac:dyDescent="0.25">
      <c r="B21" s="10"/>
      <c r="C21" s="222" t="s">
        <v>0</v>
      </c>
      <c r="D21" s="225"/>
      <c r="E21" s="226" t="s">
        <v>762</v>
      </c>
      <c r="F21" s="227"/>
      <c r="G21" s="10"/>
      <c r="I21" s="10"/>
      <c r="J21" s="228" t="s">
        <v>30</v>
      </c>
      <c r="K21" s="228"/>
      <c r="L21" s="228"/>
      <c r="M21" s="228"/>
      <c r="N21" s="228"/>
      <c r="O21" s="10"/>
      <c r="Q21" s="10"/>
      <c r="R21" s="222" t="s">
        <v>75</v>
      </c>
      <c r="S21" s="222"/>
      <c r="T21" s="82">
        <v>0</v>
      </c>
      <c r="U21" s="10"/>
      <c r="W21" s="10"/>
      <c r="X21" s="222" t="s">
        <v>64</v>
      </c>
      <c r="Y21" s="223"/>
      <c r="Z21" s="19">
        <v>2</v>
      </c>
      <c r="AA21" s="10"/>
      <c r="AC21" s="10"/>
      <c r="AD21" s="222" t="s">
        <v>72</v>
      </c>
      <c r="AE21" s="222"/>
      <c r="AF21" s="235">
        <f>char1FinalGeoDMG</f>
        <v>0</v>
      </c>
      <c r="AG21" s="235"/>
      <c r="AH21" s="10"/>
    </row>
    <row r="22" spans="2:34" x14ac:dyDescent="0.25">
      <c r="B22" s="10"/>
      <c r="C22" s="222" t="s">
        <v>24</v>
      </c>
      <c r="D22" s="225"/>
      <c r="E22" s="226" t="s">
        <v>762</v>
      </c>
      <c r="F22" s="227"/>
      <c r="G22" s="10"/>
      <c r="I22" s="10"/>
      <c r="J22" s="228"/>
      <c r="K22" s="228"/>
      <c r="L22" s="228"/>
      <c r="M22" s="228"/>
      <c r="N22" s="228"/>
      <c r="O22" s="10"/>
      <c r="Q22" s="10"/>
      <c r="R22" s="222" t="s">
        <v>76</v>
      </c>
      <c r="S22" s="222"/>
      <c r="T22" s="82">
        <f ca="1">0.4*(char1FinalER-100%)</f>
        <v>0.43568000000000001</v>
      </c>
      <c r="U22" s="10"/>
      <c r="W22" s="10"/>
      <c r="X22" s="222" t="s">
        <v>65</v>
      </c>
      <c r="Y22" s="223"/>
      <c r="Z22" s="19">
        <v>2</v>
      </c>
      <c r="AA22" s="10"/>
      <c r="AC22" s="10"/>
      <c r="AD22" s="222" t="s">
        <v>73</v>
      </c>
      <c r="AE22" s="222"/>
      <c r="AF22" s="235">
        <f>char1FinalPyroDMG</f>
        <v>0</v>
      </c>
      <c r="AG22" s="235"/>
      <c r="AH22" s="10"/>
    </row>
    <row r="23" spans="2:34" x14ac:dyDescent="0.25">
      <c r="B23" s="10"/>
      <c r="C23" s="222" t="s">
        <v>669</v>
      </c>
      <c r="D23" s="225"/>
      <c r="E23" s="226" t="s">
        <v>0</v>
      </c>
      <c r="F23" s="227"/>
      <c r="G23" s="10"/>
      <c r="I23" s="10"/>
      <c r="J23" s="222" t="s">
        <v>31</v>
      </c>
      <c r="K23" s="223"/>
      <c r="L23" s="224">
        <v>20</v>
      </c>
      <c r="M23" s="224"/>
      <c r="N23" s="224"/>
      <c r="O23" s="10"/>
      <c r="Q23" s="10"/>
      <c r="R23" s="222" t="s">
        <v>77</v>
      </c>
      <c r="S23" s="222"/>
      <c r="T23" s="82">
        <v>0</v>
      </c>
      <c r="U23" s="10"/>
      <c r="W23" s="10"/>
      <c r="X23" s="222" t="s">
        <v>66</v>
      </c>
      <c r="Y23" s="223"/>
      <c r="Z23" s="19">
        <v>2</v>
      </c>
      <c r="AA23" s="10"/>
      <c r="AC23" s="10"/>
      <c r="AD23" s="222" t="s">
        <v>74</v>
      </c>
      <c r="AE23" s="222"/>
      <c r="AF23" s="235">
        <f>char1FinalCryoDMG</f>
        <v>0</v>
      </c>
      <c r="AG23" s="235"/>
      <c r="AH23" s="10"/>
    </row>
    <row r="24" spans="2:34" x14ac:dyDescent="0.25">
      <c r="B24" s="10"/>
      <c r="C24" s="10"/>
      <c r="D24" s="10"/>
      <c r="E24" s="10"/>
      <c r="F24" s="10"/>
      <c r="G24" s="10"/>
      <c r="I24" s="10"/>
      <c r="J24" s="222" t="s">
        <v>32</v>
      </c>
      <c r="K24" s="223"/>
      <c r="L24" s="224" t="s">
        <v>800</v>
      </c>
      <c r="M24" s="224"/>
      <c r="N24" s="224"/>
      <c r="O24" s="10"/>
      <c r="Q24" s="10"/>
      <c r="R24" s="222" t="s">
        <v>78</v>
      </c>
      <c r="S24" s="222"/>
      <c r="T24" s="82">
        <v>0</v>
      </c>
      <c r="U24" s="10"/>
      <c r="W24" s="10"/>
      <c r="X24" s="222" t="s">
        <v>67</v>
      </c>
      <c r="Y24" s="223"/>
      <c r="Z24" s="19">
        <v>2</v>
      </c>
      <c r="AA24" s="10"/>
      <c r="AC24" s="10"/>
      <c r="AD24" s="222" t="s">
        <v>75</v>
      </c>
      <c r="AE24" s="222"/>
      <c r="AF24" s="235">
        <f>char1FinalHydroDMG</f>
        <v>0</v>
      </c>
      <c r="AG24" s="235"/>
      <c r="AH24" s="10"/>
    </row>
    <row r="25" spans="2:34" x14ac:dyDescent="0.25">
      <c r="I25" s="10"/>
      <c r="J25" s="222" t="s">
        <v>33</v>
      </c>
      <c r="K25" s="223"/>
      <c r="L25" s="224">
        <v>20</v>
      </c>
      <c r="M25" s="224"/>
      <c r="N25" s="224"/>
      <c r="O25" s="10"/>
      <c r="Q25" s="10"/>
      <c r="R25" s="222" t="s">
        <v>79</v>
      </c>
      <c r="S25" s="222"/>
      <c r="T25" s="82">
        <v>0</v>
      </c>
      <c r="U25" s="10"/>
      <c r="W25" s="10"/>
      <c r="X25" s="222" t="s">
        <v>413</v>
      </c>
      <c r="Y25" s="223"/>
      <c r="Z25" s="19">
        <v>9</v>
      </c>
      <c r="AA25" s="10"/>
      <c r="AC25" s="10"/>
      <c r="AD25" s="222" t="s">
        <v>76</v>
      </c>
      <c r="AE25" s="222"/>
      <c r="AF25" s="235">
        <f ca="1">char1FinalElectroDMG</f>
        <v>0.90168000000000004</v>
      </c>
      <c r="AG25" s="235"/>
      <c r="AH25" s="10"/>
    </row>
    <row r="26" spans="2:34" x14ac:dyDescent="0.25">
      <c r="B26" s="10"/>
      <c r="C26" s="10"/>
      <c r="D26" s="10"/>
      <c r="E26" s="10"/>
      <c r="F26" s="10"/>
      <c r="G26" s="10"/>
      <c r="I26" s="10"/>
      <c r="J26" s="222" t="s">
        <v>34</v>
      </c>
      <c r="K26" s="223"/>
      <c r="L26" s="224" t="s">
        <v>800</v>
      </c>
      <c r="M26" s="224"/>
      <c r="N26" s="224"/>
      <c r="O26" s="10"/>
      <c r="Q26" s="10"/>
      <c r="R26" s="222" t="s">
        <v>80</v>
      </c>
      <c r="S26" s="222"/>
      <c r="T26" s="82">
        <v>0</v>
      </c>
      <c r="U26" s="10"/>
      <c r="W26" s="10"/>
      <c r="X26" s="222" t="s">
        <v>414</v>
      </c>
      <c r="Y26" s="223"/>
      <c r="Z26" s="19">
        <v>15</v>
      </c>
      <c r="AA26" s="10"/>
      <c r="AC26" s="10"/>
      <c r="AD26" s="222" t="s">
        <v>77</v>
      </c>
      <c r="AE26" s="222"/>
      <c r="AF26" s="235">
        <f>char1FinalNormalDMG</f>
        <v>0</v>
      </c>
      <c r="AG26" s="235"/>
      <c r="AH26" s="10"/>
    </row>
    <row r="27" spans="2:34" x14ac:dyDescent="0.25">
      <c r="B27" s="10"/>
      <c r="C27" s="228" t="s">
        <v>700</v>
      </c>
      <c r="D27" s="228"/>
      <c r="E27" s="228"/>
      <c r="F27" s="228"/>
      <c r="G27" s="10"/>
      <c r="I27" s="10"/>
      <c r="J27" s="222" t="s">
        <v>35</v>
      </c>
      <c r="K27" s="223"/>
      <c r="L27" s="224">
        <v>20</v>
      </c>
      <c r="M27" s="224"/>
      <c r="N27" s="224"/>
      <c r="O27" s="10"/>
      <c r="Q27" s="10"/>
      <c r="R27" s="222" t="s">
        <v>81</v>
      </c>
      <c r="S27" s="222"/>
      <c r="T27" s="82">
        <f>0.3%*90</f>
        <v>0.27</v>
      </c>
      <c r="U27" s="10"/>
      <c r="W27" s="10"/>
      <c r="X27" s="222" t="s">
        <v>68</v>
      </c>
      <c r="Y27" s="223"/>
      <c r="Z27" s="19">
        <v>2</v>
      </c>
      <c r="AA27" s="10"/>
      <c r="AC27" s="10"/>
      <c r="AD27" s="222" t="s">
        <v>78</v>
      </c>
      <c r="AE27" s="222"/>
      <c r="AF27" s="235">
        <f>char1FinalChargedDMG</f>
        <v>0</v>
      </c>
      <c r="AG27" s="235"/>
      <c r="AH27" s="10"/>
    </row>
    <row r="28" spans="2:34" x14ac:dyDescent="0.25">
      <c r="B28" s="10"/>
      <c r="C28" s="228"/>
      <c r="D28" s="228"/>
      <c r="E28" s="228"/>
      <c r="F28" s="228"/>
      <c r="G28" s="10"/>
      <c r="I28" s="10"/>
      <c r="J28" s="222" t="s">
        <v>36</v>
      </c>
      <c r="K28" s="223"/>
      <c r="L28" s="224" t="s">
        <v>973</v>
      </c>
      <c r="M28" s="224"/>
      <c r="N28" s="224"/>
      <c r="O28" s="10"/>
      <c r="Q28" s="10"/>
      <c r="R28" s="222" t="s">
        <v>83</v>
      </c>
      <c r="S28" s="222"/>
      <c r="T28" s="82">
        <v>0</v>
      </c>
      <c r="U28" s="10"/>
      <c r="W28" s="10"/>
      <c r="X28" s="222" t="s">
        <v>69</v>
      </c>
      <c r="Y28" s="223"/>
      <c r="Z28" s="19">
        <v>2</v>
      </c>
      <c r="AA28" s="10"/>
      <c r="AC28" s="10"/>
      <c r="AD28" s="222" t="s">
        <v>79</v>
      </c>
      <c r="AE28" s="222"/>
      <c r="AF28" s="235">
        <f>char1FinalPlungingDMG</f>
        <v>0</v>
      </c>
      <c r="AG28" s="235"/>
      <c r="AH28" s="10"/>
    </row>
    <row r="29" spans="2:34" x14ac:dyDescent="0.25">
      <c r="B29" s="10"/>
      <c r="C29" s="222" t="s">
        <v>25</v>
      </c>
      <c r="D29" s="225"/>
      <c r="E29" s="226">
        <v>90</v>
      </c>
      <c r="F29" s="227"/>
      <c r="G29" s="10"/>
      <c r="I29" s="10"/>
      <c r="J29" s="222" t="s">
        <v>37</v>
      </c>
      <c r="K29" s="223"/>
      <c r="L29" s="224" t="s">
        <v>800</v>
      </c>
      <c r="M29" s="224"/>
      <c r="N29" s="224"/>
      <c r="O29" s="10"/>
      <c r="Q29" s="10"/>
      <c r="R29" s="222" t="s">
        <v>84</v>
      </c>
      <c r="S29" s="223"/>
      <c r="T29" s="82">
        <v>0</v>
      </c>
      <c r="U29" s="10"/>
      <c r="W29" s="10"/>
      <c r="X29" s="10"/>
      <c r="Y29" s="10"/>
      <c r="Z29" s="10"/>
      <c r="AA29" s="10"/>
      <c r="AC29" s="10"/>
      <c r="AD29" s="222" t="s">
        <v>80</v>
      </c>
      <c r="AE29" s="222"/>
      <c r="AF29" s="235">
        <f>char1FinalSkillDMG</f>
        <v>0</v>
      </c>
      <c r="AG29" s="235"/>
      <c r="AH29" s="10"/>
    </row>
    <row r="30" spans="2:34" x14ac:dyDescent="0.25">
      <c r="B30" s="10"/>
      <c r="C30" s="222" t="s">
        <v>26</v>
      </c>
      <c r="D30" s="225"/>
      <c r="E30" s="229">
        <v>0.1</v>
      </c>
      <c r="F30" s="230"/>
      <c r="G30" s="10"/>
      <c r="I30" s="10"/>
      <c r="J30" s="222" t="s">
        <v>38</v>
      </c>
      <c r="K30" s="223"/>
      <c r="L30" s="224">
        <v>20</v>
      </c>
      <c r="M30" s="224"/>
      <c r="N30" s="224"/>
      <c r="O30" s="10"/>
      <c r="Q30" s="10"/>
      <c r="R30" s="222" t="s">
        <v>85</v>
      </c>
      <c r="S30" s="223"/>
      <c r="T30" s="82">
        <v>0</v>
      </c>
      <c r="U30" s="10"/>
      <c r="AC30" s="10"/>
      <c r="AD30" s="222" t="s">
        <v>81</v>
      </c>
      <c r="AE30" s="222"/>
      <c r="AF30" s="235">
        <f ca="1">char1FinalBurstDMG</f>
        <v>1.1123000000000001</v>
      </c>
      <c r="AG30" s="235"/>
      <c r="AH30" s="10"/>
    </row>
    <row r="31" spans="2:34" x14ac:dyDescent="0.25">
      <c r="B31" s="10"/>
      <c r="C31" s="222" t="s">
        <v>55</v>
      </c>
      <c r="D31" s="225"/>
      <c r="E31" s="229">
        <v>0.1</v>
      </c>
      <c r="F31" s="230"/>
      <c r="G31" s="10"/>
      <c r="I31" s="10"/>
      <c r="J31" s="222" t="s">
        <v>39</v>
      </c>
      <c r="K31" s="223"/>
      <c r="L31" s="224" t="s">
        <v>76</v>
      </c>
      <c r="M31" s="224"/>
      <c r="N31" s="224"/>
      <c r="O31" s="10"/>
      <c r="Q31" s="10"/>
      <c r="R31" s="222" t="s">
        <v>86</v>
      </c>
      <c r="S31" s="223"/>
      <c r="T31" s="82">
        <v>0</v>
      </c>
      <c r="U31" s="10"/>
      <c r="AC31" s="10"/>
      <c r="AD31" s="10"/>
      <c r="AE31" s="10"/>
      <c r="AF31" s="10"/>
      <c r="AG31" s="10"/>
      <c r="AH31" s="10"/>
    </row>
    <row r="32" spans="2:34" x14ac:dyDescent="0.25">
      <c r="B32" s="10"/>
      <c r="C32" s="222" t="s">
        <v>56</v>
      </c>
      <c r="D32" s="225"/>
      <c r="E32" s="229">
        <v>0.1</v>
      </c>
      <c r="F32" s="230"/>
      <c r="G32" s="10"/>
      <c r="I32" s="10"/>
      <c r="J32" s="222" t="s">
        <v>40</v>
      </c>
      <c r="K32" s="223"/>
      <c r="L32" s="224" t="s">
        <v>800</v>
      </c>
      <c r="M32" s="224"/>
      <c r="N32" s="224"/>
      <c r="O32" s="10"/>
      <c r="Q32" s="10"/>
      <c r="R32" s="222" t="s">
        <v>87</v>
      </c>
      <c r="S32" s="223"/>
      <c r="T32" s="82">
        <v>0</v>
      </c>
      <c r="U32" s="10"/>
      <c r="AC32" s="8"/>
      <c r="AD32" s="8"/>
      <c r="AE32" s="8"/>
      <c r="AF32" s="8"/>
      <c r="AG32" s="8"/>
      <c r="AH32" s="8"/>
    </row>
    <row r="33" spans="2:21" x14ac:dyDescent="0.25">
      <c r="B33" s="10"/>
      <c r="C33" s="222" t="s">
        <v>57</v>
      </c>
      <c r="D33" s="225"/>
      <c r="E33" s="229">
        <v>0.1</v>
      </c>
      <c r="F33" s="230"/>
      <c r="G33" s="10"/>
      <c r="I33" s="10"/>
      <c r="J33" s="222" t="s">
        <v>41</v>
      </c>
      <c r="K33" s="223"/>
      <c r="L33" s="224">
        <v>20</v>
      </c>
      <c r="M33" s="224"/>
      <c r="N33" s="224"/>
      <c r="O33" s="10"/>
      <c r="Q33" s="10"/>
      <c r="R33" s="222" t="s">
        <v>90</v>
      </c>
      <c r="S33" s="223"/>
      <c r="T33" s="82">
        <v>0</v>
      </c>
      <c r="U33" s="10"/>
    </row>
    <row r="34" spans="2:21" x14ac:dyDescent="0.25">
      <c r="B34" s="10"/>
      <c r="C34" s="222" t="s">
        <v>58</v>
      </c>
      <c r="D34" s="225"/>
      <c r="E34" s="229">
        <v>0.1</v>
      </c>
      <c r="F34" s="230"/>
      <c r="G34" s="10"/>
      <c r="I34" s="10"/>
      <c r="J34" s="222" t="s">
        <v>42</v>
      </c>
      <c r="K34" s="223"/>
      <c r="L34" s="224" t="s">
        <v>413</v>
      </c>
      <c r="M34" s="224"/>
      <c r="N34" s="224"/>
      <c r="O34" s="10"/>
      <c r="Q34" s="10"/>
      <c r="R34" s="222" t="s">
        <v>88</v>
      </c>
      <c r="S34" s="223"/>
      <c r="T34" s="82">
        <v>0</v>
      </c>
      <c r="U34" s="10"/>
    </row>
    <row r="35" spans="2:21" x14ac:dyDescent="0.25">
      <c r="B35" s="10"/>
      <c r="C35" s="222" t="s">
        <v>59</v>
      </c>
      <c r="D35" s="225"/>
      <c r="E35" s="229">
        <v>0.1</v>
      </c>
      <c r="F35" s="230"/>
      <c r="G35" s="10"/>
      <c r="I35" s="10"/>
      <c r="J35" s="222" t="s">
        <v>43</v>
      </c>
      <c r="K35" s="223"/>
      <c r="L35" s="224" t="s">
        <v>795</v>
      </c>
      <c r="M35" s="224"/>
      <c r="N35" s="224"/>
      <c r="O35" s="10"/>
      <c r="Q35" s="10"/>
      <c r="R35" s="222" t="s">
        <v>89</v>
      </c>
      <c r="S35" s="223"/>
      <c r="T35" s="82">
        <v>0</v>
      </c>
      <c r="U35" s="10"/>
    </row>
    <row r="36" spans="2:21" ht="15" customHeight="1" x14ac:dyDescent="0.25">
      <c r="B36" s="10"/>
      <c r="C36" s="222" t="s">
        <v>60</v>
      </c>
      <c r="D36" s="225"/>
      <c r="E36" s="229">
        <v>0.1</v>
      </c>
      <c r="F36" s="230"/>
      <c r="G36" s="10"/>
      <c r="I36" s="10"/>
      <c r="J36" s="10"/>
      <c r="K36" s="10"/>
      <c r="L36" s="10"/>
      <c r="M36" s="10"/>
      <c r="N36" s="10"/>
      <c r="O36" s="10"/>
      <c r="Q36" s="10"/>
      <c r="R36" s="222" t="s">
        <v>91</v>
      </c>
      <c r="S36" s="223"/>
      <c r="T36" s="82">
        <v>0</v>
      </c>
      <c r="U36" s="10"/>
    </row>
    <row r="37" spans="2:21" x14ac:dyDescent="0.25">
      <c r="B37" s="10"/>
      <c r="C37" s="222" t="s">
        <v>659</v>
      </c>
      <c r="D37" s="225"/>
      <c r="E37" s="229">
        <v>0.1</v>
      </c>
      <c r="F37" s="230"/>
      <c r="G37" s="10"/>
      <c r="Q37" s="10"/>
      <c r="R37" s="222" t="s">
        <v>458</v>
      </c>
      <c r="S37" s="223"/>
      <c r="T37" s="82">
        <v>0</v>
      </c>
      <c r="U37" s="10"/>
    </row>
    <row r="38" spans="2:21" ht="15" customHeight="1" x14ac:dyDescent="0.25">
      <c r="B38" s="10"/>
      <c r="C38" s="11"/>
      <c r="D38" s="11"/>
      <c r="E38" s="12"/>
      <c r="F38" s="12"/>
      <c r="G38" s="10"/>
      <c r="Q38" s="10"/>
      <c r="R38" s="222" t="s">
        <v>93</v>
      </c>
      <c r="S38" s="223"/>
      <c r="T38" s="82">
        <v>0</v>
      </c>
      <c r="U38" s="10"/>
    </row>
    <row r="39" spans="2:21" ht="15" customHeight="1" x14ac:dyDescent="0.25">
      <c r="Q39" s="10"/>
      <c r="R39" s="222" t="s">
        <v>427</v>
      </c>
      <c r="S39" s="223"/>
      <c r="T39" s="82">
        <v>0</v>
      </c>
      <c r="U39" s="10"/>
    </row>
    <row r="40" spans="2:21" ht="15" customHeight="1" x14ac:dyDescent="0.25">
      <c r="Q40" s="10"/>
      <c r="R40" s="222" t="s">
        <v>457</v>
      </c>
      <c r="S40" s="223"/>
      <c r="T40" s="82">
        <v>0</v>
      </c>
      <c r="U40" s="10"/>
    </row>
    <row r="41" spans="2:21" x14ac:dyDescent="0.25">
      <c r="C41" s="231"/>
      <c r="D41" s="231"/>
      <c r="E41" s="232"/>
      <c r="F41" s="232"/>
      <c r="Q41" s="10"/>
      <c r="R41" s="222" t="s">
        <v>92</v>
      </c>
      <c r="S41" s="223"/>
      <c r="T41" s="82">
        <v>0</v>
      </c>
      <c r="U41" s="10"/>
    </row>
    <row r="42" spans="2:21" x14ac:dyDescent="0.25">
      <c r="D42" s="8"/>
      <c r="Q42" s="10"/>
      <c r="R42" s="222" t="s">
        <v>94</v>
      </c>
      <c r="S42" s="223"/>
      <c r="T42" s="82">
        <v>0</v>
      </c>
      <c r="U42" s="10"/>
    </row>
    <row r="43" spans="2:21" x14ac:dyDescent="0.25">
      <c r="Q43" s="10"/>
      <c r="R43" s="222" t="s">
        <v>95</v>
      </c>
      <c r="S43" s="223"/>
      <c r="T43" s="82">
        <v>0</v>
      </c>
      <c r="U43" s="10"/>
    </row>
    <row r="44" spans="2:21" x14ac:dyDescent="0.25">
      <c r="Q44" s="10"/>
      <c r="R44" s="222" t="s">
        <v>96</v>
      </c>
      <c r="S44" s="223"/>
      <c r="T44" s="82">
        <v>0</v>
      </c>
      <c r="U44" s="10"/>
    </row>
    <row r="45" spans="2:21" x14ac:dyDescent="0.25">
      <c r="Q45" s="10"/>
      <c r="R45" s="222" t="s">
        <v>97</v>
      </c>
      <c r="S45" s="223"/>
      <c r="T45" s="82">
        <v>0</v>
      </c>
      <c r="U45" s="10"/>
    </row>
    <row r="46" spans="2:21" x14ac:dyDescent="0.25">
      <c r="Q46" s="10"/>
      <c r="R46" s="222" t="s">
        <v>98</v>
      </c>
      <c r="S46" s="223"/>
      <c r="T46" s="82">
        <v>0</v>
      </c>
      <c r="U46" s="10"/>
    </row>
    <row r="47" spans="2:21" x14ac:dyDescent="0.25">
      <c r="Q47" s="10"/>
      <c r="R47" s="222" t="s">
        <v>424</v>
      </c>
      <c r="S47" s="223"/>
      <c r="T47" s="82">
        <v>0</v>
      </c>
      <c r="U47" s="10"/>
    </row>
    <row r="48" spans="2:21" x14ac:dyDescent="0.25">
      <c r="Q48" s="10"/>
      <c r="R48" s="222" t="s">
        <v>425</v>
      </c>
      <c r="S48" s="223"/>
      <c r="T48" s="82">
        <v>0</v>
      </c>
      <c r="U48" s="10"/>
    </row>
    <row r="49" spans="17:21" x14ac:dyDescent="0.25">
      <c r="Q49" s="10"/>
      <c r="R49" s="222" t="s">
        <v>438</v>
      </c>
      <c r="S49" s="223"/>
      <c r="T49" s="82">
        <v>0</v>
      </c>
      <c r="U49" s="10"/>
    </row>
    <row r="50" spans="17:21" x14ac:dyDescent="0.25">
      <c r="Q50" s="10"/>
      <c r="R50" s="222" t="s">
        <v>426</v>
      </c>
      <c r="S50" s="223"/>
      <c r="T50" s="82">
        <v>0</v>
      </c>
      <c r="U50" s="10"/>
    </row>
    <row r="51" spans="17:21" x14ac:dyDescent="0.25">
      <c r="Q51" s="10"/>
      <c r="R51" s="10"/>
      <c r="S51" s="10"/>
      <c r="T51" s="10"/>
      <c r="U51" s="10"/>
    </row>
  </sheetData>
  <mergeCells count="209">
    <mergeCell ref="AD9:AG10"/>
    <mergeCell ref="AF11:AG11"/>
    <mergeCell ref="AF12:AG12"/>
    <mergeCell ref="AF13:AG13"/>
    <mergeCell ref="AF14:AG14"/>
    <mergeCell ref="AF15:AG15"/>
    <mergeCell ref="AF16:AG16"/>
    <mergeCell ref="AF17:AG17"/>
    <mergeCell ref="AF18:AG18"/>
    <mergeCell ref="AD13:AE13"/>
    <mergeCell ref="AD14:AE14"/>
    <mergeCell ref="AD15:AE15"/>
    <mergeCell ref="AD16:AE16"/>
    <mergeCell ref="AD17:AE17"/>
    <mergeCell ref="AD18:AE18"/>
    <mergeCell ref="AD11:AE11"/>
    <mergeCell ref="AD12:AE12"/>
    <mergeCell ref="AF19:AG19"/>
    <mergeCell ref="AF20:AG20"/>
    <mergeCell ref="AF21:AG21"/>
    <mergeCell ref="AF22:AG22"/>
    <mergeCell ref="AF23:AG23"/>
    <mergeCell ref="AF24:AG24"/>
    <mergeCell ref="AF25:AG25"/>
    <mergeCell ref="AF26:AG26"/>
    <mergeCell ref="AF27:AG27"/>
    <mergeCell ref="AF28:AG28"/>
    <mergeCell ref="AF29:AG29"/>
    <mergeCell ref="AF30:AG30"/>
    <mergeCell ref="AD22:AE22"/>
    <mergeCell ref="AD23:AE23"/>
    <mergeCell ref="AD24:AE24"/>
    <mergeCell ref="AD25:AE25"/>
    <mergeCell ref="AD26:AE26"/>
    <mergeCell ref="AD27:AE27"/>
    <mergeCell ref="AD28:AE28"/>
    <mergeCell ref="AD29:AE29"/>
    <mergeCell ref="AD30:AE30"/>
    <mergeCell ref="AD19:AE19"/>
    <mergeCell ref="AD20:AE20"/>
    <mergeCell ref="AD21:AE21"/>
    <mergeCell ref="AD3:AG4"/>
    <mergeCell ref="AD5:AE5"/>
    <mergeCell ref="AF5:AG5"/>
    <mergeCell ref="E16:F16"/>
    <mergeCell ref="E17:F17"/>
    <mergeCell ref="E18:F18"/>
    <mergeCell ref="E19:F19"/>
    <mergeCell ref="E20:F20"/>
    <mergeCell ref="E21:F21"/>
    <mergeCell ref="R21:S21"/>
    <mergeCell ref="L7:N7"/>
    <mergeCell ref="L8:N8"/>
    <mergeCell ref="R11:S11"/>
    <mergeCell ref="R12:S12"/>
    <mergeCell ref="R13:S13"/>
    <mergeCell ref="R14:S14"/>
    <mergeCell ref="R15:S15"/>
    <mergeCell ref="R6:S6"/>
    <mergeCell ref="R7:S7"/>
    <mergeCell ref="R8:S8"/>
    <mergeCell ref="R9:S9"/>
    <mergeCell ref="R50:S50"/>
    <mergeCell ref="X3:Z4"/>
    <mergeCell ref="R43:S43"/>
    <mergeCell ref="R44:S44"/>
    <mergeCell ref="R45:S45"/>
    <mergeCell ref="R46:S46"/>
    <mergeCell ref="R47:S47"/>
    <mergeCell ref="R36:S36"/>
    <mergeCell ref="R37:S37"/>
    <mergeCell ref="R38:S38"/>
    <mergeCell ref="R41:S41"/>
    <mergeCell ref="R42:S42"/>
    <mergeCell ref="R31:S31"/>
    <mergeCell ref="R32:S32"/>
    <mergeCell ref="R33:S33"/>
    <mergeCell ref="R34:S34"/>
    <mergeCell ref="R35:S35"/>
    <mergeCell ref="R26:S26"/>
    <mergeCell ref="R27:S27"/>
    <mergeCell ref="R3:T4"/>
    <mergeCell ref="R5:S5"/>
    <mergeCell ref="R22:S22"/>
    <mergeCell ref="X5:Y5"/>
    <mergeCell ref="X6:Y6"/>
    <mergeCell ref="J3:N4"/>
    <mergeCell ref="J5:K5"/>
    <mergeCell ref="J6:K6"/>
    <mergeCell ref="J7:K7"/>
    <mergeCell ref="J8:K8"/>
    <mergeCell ref="L5:N5"/>
    <mergeCell ref="L6:N6"/>
    <mergeCell ref="R48:S48"/>
    <mergeCell ref="R49:S49"/>
    <mergeCell ref="R16:S16"/>
    <mergeCell ref="R10:S10"/>
    <mergeCell ref="J19:K19"/>
    <mergeCell ref="J12:N13"/>
    <mergeCell ref="R17:S17"/>
    <mergeCell ref="R18:S18"/>
    <mergeCell ref="R19:S19"/>
    <mergeCell ref="R20:S20"/>
    <mergeCell ref="R40:S40"/>
    <mergeCell ref="L25:N25"/>
    <mergeCell ref="L26:N26"/>
    <mergeCell ref="L23:N23"/>
    <mergeCell ref="L24:N24"/>
    <mergeCell ref="J33:K33"/>
    <mergeCell ref="J34:K34"/>
    <mergeCell ref="C13:F14"/>
    <mergeCell ref="C15:D15"/>
    <mergeCell ref="C16:D16"/>
    <mergeCell ref="C21:D21"/>
    <mergeCell ref="E15:F15"/>
    <mergeCell ref="L14:N14"/>
    <mergeCell ref="L15:N15"/>
    <mergeCell ref="L16:N16"/>
    <mergeCell ref="L17:N17"/>
    <mergeCell ref="J14:K14"/>
    <mergeCell ref="J15:K15"/>
    <mergeCell ref="J16:K16"/>
    <mergeCell ref="C19:D19"/>
    <mergeCell ref="C20:D20"/>
    <mergeCell ref="C17:D17"/>
    <mergeCell ref="C18:D18"/>
    <mergeCell ref="C41:D41"/>
    <mergeCell ref="E41:F41"/>
    <mergeCell ref="C33:D33"/>
    <mergeCell ref="E33:F33"/>
    <mergeCell ref="E31:F31"/>
    <mergeCell ref="E32:F32"/>
    <mergeCell ref="C29:D29"/>
    <mergeCell ref="C30:D30"/>
    <mergeCell ref="C31:D31"/>
    <mergeCell ref="C32:D32"/>
    <mergeCell ref="C34:D34"/>
    <mergeCell ref="E34:F34"/>
    <mergeCell ref="C3:F4"/>
    <mergeCell ref="C5:D5"/>
    <mergeCell ref="C6:D6"/>
    <mergeCell ref="C7:D7"/>
    <mergeCell ref="C8:D8"/>
    <mergeCell ref="C9:D9"/>
    <mergeCell ref="E5:F5"/>
    <mergeCell ref="E6:F6"/>
    <mergeCell ref="E7:F7"/>
    <mergeCell ref="E8:F8"/>
    <mergeCell ref="E9:F9"/>
    <mergeCell ref="X7:Y7"/>
    <mergeCell ref="X8:Y8"/>
    <mergeCell ref="X9:Y9"/>
    <mergeCell ref="X10:Y10"/>
    <mergeCell ref="X11:Y11"/>
    <mergeCell ref="X12:Y12"/>
    <mergeCell ref="X16:Z17"/>
    <mergeCell ref="J17:K17"/>
    <mergeCell ref="R39:S39"/>
    <mergeCell ref="J28:K28"/>
    <mergeCell ref="J29:K29"/>
    <mergeCell ref="J30:K30"/>
    <mergeCell ref="J31:K31"/>
    <mergeCell ref="L30:N30"/>
    <mergeCell ref="L31:N31"/>
    <mergeCell ref="J21:N22"/>
    <mergeCell ref="J23:K23"/>
    <mergeCell ref="J24:K24"/>
    <mergeCell ref="J25:K25"/>
    <mergeCell ref="J26:K26"/>
    <mergeCell ref="X18:Y18"/>
    <mergeCell ref="X19:Y19"/>
    <mergeCell ref="X20:Y20"/>
    <mergeCell ref="X21:Y21"/>
    <mergeCell ref="C22:D22"/>
    <mergeCell ref="C23:D23"/>
    <mergeCell ref="E22:F22"/>
    <mergeCell ref="E23:F23"/>
    <mergeCell ref="C27:F28"/>
    <mergeCell ref="C36:D36"/>
    <mergeCell ref="C37:D37"/>
    <mergeCell ref="E36:F36"/>
    <mergeCell ref="E37:F37"/>
    <mergeCell ref="C35:D35"/>
    <mergeCell ref="E35:F35"/>
    <mergeCell ref="E29:F29"/>
    <mergeCell ref="E30:F30"/>
    <mergeCell ref="X22:Y22"/>
    <mergeCell ref="X23:Y23"/>
    <mergeCell ref="X24:Y24"/>
    <mergeCell ref="X25:Y25"/>
    <mergeCell ref="X26:Y26"/>
    <mergeCell ref="X28:Y28"/>
    <mergeCell ref="R28:S28"/>
    <mergeCell ref="R29:S29"/>
    <mergeCell ref="R30:S30"/>
    <mergeCell ref="X27:Y27"/>
    <mergeCell ref="R23:S23"/>
    <mergeCell ref="R24:S24"/>
    <mergeCell ref="R25:S25"/>
    <mergeCell ref="J35:K35"/>
    <mergeCell ref="L32:N32"/>
    <mergeCell ref="L33:N33"/>
    <mergeCell ref="L34:N34"/>
    <mergeCell ref="L35:N35"/>
    <mergeCell ref="J32:K32"/>
    <mergeCell ref="J27:K27"/>
    <mergeCell ref="L27:N27"/>
    <mergeCell ref="L28:N28"/>
    <mergeCell ref="L29:N29"/>
  </mergeCells>
  <dataValidations count="1">
    <dataValidation type="list" allowBlank="1" showInputMessage="1" showErrorMessage="1" sqref="E15:E19 E21:E22" xr:uid="{A49890BB-1A54-4864-8574-23F9051FFABC}">
      <formula1>"Pyro, Cryo, Hydro, Electro, Anemo, Geo, Dendro, Phys"</formula1>
    </dataValidation>
  </dataValidations>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3" r:id="rId4" name="Check Box 9">
              <controlPr defaultSize="0" autoFill="0" autoLine="0" autoPict="0">
                <anchor moveWithCells="1">
                  <from>
                    <xdr:col>12</xdr:col>
                    <xdr:colOff>257175</xdr:colOff>
                    <xdr:row>7</xdr:row>
                    <xdr:rowOff>9525</xdr:rowOff>
                  </from>
                  <to>
                    <xdr:col>12</xdr:col>
                    <xdr:colOff>447675</xdr:colOff>
                    <xdr:row>8</xdr:row>
                    <xdr:rowOff>9525</xdr:rowOff>
                  </to>
                </anchor>
              </controlPr>
            </control>
          </mc:Choice>
        </mc:AlternateContent>
        <mc:AlternateContent xmlns:mc="http://schemas.openxmlformats.org/markup-compatibility/2006">
          <mc:Choice Requires="x14">
            <control shapeId="1037" r:id="rId5" name="Check Box 13">
              <controlPr defaultSize="0" autoFill="0" autoLine="0" autoPict="0">
                <anchor moveWithCells="1">
                  <from>
                    <xdr:col>12</xdr:col>
                    <xdr:colOff>257175</xdr:colOff>
                    <xdr:row>15</xdr:row>
                    <xdr:rowOff>171450</xdr:rowOff>
                  </from>
                  <to>
                    <xdr:col>12</xdr:col>
                    <xdr:colOff>485775</xdr:colOff>
                    <xdr:row>16</xdr:row>
                    <xdr:rowOff>180975</xdr:rowOff>
                  </to>
                </anchor>
              </controlPr>
            </control>
          </mc:Choice>
        </mc:AlternateContent>
      </controls>
    </mc:Choice>
  </mc:AlternateContent>
  <extLst>
    <ext xmlns:x14="http://schemas.microsoft.com/office/spreadsheetml/2009/9/main" uri="{CCE6A557-97BC-4b89-ADB6-D9C93CAAB3DF}">
      <x14:dataValidations xmlns:xm="http://schemas.microsoft.com/office/excel/2006/main" count="15">
        <x14:dataValidation type="list" allowBlank="1" showInputMessage="1" showErrorMessage="1" xr:uid="{2B144F1C-B544-44CB-A8B5-0750C45A2489}">
          <x14:formula1>
            <xm:f>'Data Val'!$A$8:$A$21</xm:f>
          </x14:formula1>
          <xm:sqref>E6:F6</xm:sqref>
        </x14:dataValidation>
        <x14:dataValidation type="list" allowBlank="1" showInputMessage="1" showErrorMessage="1" xr:uid="{7ADAFA0B-91CF-4152-AC7A-645DA71F74BA}">
          <x14:formula1>
            <xm:f>'Artifact Database'!$B$1:$D$1</xm:f>
          </x14:formula1>
          <xm:sqref>Z7</xm:sqref>
        </x14:dataValidation>
        <x14:dataValidation type="list" allowBlank="1" showInputMessage="1" showErrorMessage="1" xr:uid="{C63D75C1-F7B6-4BBB-92F4-2C1DFA2F4DE5}">
          <x14:formula1>
            <xm:f>'Artifact Database'!$Y$16:$AC$16</xm:f>
          </x14:formula1>
          <xm:sqref>L24:N24 L26:N26 L29:N29 L32:N32 L35:N35</xm:sqref>
        </x14:dataValidation>
        <x14:dataValidation type="list" allowBlank="1" showInputMessage="1" showErrorMessage="1" xr:uid="{BED788B0-4477-4882-9481-356D618147A1}">
          <x14:formula1>
            <xm:f>'Artifact Database'!$Y$3:$Y$7</xm:f>
          </x14:formula1>
          <xm:sqref>L28:N28</xm:sqref>
        </x14:dataValidation>
        <x14:dataValidation type="list" allowBlank="1" showInputMessage="1" showErrorMessage="1" xr:uid="{86A7219A-0502-4F6F-BF5C-7538832F931A}">
          <x14:formula1>
            <xm:f>'Artifact Database'!$Z$3:$Z$13</xm:f>
          </x14:formula1>
          <xm:sqref>L31:N31</xm:sqref>
        </x14:dataValidation>
        <x14:dataValidation type="list" allowBlank="1" showInputMessage="1" showErrorMessage="1" xr:uid="{541C2DEB-33F6-4157-BB9E-851012432DCB}">
          <x14:formula1>
            <xm:f>'Artifact Database'!$AA$3:$AA$9</xm:f>
          </x14:formula1>
          <xm:sqref>L34:N34</xm:sqref>
        </x14:dataValidation>
        <x14:dataValidation type="list" allowBlank="1" showInputMessage="1" showErrorMessage="1" xr:uid="{71FD5FAE-DF94-4C45-973A-16D13E489790}">
          <x14:formula1>
            <xm:f>weaponsDB!$B$1:$CS$1</xm:f>
          </x14:formula1>
          <xm:sqref>L5:N5</xm:sqref>
        </x14:dataValidation>
        <x14:dataValidation type="list" allowBlank="1" showInputMessage="1" showErrorMessage="1" xr:uid="{A2A26E98-F631-4C48-B2AD-46648F39048A}">
          <x14:formula1>
            <xm:f>artisDB!$A$2:$A$27</xm:f>
          </x14:formula1>
          <xm:sqref>L14:N14</xm:sqref>
        </x14:dataValidation>
        <x14:dataValidation type="list" allowBlank="1" showInputMessage="1" showErrorMessage="1" xr:uid="{B87F079C-0B5A-4311-B303-E55FCC5F87C2}">
          <x14:formula1>
            <xm:f>artisDB!$A$2:$A$53</xm:f>
          </x14:formula1>
          <xm:sqref>L15:N15</xm:sqref>
        </x14:dataValidation>
        <x14:dataValidation type="list" allowBlank="1" showInputMessage="1" showErrorMessage="1" xr:uid="{DE1CC219-9AA4-4ABC-A20F-9361A10DE8BF}">
          <x14:formula1>
            <xm:f>'Data Val'!$C$2:$C$6</xm:f>
          </x14:formula1>
          <xm:sqref>E20:F20 E23:F23</xm:sqref>
        </x14:dataValidation>
        <x14:dataValidation type="whole" allowBlank="1" showInputMessage="1" showErrorMessage="1" xr:uid="{C3796129-5D31-495F-ADE3-B14811CCD13B}">
          <x14:formula1>
            <xm:f>0</xm:f>
          </x14:formula1>
          <x14:formula2>
            <xm:f>'Artifact Database'!Z61</xm:f>
          </x14:formula2>
          <xm:sqref>L23:N23</xm:sqref>
        </x14:dataValidation>
        <x14:dataValidation type="whole" allowBlank="1" showInputMessage="1" showErrorMessage="1" xr:uid="{41BF324D-9594-4594-B99C-557726B2790B}">
          <x14:formula1>
            <xm:f>0</xm:f>
          </x14:formula1>
          <x14:formula2>
            <xm:f>'Artifact Database'!AA61</xm:f>
          </x14:formula2>
          <xm:sqref>L25:N25</xm:sqref>
        </x14:dataValidation>
        <x14:dataValidation type="whole" allowBlank="1" showInputMessage="1" showErrorMessage="1" xr:uid="{0C3CB993-6549-4EC9-A247-024FB090DC58}">
          <x14:formula1>
            <xm:f>0</xm:f>
          </x14:formula1>
          <x14:formula2>
            <xm:f>'Artifact Database'!AB61</xm:f>
          </x14:formula2>
          <xm:sqref>L27:N27</xm:sqref>
        </x14:dataValidation>
        <x14:dataValidation type="whole" allowBlank="1" showInputMessage="1" showErrorMessage="1" xr:uid="{C46239EA-9E7A-44DA-8C87-340C45EBEC90}">
          <x14:formula1>
            <xm:f>0</xm:f>
          </x14:formula1>
          <x14:formula2>
            <xm:f>'Artifact Database'!AC61</xm:f>
          </x14:formula2>
          <xm:sqref>L30:N30</xm:sqref>
        </x14:dataValidation>
        <x14:dataValidation type="whole" allowBlank="1" showInputMessage="1" showErrorMessage="1" xr:uid="{3857BCDE-C074-48C8-A931-B7DEF804A711}">
          <x14:formula1>
            <xm:f>0</xm:f>
          </x14:formula1>
          <x14:formula2>
            <xm:f>'Artifact Database'!AD61</xm:f>
          </x14:formula2>
          <xm:sqref>L33:N33</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A9EA29-783E-4090-9071-F4C9AB013583}">
  <dimension ref="A1:AH51"/>
  <sheetViews>
    <sheetView topLeftCell="A31" zoomScaleNormal="100" workbookViewId="0">
      <selection activeCell="Z8" sqref="Z8"/>
    </sheetView>
  </sheetViews>
  <sheetFormatPr defaultRowHeight="15" x14ac:dyDescent="0.25"/>
  <cols>
    <col min="1" max="1" width="2.7109375" style="1" customWidth="1"/>
    <col min="2" max="2" width="2.7109375" style="8" customWidth="1"/>
    <col min="3" max="3" width="9.85546875" style="1" customWidth="1"/>
    <col min="4" max="6" width="9.140625" style="1"/>
    <col min="7" max="7" width="2.7109375" style="8" customWidth="1"/>
    <col min="8" max="9" width="2.7109375" style="1" customWidth="1"/>
    <col min="10" max="11" width="9.140625" style="1"/>
    <col min="12" max="14" width="10.7109375" style="1" customWidth="1"/>
    <col min="15" max="17" width="2.7109375" style="1" customWidth="1"/>
    <col min="18" max="20" width="9.140625" style="1"/>
    <col min="21" max="21" width="2.7109375" style="15" customWidth="1"/>
    <col min="22" max="23" width="2.7109375" style="1" customWidth="1"/>
    <col min="24" max="25" width="9.140625" style="1"/>
    <col min="26" max="26" width="9.140625" style="1" customWidth="1"/>
    <col min="27" max="29" width="2.7109375" style="1" customWidth="1"/>
    <col min="30" max="33" width="9.140625" style="1"/>
    <col min="34" max="34" width="2.7109375" style="1" customWidth="1"/>
    <col min="35" max="16384" width="9.140625" style="1"/>
  </cols>
  <sheetData>
    <row r="1" spans="1:34" ht="15" customHeight="1" x14ac:dyDescent="0.25">
      <c r="A1" s="9"/>
      <c r="C1" s="7"/>
      <c r="D1" s="7"/>
      <c r="E1" s="7"/>
      <c r="F1" s="7"/>
    </row>
    <row r="2" spans="1:34" s="8" customFormat="1" ht="15" customHeight="1" x14ac:dyDescent="0.25">
      <c r="B2" s="10"/>
      <c r="C2" s="10"/>
      <c r="D2" s="10"/>
      <c r="E2" s="10"/>
      <c r="F2" s="10"/>
      <c r="G2" s="10"/>
      <c r="I2" s="10"/>
      <c r="J2" s="10"/>
      <c r="K2" s="10"/>
      <c r="L2" s="10"/>
      <c r="M2" s="10"/>
      <c r="N2" s="10"/>
      <c r="O2" s="10"/>
      <c r="Q2" s="10"/>
      <c r="R2" s="10"/>
      <c r="S2" s="10"/>
      <c r="T2" s="10"/>
      <c r="U2" s="10"/>
      <c r="W2" s="10"/>
      <c r="X2" s="10"/>
      <c r="Y2" s="10"/>
      <c r="Z2" s="10"/>
      <c r="AA2" s="10"/>
      <c r="AC2" s="10"/>
      <c r="AD2" s="10"/>
      <c r="AE2" s="10"/>
      <c r="AF2" s="10"/>
      <c r="AG2" s="10"/>
      <c r="AH2" s="10"/>
    </row>
    <row r="3" spans="1:34" x14ac:dyDescent="0.25">
      <c r="B3" s="10"/>
      <c r="C3" s="228" t="s">
        <v>748</v>
      </c>
      <c r="D3" s="228"/>
      <c r="E3" s="228"/>
      <c r="F3" s="228"/>
      <c r="G3" s="10"/>
      <c r="H3" s="6"/>
      <c r="I3" s="10"/>
      <c r="J3" s="228" t="s">
        <v>28</v>
      </c>
      <c r="K3" s="228"/>
      <c r="L3" s="228"/>
      <c r="M3" s="228"/>
      <c r="N3" s="228"/>
      <c r="O3" s="10"/>
      <c r="Q3" s="10"/>
      <c r="R3" s="228" t="s">
        <v>61</v>
      </c>
      <c r="S3" s="228"/>
      <c r="T3" s="228"/>
      <c r="U3" s="10"/>
      <c r="W3" s="10"/>
      <c r="X3" s="228" t="s">
        <v>99</v>
      </c>
      <c r="Y3" s="228"/>
      <c r="Z3" s="228"/>
      <c r="AA3" s="10"/>
      <c r="AC3" s="10"/>
      <c r="AD3" s="228" t="s">
        <v>120</v>
      </c>
      <c r="AE3" s="228"/>
      <c r="AF3" s="228"/>
      <c r="AG3" s="228"/>
      <c r="AH3" s="10"/>
    </row>
    <row r="4" spans="1:34" x14ac:dyDescent="0.25">
      <c r="B4" s="10"/>
      <c r="C4" s="228"/>
      <c r="D4" s="228"/>
      <c r="E4" s="228"/>
      <c r="F4" s="228"/>
      <c r="G4" s="10"/>
      <c r="H4" s="6"/>
      <c r="I4" s="10"/>
      <c r="J4" s="228"/>
      <c r="K4" s="228"/>
      <c r="L4" s="228"/>
      <c r="M4" s="228"/>
      <c r="N4" s="228"/>
      <c r="O4" s="10"/>
      <c r="Q4" s="10"/>
      <c r="R4" s="228"/>
      <c r="S4" s="228"/>
      <c r="T4" s="228"/>
      <c r="U4" s="10"/>
      <c r="W4" s="10"/>
      <c r="X4" s="228"/>
      <c r="Y4" s="228"/>
      <c r="Z4" s="228"/>
      <c r="AA4" s="10"/>
      <c r="AC4" s="10"/>
      <c r="AD4" s="228"/>
      <c r="AE4" s="228"/>
      <c r="AF4" s="228"/>
      <c r="AG4" s="228"/>
      <c r="AH4" s="10"/>
    </row>
    <row r="5" spans="1:34" x14ac:dyDescent="0.25">
      <c r="B5" s="10"/>
      <c r="C5" s="222" t="s">
        <v>50</v>
      </c>
      <c r="D5" s="223"/>
      <c r="E5" s="224" t="s">
        <v>340</v>
      </c>
      <c r="F5" s="224"/>
      <c r="G5" s="10"/>
      <c r="I5" s="10"/>
      <c r="J5" s="222" t="s">
        <v>48</v>
      </c>
      <c r="K5" s="223"/>
      <c r="L5" s="224" t="s">
        <v>490</v>
      </c>
      <c r="M5" s="224"/>
      <c r="N5" s="224"/>
      <c r="O5" s="10"/>
      <c r="Q5" s="10"/>
      <c r="R5" s="222" t="s">
        <v>62</v>
      </c>
      <c r="S5" s="223"/>
      <c r="T5" s="19">
        <f>1.32*(char3BaseATK+char3WeaponBaseATK)</f>
        <v>1053.3600000000001</v>
      </c>
      <c r="U5" s="10"/>
      <c r="W5" s="10"/>
      <c r="X5" s="222" t="s">
        <v>108</v>
      </c>
      <c r="Y5" s="223"/>
      <c r="Z5" s="19">
        <v>40</v>
      </c>
      <c r="AA5" s="10"/>
      <c r="AC5" s="10"/>
      <c r="AD5" s="222" t="s">
        <v>121</v>
      </c>
      <c r="AE5" s="223"/>
      <c r="AF5" s="234">
        <f ca="1">'Rotation Assembler'!B271</f>
        <v>505800.22346069914</v>
      </c>
      <c r="AG5" s="234"/>
      <c r="AH5" s="10"/>
    </row>
    <row r="6" spans="1:34" x14ac:dyDescent="0.25">
      <c r="B6" s="10"/>
      <c r="C6" s="222" t="s">
        <v>51</v>
      </c>
      <c r="D6" s="223"/>
      <c r="E6" s="224">
        <v>90</v>
      </c>
      <c r="F6" s="224"/>
      <c r="G6" s="10"/>
      <c r="I6" s="10"/>
      <c r="J6" s="222" t="s">
        <v>49</v>
      </c>
      <c r="K6" s="223"/>
      <c r="L6" s="224">
        <v>5</v>
      </c>
      <c r="M6" s="224"/>
      <c r="N6" s="224"/>
      <c r="O6" s="10"/>
      <c r="Q6" s="10"/>
      <c r="R6" s="222" t="s">
        <v>63</v>
      </c>
      <c r="S6" s="223"/>
      <c r="T6" s="19">
        <v>0</v>
      </c>
      <c r="U6" s="10"/>
      <c r="W6" s="10"/>
      <c r="X6" s="222" t="s">
        <v>784</v>
      </c>
      <c r="Y6" s="225"/>
      <c r="Z6" s="16"/>
      <c r="AA6" s="10"/>
      <c r="AC6" s="10"/>
      <c r="AD6" s="10"/>
      <c r="AE6" s="10"/>
      <c r="AF6" s="10"/>
      <c r="AG6" s="10"/>
      <c r="AH6" s="10"/>
    </row>
    <row r="7" spans="1:34" x14ac:dyDescent="0.25">
      <c r="B7" s="10"/>
      <c r="C7" s="222" t="s">
        <v>52</v>
      </c>
      <c r="D7" s="223"/>
      <c r="E7" s="224">
        <v>6</v>
      </c>
      <c r="F7" s="224"/>
      <c r="G7" s="10"/>
      <c r="I7" s="10"/>
      <c r="J7" s="222" t="s">
        <v>46</v>
      </c>
      <c r="K7" s="223"/>
      <c r="L7" s="224">
        <v>1</v>
      </c>
      <c r="M7" s="224"/>
      <c r="N7" s="224"/>
      <c r="O7" s="10"/>
      <c r="Q7" s="10"/>
      <c r="R7" s="222" t="s">
        <v>64</v>
      </c>
      <c r="S7" s="223"/>
      <c r="T7" s="19">
        <v>0</v>
      </c>
      <c r="U7" s="10"/>
      <c r="W7" s="10"/>
      <c r="X7" s="222" t="s">
        <v>102</v>
      </c>
      <c r="Y7" s="223"/>
      <c r="Z7" s="19" t="s">
        <v>435</v>
      </c>
      <c r="AA7" s="10"/>
      <c r="AC7" s="8"/>
      <c r="AD7" s="8"/>
      <c r="AE7" s="8"/>
      <c r="AF7" s="8"/>
      <c r="AG7" s="8"/>
      <c r="AH7" s="8"/>
    </row>
    <row r="8" spans="1:34" x14ac:dyDescent="0.25">
      <c r="B8" s="10"/>
      <c r="C8" s="222" t="s">
        <v>53</v>
      </c>
      <c r="D8" s="223"/>
      <c r="E8" s="224">
        <v>10</v>
      </c>
      <c r="F8" s="224"/>
      <c r="G8" s="10"/>
      <c r="I8" s="10"/>
      <c r="J8" s="222" t="s">
        <v>47</v>
      </c>
      <c r="K8" s="223"/>
      <c r="L8" s="233" t="b">
        <v>1</v>
      </c>
      <c r="M8" s="233"/>
      <c r="N8" s="233"/>
      <c r="O8" s="10"/>
      <c r="Q8" s="10"/>
      <c r="R8" s="222" t="s">
        <v>69</v>
      </c>
      <c r="S8" s="223"/>
      <c r="T8" s="19">
        <v>0</v>
      </c>
      <c r="U8" s="10"/>
      <c r="W8" s="10"/>
      <c r="X8" s="222" t="s">
        <v>100</v>
      </c>
      <c r="Y8" s="223"/>
      <c r="Z8" s="103">
        <v>1.8</v>
      </c>
      <c r="AA8" s="10"/>
      <c r="AC8" s="10"/>
      <c r="AD8" s="10"/>
      <c r="AE8" s="10"/>
      <c r="AF8" s="10"/>
      <c r="AG8" s="10"/>
      <c r="AH8" s="10"/>
    </row>
    <row r="9" spans="1:34" ht="15" customHeight="1" x14ac:dyDescent="0.25">
      <c r="B9" s="10"/>
      <c r="C9" s="222" t="s">
        <v>54</v>
      </c>
      <c r="D9" s="223"/>
      <c r="E9" s="224">
        <v>12</v>
      </c>
      <c r="F9" s="224"/>
      <c r="G9" s="10"/>
      <c r="I9" s="10"/>
      <c r="J9" s="13"/>
      <c r="K9" s="13"/>
      <c r="L9" s="13"/>
      <c r="M9" s="13"/>
      <c r="N9" s="13"/>
      <c r="O9" s="10"/>
      <c r="Q9" s="10"/>
      <c r="R9" s="222" t="s">
        <v>65</v>
      </c>
      <c r="S9" s="223"/>
      <c r="T9" s="82">
        <v>0.25</v>
      </c>
      <c r="U9" s="10"/>
      <c r="W9" s="10"/>
      <c r="X9" s="222" t="s">
        <v>103</v>
      </c>
      <c r="Y9" s="223"/>
      <c r="Z9" s="19">
        <v>2</v>
      </c>
      <c r="AA9" s="10"/>
      <c r="AC9" s="10"/>
      <c r="AD9" s="228" t="s">
        <v>785</v>
      </c>
      <c r="AE9" s="228"/>
      <c r="AF9" s="228"/>
      <c r="AG9" s="228"/>
      <c r="AH9" s="10"/>
    </row>
    <row r="10" spans="1:34" x14ac:dyDescent="0.25">
      <c r="B10" s="10"/>
      <c r="C10" s="10"/>
      <c r="D10" s="10"/>
      <c r="E10" s="10"/>
      <c r="F10" s="10"/>
      <c r="G10" s="10"/>
      <c r="I10" s="8"/>
      <c r="Q10" s="10"/>
      <c r="R10" s="222" t="s">
        <v>66</v>
      </c>
      <c r="S10" s="223"/>
      <c r="T10" s="82">
        <v>0</v>
      </c>
      <c r="U10" s="10"/>
      <c r="W10" s="10"/>
      <c r="X10" s="222" t="s">
        <v>104</v>
      </c>
      <c r="Y10" s="223"/>
      <c r="Z10" s="103">
        <v>1</v>
      </c>
      <c r="AA10" s="10"/>
      <c r="AC10" s="10"/>
      <c r="AD10" s="228"/>
      <c r="AE10" s="228"/>
      <c r="AF10" s="228"/>
      <c r="AG10" s="228"/>
      <c r="AH10" s="10"/>
    </row>
    <row r="11" spans="1:34" ht="14.25" customHeight="1" x14ac:dyDescent="0.25">
      <c r="C11" s="8"/>
      <c r="D11" s="8"/>
      <c r="E11" s="8"/>
      <c r="F11" s="8"/>
      <c r="I11" s="10"/>
      <c r="J11" s="10"/>
      <c r="K11" s="10"/>
      <c r="L11" s="10"/>
      <c r="M11" s="10"/>
      <c r="N11" s="10"/>
      <c r="O11" s="10"/>
      <c r="Q11" s="10"/>
      <c r="R11" s="222" t="s">
        <v>67</v>
      </c>
      <c r="S11" s="223"/>
      <c r="T11" s="82">
        <v>0</v>
      </c>
      <c r="U11" s="10"/>
      <c r="W11" s="10"/>
      <c r="X11" s="222" t="s">
        <v>105</v>
      </c>
      <c r="Y11" s="223"/>
      <c r="Z11" s="103">
        <v>2</v>
      </c>
      <c r="AA11" s="10"/>
      <c r="AC11" s="10"/>
      <c r="AD11" s="222" t="s">
        <v>754</v>
      </c>
      <c r="AE11" s="223"/>
      <c r="AF11" s="221">
        <f>char2FinalHP</f>
        <v>14194.68</v>
      </c>
      <c r="AG11" s="221"/>
      <c r="AH11" s="10"/>
    </row>
    <row r="12" spans="1:34" ht="15" customHeight="1" x14ac:dyDescent="0.25">
      <c r="B12" s="10"/>
      <c r="C12" s="10"/>
      <c r="D12" s="10"/>
      <c r="E12" s="10"/>
      <c r="F12" s="10"/>
      <c r="G12" s="10"/>
      <c r="I12" s="10"/>
      <c r="J12" s="228" t="s">
        <v>29</v>
      </c>
      <c r="K12" s="228"/>
      <c r="L12" s="228"/>
      <c r="M12" s="228"/>
      <c r="N12" s="228"/>
      <c r="O12" s="10"/>
      <c r="Q12" s="10"/>
      <c r="R12" s="222" t="s">
        <v>413</v>
      </c>
      <c r="S12" s="223"/>
      <c r="T12" s="82">
        <v>0</v>
      </c>
      <c r="U12" s="10"/>
      <c r="W12" s="10"/>
      <c r="X12" s="222" t="s">
        <v>106</v>
      </c>
      <c r="Y12" s="223"/>
      <c r="Z12" s="19">
        <v>10000</v>
      </c>
      <c r="AA12" s="10"/>
      <c r="AC12" s="10"/>
      <c r="AD12" s="222" t="s">
        <v>753</v>
      </c>
      <c r="AE12" s="223"/>
      <c r="AF12" s="221">
        <f>char2FinalDEF</f>
        <v>791.31600000000003</v>
      </c>
      <c r="AG12" s="221"/>
      <c r="AH12" s="10"/>
    </row>
    <row r="13" spans="1:34" x14ac:dyDescent="0.25">
      <c r="B13" s="10"/>
      <c r="C13" s="228" t="s">
        <v>27</v>
      </c>
      <c r="D13" s="228"/>
      <c r="E13" s="228"/>
      <c r="F13" s="228"/>
      <c r="G13" s="10"/>
      <c r="I13" s="10"/>
      <c r="J13" s="228"/>
      <c r="K13" s="228"/>
      <c r="L13" s="228"/>
      <c r="M13" s="228"/>
      <c r="N13" s="228"/>
      <c r="O13" s="10"/>
      <c r="Q13" s="10"/>
      <c r="R13" s="222" t="s">
        <v>414</v>
      </c>
      <c r="S13" s="223"/>
      <c r="T13" s="82">
        <v>0</v>
      </c>
      <c r="U13" s="10"/>
      <c r="W13" s="10"/>
      <c r="X13" s="10"/>
      <c r="Y13" s="10"/>
      <c r="Z13" s="10"/>
      <c r="AA13" s="10"/>
      <c r="AC13" s="10"/>
      <c r="AD13" s="222" t="s">
        <v>752</v>
      </c>
      <c r="AE13" s="223"/>
      <c r="AF13" s="221">
        <f>char2FinalATK</f>
        <v>2389.1019999999999</v>
      </c>
      <c r="AG13" s="221"/>
      <c r="AH13" s="10"/>
    </row>
    <row r="14" spans="1:34" ht="15" customHeight="1" x14ac:dyDescent="0.25">
      <c r="B14" s="10"/>
      <c r="C14" s="228"/>
      <c r="D14" s="228"/>
      <c r="E14" s="228"/>
      <c r="F14" s="228"/>
      <c r="G14" s="10"/>
      <c r="I14" s="10"/>
      <c r="J14" s="222" t="s">
        <v>44</v>
      </c>
      <c r="K14" s="223"/>
      <c r="L14" s="224" t="s">
        <v>576</v>
      </c>
      <c r="M14" s="224"/>
      <c r="N14" s="224"/>
      <c r="O14" s="10"/>
      <c r="Q14" s="10"/>
      <c r="R14" s="222" t="s">
        <v>68</v>
      </c>
      <c r="S14" s="223"/>
      <c r="T14" s="82">
        <v>0</v>
      </c>
      <c r="U14" s="10"/>
      <c r="AC14" s="10"/>
      <c r="AD14" s="222" t="s">
        <v>786</v>
      </c>
      <c r="AE14" s="223"/>
      <c r="AF14" s="236">
        <f>Calculations!K67</f>
        <v>1.8447</v>
      </c>
      <c r="AG14" s="221"/>
      <c r="AH14" s="10"/>
    </row>
    <row r="15" spans="1:34" x14ac:dyDescent="0.25">
      <c r="B15" s="10"/>
      <c r="C15" s="222" t="s">
        <v>20</v>
      </c>
      <c r="D15" s="225"/>
      <c r="E15" s="226" t="s">
        <v>699</v>
      </c>
      <c r="F15" s="227"/>
      <c r="G15" s="10"/>
      <c r="I15" s="10"/>
      <c r="J15" s="222" t="s">
        <v>45</v>
      </c>
      <c r="K15" s="223"/>
      <c r="L15" s="224" t="s">
        <v>602</v>
      </c>
      <c r="M15" s="224"/>
      <c r="N15" s="224"/>
      <c r="O15" s="10"/>
      <c r="Q15" s="10"/>
      <c r="R15" s="222" t="s">
        <v>82</v>
      </c>
      <c r="S15" s="223"/>
      <c r="T15" s="82">
        <v>0</v>
      </c>
      <c r="U15" s="10"/>
      <c r="W15" s="10"/>
      <c r="X15" s="10"/>
      <c r="Y15" s="10"/>
      <c r="Z15" s="10"/>
      <c r="AA15" s="10"/>
      <c r="AC15" s="10"/>
      <c r="AD15" s="222" t="s">
        <v>787</v>
      </c>
      <c r="AE15" s="223"/>
      <c r="AF15" s="221">
        <f ca="1">Calculations!K61</f>
        <v>322.64</v>
      </c>
      <c r="AG15" s="221"/>
      <c r="AH15" s="10"/>
    </row>
    <row r="16" spans="1:34" x14ac:dyDescent="0.25">
      <c r="B16" s="10"/>
      <c r="C16" s="222" t="s">
        <v>21</v>
      </c>
      <c r="D16" s="225"/>
      <c r="E16" s="226" t="s">
        <v>723</v>
      </c>
      <c r="F16" s="227"/>
      <c r="G16" s="10"/>
      <c r="I16" s="10"/>
      <c r="J16" s="222" t="s">
        <v>46</v>
      </c>
      <c r="K16" s="223"/>
      <c r="L16" s="224">
        <v>1</v>
      </c>
      <c r="M16" s="224"/>
      <c r="N16" s="224"/>
      <c r="O16" s="10"/>
      <c r="Q16" s="10"/>
      <c r="R16" s="222" t="s">
        <v>70</v>
      </c>
      <c r="S16" s="223"/>
      <c r="T16" s="82">
        <v>0</v>
      </c>
      <c r="U16" s="10"/>
      <c r="W16" s="10"/>
      <c r="X16" s="228" t="s">
        <v>107</v>
      </c>
      <c r="Y16" s="228"/>
      <c r="Z16" s="228"/>
      <c r="AA16" s="10"/>
      <c r="AC16" s="10"/>
      <c r="AD16" s="222" t="s">
        <v>788</v>
      </c>
      <c r="AE16" s="223"/>
      <c r="AF16" s="236">
        <f ca="1">Calculations!K65</f>
        <v>0.55959999999999999</v>
      </c>
      <c r="AG16" s="221"/>
      <c r="AH16" s="10"/>
    </row>
    <row r="17" spans="2:34" x14ac:dyDescent="0.25">
      <c r="B17" s="10"/>
      <c r="C17" s="222" t="s">
        <v>22</v>
      </c>
      <c r="D17" s="225"/>
      <c r="E17" s="226" t="s">
        <v>723</v>
      </c>
      <c r="F17" s="227"/>
      <c r="G17" s="10"/>
      <c r="I17" s="10"/>
      <c r="J17" s="222" t="s">
        <v>47</v>
      </c>
      <c r="K17" s="223"/>
      <c r="L17" s="233" t="b">
        <v>1</v>
      </c>
      <c r="M17" s="233"/>
      <c r="N17" s="233"/>
      <c r="O17" s="10"/>
      <c r="Q17" s="10"/>
      <c r="R17" s="222" t="s">
        <v>71</v>
      </c>
      <c r="S17" s="222"/>
      <c r="T17" s="82">
        <v>0</v>
      </c>
      <c r="U17" s="10"/>
      <c r="W17" s="10"/>
      <c r="X17" s="228"/>
      <c r="Y17" s="228"/>
      <c r="Z17" s="228"/>
      <c r="AA17" s="10"/>
      <c r="AC17" s="10"/>
      <c r="AD17" s="222" t="s">
        <v>789</v>
      </c>
      <c r="AE17" s="223"/>
      <c r="AF17" s="236">
        <f ca="1">Calculations!K66</f>
        <v>1.3605999999999998</v>
      </c>
      <c r="AG17" s="221"/>
      <c r="AH17" s="10"/>
    </row>
    <row r="18" spans="2:34" x14ac:dyDescent="0.25">
      <c r="B18" s="10"/>
      <c r="C18" s="222" t="s">
        <v>19</v>
      </c>
      <c r="D18" s="225"/>
      <c r="E18" s="226" t="s">
        <v>699</v>
      </c>
      <c r="F18" s="227"/>
      <c r="G18" s="10"/>
      <c r="I18" s="10"/>
      <c r="J18" s="10"/>
      <c r="K18" s="10"/>
      <c r="L18" s="10"/>
      <c r="M18" s="10"/>
      <c r="N18" s="10"/>
      <c r="O18" s="10"/>
      <c r="Q18" s="10"/>
      <c r="R18" s="222" t="s">
        <v>72</v>
      </c>
      <c r="S18" s="222"/>
      <c r="T18" s="82">
        <v>0</v>
      </c>
      <c r="U18" s="10"/>
      <c r="W18" s="10"/>
      <c r="X18" s="222" t="s">
        <v>101</v>
      </c>
      <c r="Y18" s="223"/>
      <c r="Z18" s="19">
        <f>SUM(Z19:Z28)</f>
        <v>40</v>
      </c>
      <c r="AA18" s="10"/>
      <c r="AC18" s="10"/>
      <c r="AD18" s="222" t="s">
        <v>82</v>
      </c>
      <c r="AE18" s="222"/>
      <c r="AF18" s="236">
        <f>Calculations!K68</f>
        <v>0</v>
      </c>
      <c r="AG18" s="221"/>
      <c r="AH18" s="10"/>
    </row>
    <row r="19" spans="2:34" x14ac:dyDescent="0.25">
      <c r="B19" s="10"/>
      <c r="C19" s="222" t="s">
        <v>23</v>
      </c>
      <c r="D19" s="225"/>
      <c r="E19" s="226" t="s">
        <v>699</v>
      </c>
      <c r="F19" s="227"/>
      <c r="G19" s="10"/>
      <c r="I19" s="8"/>
      <c r="J19" s="221"/>
      <c r="K19" s="231"/>
      <c r="O19" s="8"/>
      <c r="Q19" s="10"/>
      <c r="R19" s="222" t="s">
        <v>73</v>
      </c>
      <c r="S19" s="222"/>
      <c r="T19" s="82">
        <v>0</v>
      </c>
      <c r="U19" s="10"/>
      <c r="W19" s="10"/>
      <c r="X19" s="222" t="s">
        <v>62</v>
      </c>
      <c r="Y19" s="223"/>
      <c r="Z19" s="19">
        <v>2</v>
      </c>
      <c r="AA19" s="10"/>
      <c r="AC19" s="10"/>
      <c r="AD19" s="222" t="s">
        <v>70</v>
      </c>
      <c r="AE19" s="222"/>
      <c r="AF19" s="236">
        <f>Calculations!K69</f>
        <v>0</v>
      </c>
      <c r="AG19" s="221"/>
      <c r="AH19" s="10"/>
    </row>
    <row r="20" spans="2:34" x14ac:dyDescent="0.25">
      <c r="B20" s="10"/>
      <c r="C20" s="222" t="s">
        <v>668</v>
      </c>
      <c r="D20" s="225"/>
      <c r="E20" s="226" t="s">
        <v>19</v>
      </c>
      <c r="F20" s="227"/>
      <c r="G20" s="10"/>
      <c r="I20" s="10"/>
      <c r="J20" s="10"/>
      <c r="K20" s="10"/>
      <c r="L20" s="10"/>
      <c r="M20" s="10"/>
      <c r="N20" s="10"/>
      <c r="O20" s="10"/>
      <c r="Q20" s="10"/>
      <c r="R20" s="222" t="s">
        <v>74</v>
      </c>
      <c r="S20" s="222"/>
      <c r="T20" s="82">
        <v>0</v>
      </c>
      <c r="U20" s="10"/>
      <c r="W20" s="10"/>
      <c r="X20" s="222" t="s">
        <v>63</v>
      </c>
      <c r="Y20" s="223"/>
      <c r="Z20" s="19">
        <v>2</v>
      </c>
      <c r="AA20" s="10"/>
      <c r="AC20" s="10"/>
      <c r="AD20" s="222" t="s">
        <v>71</v>
      </c>
      <c r="AE20" s="222"/>
      <c r="AF20" s="236">
        <f>Calculations!K70</f>
        <v>0</v>
      </c>
      <c r="AG20" s="221"/>
      <c r="AH20" s="10"/>
    </row>
    <row r="21" spans="2:34" x14ac:dyDescent="0.25">
      <c r="B21" s="10"/>
      <c r="C21" s="222" t="s">
        <v>0</v>
      </c>
      <c r="D21" s="225"/>
      <c r="E21" s="226" t="s">
        <v>699</v>
      </c>
      <c r="F21" s="227"/>
      <c r="G21" s="10"/>
      <c r="I21" s="10"/>
      <c r="J21" s="228" t="s">
        <v>30</v>
      </c>
      <c r="K21" s="228"/>
      <c r="L21" s="228"/>
      <c r="M21" s="228"/>
      <c r="N21" s="228"/>
      <c r="O21" s="10"/>
      <c r="Q21" s="10"/>
      <c r="R21" s="222" t="s">
        <v>75</v>
      </c>
      <c r="S21" s="222"/>
      <c r="T21" s="82">
        <v>0</v>
      </c>
      <c r="U21" s="10"/>
      <c r="W21" s="10"/>
      <c r="X21" s="222" t="s">
        <v>64</v>
      </c>
      <c r="Y21" s="223"/>
      <c r="Z21" s="19">
        <v>2</v>
      </c>
      <c r="AA21" s="10"/>
      <c r="AC21" s="10"/>
      <c r="AD21" s="222" t="s">
        <v>72</v>
      </c>
      <c r="AE21" s="222"/>
      <c r="AF21" s="236">
        <f>Calculations!K71</f>
        <v>0</v>
      </c>
      <c r="AG21" s="221"/>
      <c r="AH21" s="10"/>
    </row>
    <row r="22" spans="2:34" x14ac:dyDescent="0.25">
      <c r="B22" s="10"/>
      <c r="C22" s="222" t="s">
        <v>24</v>
      </c>
      <c r="D22" s="225"/>
      <c r="E22" s="226" t="s">
        <v>699</v>
      </c>
      <c r="F22" s="227"/>
      <c r="G22" s="10"/>
      <c r="I22" s="10"/>
      <c r="J22" s="228"/>
      <c r="K22" s="228"/>
      <c r="L22" s="228"/>
      <c r="M22" s="228"/>
      <c r="N22" s="228"/>
      <c r="O22" s="10"/>
      <c r="Q22" s="10"/>
      <c r="R22" s="222" t="s">
        <v>76</v>
      </c>
      <c r="S22" s="222"/>
      <c r="T22" s="82">
        <v>0</v>
      </c>
      <c r="U22" s="10"/>
      <c r="W22" s="10"/>
      <c r="X22" s="222" t="s">
        <v>65</v>
      </c>
      <c r="Y22" s="223"/>
      <c r="Z22" s="19">
        <v>2</v>
      </c>
      <c r="AA22" s="10"/>
      <c r="AC22" s="10"/>
      <c r="AD22" s="222" t="s">
        <v>73</v>
      </c>
      <c r="AE22" s="222"/>
      <c r="AF22" s="236">
        <f>Calculations!K72</f>
        <v>0.69100000000000006</v>
      </c>
      <c r="AG22" s="221"/>
      <c r="AH22" s="10"/>
    </row>
    <row r="23" spans="2:34" x14ac:dyDescent="0.25">
      <c r="B23" s="10"/>
      <c r="C23" s="222" t="s">
        <v>669</v>
      </c>
      <c r="D23" s="225"/>
      <c r="E23" s="226" t="s">
        <v>0</v>
      </c>
      <c r="F23" s="227"/>
      <c r="G23" s="10"/>
      <c r="I23" s="10"/>
      <c r="J23" s="222" t="s">
        <v>31</v>
      </c>
      <c r="K23" s="223"/>
      <c r="L23" s="224">
        <v>5</v>
      </c>
      <c r="M23" s="224"/>
      <c r="N23" s="224"/>
      <c r="O23" s="10"/>
      <c r="Q23" s="10"/>
      <c r="R23" s="222" t="s">
        <v>77</v>
      </c>
      <c r="S23" s="222"/>
      <c r="T23" s="82">
        <v>0</v>
      </c>
      <c r="U23" s="10"/>
      <c r="W23" s="10"/>
      <c r="X23" s="222" t="s">
        <v>66</v>
      </c>
      <c r="Y23" s="223"/>
      <c r="Z23" s="19">
        <v>2</v>
      </c>
      <c r="AA23" s="10"/>
      <c r="AC23" s="10"/>
      <c r="AD23" s="222" t="s">
        <v>74</v>
      </c>
      <c r="AE23" s="222"/>
      <c r="AF23" s="236">
        <f>Calculations!K73</f>
        <v>0</v>
      </c>
      <c r="AG23" s="221"/>
      <c r="AH23" s="10"/>
    </row>
    <row r="24" spans="2:34" x14ac:dyDescent="0.25">
      <c r="B24" s="10"/>
      <c r="C24" s="10"/>
      <c r="D24" s="10"/>
      <c r="E24" s="10"/>
      <c r="F24" s="10"/>
      <c r="G24" s="10"/>
      <c r="I24" s="10"/>
      <c r="J24" s="222" t="s">
        <v>32</v>
      </c>
      <c r="K24" s="223"/>
      <c r="L24" s="224" t="s">
        <v>800</v>
      </c>
      <c r="M24" s="224"/>
      <c r="N24" s="224"/>
      <c r="O24" s="10"/>
      <c r="Q24" s="10"/>
      <c r="R24" s="222" t="s">
        <v>78</v>
      </c>
      <c r="S24" s="222"/>
      <c r="T24" s="82">
        <v>0</v>
      </c>
      <c r="U24" s="10"/>
      <c r="W24" s="10"/>
      <c r="X24" s="222" t="s">
        <v>67</v>
      </c>
      <c r="Y24" s="223"/>
      <c r="Z24" s="19">
        <v>2</v>
      </c>
      <c r="AA24" s="10"/>
      <c r="AC24" s="10"/>
      <c r="AD24" s="222" t="s">
        <v>75</v>
      </c>
      <c r="AE24" s="222"/>
      <c r="AF24" s="236">
        <f>Calculations!K74</f>
        <v>0</v>
      </c>
      <c r="AG24" s="221"/>
      <c r="AH24" s="10"/>
    </row>
    <row r="25" spans="2:34" x14ac:dyDescent="0.25">
      <c r="C25" s="8"/>
      <c r="D25" s="8"/>
      <c r="E25" s="8"/>
      <c r="F25" s="8"/>
      <c r="I25" s="10"/>
      <c r="J25" s="222" t="s">
        <v>33</v>
      </c>
      <c r="K25" s="223"/>
      <c r="L25" s="224">
        <v>20</v>
      </c>
      <c r="M25" s="224"/>
      <c r="N25" s="224"/>
      <c r="O25" s="10"/>
      <c r="Q25" s="10"/>
      <c r="R25" s="222" t="s">
        <v>79</v>
      </c>
      <c r="S25" s="222"/>
      <c r="T25" s="82">
        <v>0</v>
      </c>
      <c r="U25" s="10"/>
      <c r="W25" s="10"/>
      <c r="X25" s="222" t="s">
        <v>413</v>
      </c>
      <c r="Y25" s="223"/>
      <c r="Z25" s="19">
        <v>6</v>
      </c>
      <c r="AA25" s="10"/>
      <c r="AC25" s="10"/>
      <c r="AD25" s="222" t="s">
        <v>76</v>
      </c>
      <c r="AE25" s="222"/>
      <c r="AF25" s="236">
        <f>Calculations!K75</f>
        <v>0</v>
      </c>
      <c r="AG25" s="221"/>
      <c r="AH25" s="10"/>
    </row>
    <row r="26" spans="2:34" x14ac:dyDescent="0.25">
      <c r="C26" s="8"/>
      <c r="D26" s="8"/>
      <c r="E26" s="8"/>
      <c r="F26" s="8"/>
      <c r="I26" s="10"/>
      <c r="J26" s="222" t="s">
        <v>34</v>
      </c>
      <c r="K26" s="223"/>
      <c r="L26" s="224" t="s">
        <v>800</v>
      </c>
      <c r="M26" s="224"/>
      <c r="N26" s="224"/>
      <c r="O26" s="10"/>
      <c r="Q26" s="10"/>
      <c r="R26" s="222" t="s">
        <v>80</v>
      </c>
      <c r="S26" s="222"/>
      <c r="T26" s="82">
        <v>0</v>
      </c>
      <c r="U26" s="10"/>
      <c r="W26" s="10"/>
      <c r="X26" s="222" t="s">
        <v>414</v>
      </c>
      <c r="Y26" s="223"/>
      <c r="Z26" s="19">
        <v>13</v>
      </c>
      <c r="AA26" s="10"/>
      <c r="AC26" s="10"/>
      <c r="AD26" s="222" t="s">
        <v>77</v>
      </c>
      <c r="AE26" s="222"/>
      <c r="AF26" s="236">
        <f>Calculations!K76</f>
        <v>0</v>
      </c>
      <c r="AG26" s="221"/>
      <c r="AH26" s="10"/>
    </row>
    <row r="27" spans="2:34" x14ac:dyDescent="0.25">
      <c r="C27" s="8"/>
      <c r="D27" s="8"/>
      <c r="E27" s="8"/>
      <c r="F27" s="8"/>
      <c r="I27" s="10"/>
      <c r="J27" s="222" t="s">
        <v>35</v>
      </c>
      <c r="K27" s="223"/>
      <c r="L27" s="224">
        <v>20</v>
      </c>
      <c r="M27" s="224"/>
      <c r="N27" s="224"/>
      <c r="O27" s="10"/>
      <c r="Q27" s="10"/>
      <c r="R27" s="222" t="s">
        <v>81</v>
      </c>
      <c r="S27" s="222"/>
      <c r="T27" s="82">
        <f>0.3%*80</f>
        <v>0.24</v>
      </c>
      <c r="U27" s="10"/>
      <c r="W27" s="10"/>
      <c r="X27" s="222" t="s">
        <v>68</v>
      </c>
      <c r="Y27" s="223"/>
      <c r="Z27" s="19">
        <v>7</v>
      </c>
      <c r="AA27" s="10"/>
      <c r="AC27" s="10"/>
      <c r="AD27" s="222" t="s">
        <v>78</v>
      </c>
      <c r="AE27" s="222"/>
      <c r="AF27" s="236">
        <f>Calculations!K77</f>
        <v>0</v>
      </c>
      <c r="AG27" s="221"/>
      <c r="AH27" s="10"/>
    </row>
    <row r="28" spans="2:34" x14ac:dyDescent="0.25">
      <c r="C28" s="8"/>
      <c r="D28" s="8"/>
      <c r="E28" s="8"/>
      <c r="F28" s="8"/>
      <c r="I28" s="10"/>
      <c r="J28" s="222" t="s">
        <v>36</v>
      </c>
      <c r="K28" s="223"/>
      <c r="L28" s="224" t="s">
        <v>69</v>
      </c>
      <c r="M28" s="224"/>
      <c r="N28" s="224"/>
      <c r="O28" s="10"/>
      <c r="Q28" s="10"/>
      <c r="R28" s="222" t="s">
        <v>83</v>
      </c>
      <c r="S28" s="222"/>
      <c r="T28" s="82">
        <v>0</v>
      </c>
      <c r="U28" s="10"/>
      <c r="W28" s="10"/>
      <c r="X28" s="222" t="s">
        <v>69</v>
      </c>
      <c r="Y28" s="223"/>
      <c r="Z28" s="19">
        <v>2</v>
      </c>
      <c r="AA28" s="10"/>
      <c r="AC28" s="10"/>
      <c r="AD28" s="222" t="s">
        <v>79</v>
      </c>
      <c r="AE28" s="222"/>
      <c r="AF28" s="236">
        <f>Calculations!K78</f>
        <v>0</v>
      </c>
      <c r="AG28" s="221"/>
      <c r="AH28" s="10"/>
    </row>
    <row r="29" spans="2:34" x14ac:dyDescent="0.25">
      <c r="C29" s="8"/>
      <c r="D29" s="8"/>
      <c r="E29" s="8"/>
      <c r="F29" s="8"/>
      <c r="I29" s="10"/>
      <c r="J29" s="222" t="s">
        <v>37</v>
      </c>
      <c r="K29" s="223"/>
      <c r="L29" s="224" t="s">
        <v>800</v>
      </c>
      <c r="M29" s="224"/>
      <c r="N29" s="224"/>
      <c r="O29" s="10"/>
      <c r="Q29" s="10"/>
      <c r="R29" s="222" t="s">
        <v>84</v>
      </c>
      <c r="S29" s="223"/>
      <c r="T29" s="82">
        <v>0</v>
      </c>
      <c r="U29" s="10"/>
      <c r="W29" s="10"/>
      <c r="X29" s="10"/>
      <c r="Y29" s="10"/>
      <c r="Z29" s="10"/>
      <c r="AA29" s="10"/>
      <c r="AC29" s="10"/>
      <c r="AD29" s="222" t="s">
        <v>80</v>
      </c>
      <c r="AE29" s="222"/>
      <c r="AF29" s="236">
        <f>Calculations!K79</f>
        <v>0</v>
      </c>
      <c r="AG29" s="221"/>
      <c r="AH29" s="10"/>
    </row>
    <row r="30" spans="2:34" x14ac:dyDescent="0.25">
      <c r="C30" s="8"/>
      <c r="D30" s="8"/>
      <c r="E30" s="8"/>
      <c r="F30" s="8"/>
      <c r="I30" s="10"/>
      <c r="J30" s="222" t="s">
        <v>38</v>
      </c>
      <c r="K30" s="223"/>
      <c r="L30" s="224">
        <v>20</v>
      </c>
      <c r="M30" s="224"/>
      <c r="N30" s="224"/>
      <c r="O30" s="10"/>
      <c r="Q30" s="10"/>
      <c r="R30" s="222" t="s">
        <v>85</v>
      </c>
      <c r="S30" s="223"/>
      <c r="T30" s="82">
        <v>0</v>
      </c>
      <c r="U30" s="10"/>
      <c r="AC30" s="10"/>
      <c r="AD30" s="222" t="s">
        <v>81</v>
      </c>
      <c r="AE30" s="222"/>
      <c r="AF30" s="236">
        <f>Calculations!K80</f>
        <v>0.56000000000000005</v>
      </c>
      <c r="AG30" s="221"/>
      <c r="AH30" s="10"/>
    </row>
    <row r="31" spans="2:34" x14ac:dyDescent="0.25">
      <c r="C31" s="8"/>
      <c r="D31" s="8"/>
      <c r="E31" s="8"/>
      <c r="F31" s="8"/>
      <c r="I31" s="10"/>
      <c r="J31" s="222" t="s">
        <v>39</v>
      </c>
      <c r="K31" s="223"/>
      <c r="L31" s="224" t="s">
        <v>73</v>
      </c>
      <c r="M31" s="224"/>
      <c r="N31" s="224"/>
      <c r="O31" s="10"/>
      <c r="Q31" s="10"/>
      <c r="R31" s="222" t="s">
        <v>86</v>
      </c>
      <c r="S31" s="223"/>
      <c r="T31" s="82">
        <v>0</v>
      </c>
      <c r="U31" s="10"/>
      <c r="AC31" s="10"/>
      <c r="AD31" s="10"/>
      <c r="AE31" s="10"/>
      <c r="AF31" s="10"/>
      <c r="AG31" s="10"/>
      <c r="AH31" s="10"/>
    </row>
    <row r="32" spans="2:34" x14ac:dyDescent="0.25">
      <c r="C32" s="8"/>
      <c r="D32" s="8"/>
      <c r="E32" s="8"/>
      <c r="F32" s="8"/>
      <c r="I32" s="10"/>
      <c r="J32" s="222" t="s">
        <v>40</v>
      </c>
      <c r="K32" s="223"/>
      <c r="L32" s="224" t="s">
        <v>800</v>
      </c>
      <c r="M32" s="224"/>
      <c r="N32" s="224"/>
      <c r="O32" s="10"/>
      <c r="Q32" s="10"/>
      <c r="R32" s="222" t="s">
        <v>87</v>
      </c>
      <c r="S32" s="223"/>
      <c r="T32" s="82">
        <v>0</v>
      </c>
      <c r="U32" s="10"/>
      <c r="AC32" s="8"/>
      <c r="AD32" s="8"/>
      <c r="AE32" s="8"/>
      <c r="AF32" s="8"/>
      <c r="AG32" s="8"/>
      <c r="AH32" s="8"/>
    </row>
    <row r="33" spans="3:21" x14ac:dyDescent="0.25">
      <c r="C33" s="8"/>
      <c r="D33" s="8"/>
      <c r="E33" s="8"/>
      <c r="F33" s="8"/>
      <c r="I33" s="10"/>
      <c r="J33" s="222" t="s">
        <v>41</v>
      </c>
      <c r="K33" s="223"/>
      <c r="L33" s="224">
        <v>20</v>
      </c>
      <c r="M33" s="224"/>
      <c r="N33" s="224"/>
      <c r="O33" s="10"/>
      <c r="Q33" s="10"/>
      <c r="R33" s="222" t="s">
        <v>90</v>
      </c>
      <c r="S33" s="223"/>
      <c r="T33" s="82">
        <v>0</v>
      </c>
      <c r="U33" s="10"/>
    </row>
    <row r="34" spans="3:21" x14ac:dyDescent="0.25">
      <c r="C34" s="8"/>
      <c r="D34" s="8"/>
      <c r="E34" s="8"/>
      <c r="F34" s="8"/>
      <c r="I34" s="10"/>
      <c r="J34" s="222" t="s">
        <v>42</v>
      </c>
      <c r="K34" s="223"/>
      <c r="L34" s="224" t="s">
        <v>824</v>
      </c>
      <c r="M34" s="224"/>
      <c r="N34" s="224"/>
      <c r="O34" s="10"/>
      <c r="Q34" s="10"/>
      <c r="R34" s="222" t="s">
        <v>88</v>
      </c>
      <c r="S34" s="223"/>
      <c r="T34" s="82">
        <v>0</v>
      </c>
      <c r="U34" s="10"/>
    </row>
    <row r="35" spans="3:21" x14ac:dyDescent="0.25">
      <c r="C35" s="8"/>
      <c r="D35" s="8"/>
      <c r="E35" s="8"/>
      <c r="F35" s="8"/>
      <c r="I35" s="10"/>
      <c r="J35" s="222" t="s">
        <v>43</v>
      </c>
      <c r="K35" s="223"/>
      <c r="L35" s="224" t="s">
        <v>800</v>
      </c>
      <c r="M35" s="224"/>
      <c r="N35" s="224"/>
      <c r="O35" s="10"/>
      <c r="Q35" s="10"/>
      <c r="R35" s="222" t="s">
        <v>89</v>
      </c>
      <c r="S35" s="223"/>
      <c r="T35" s="82">
        <v>0</v>
      </c>
      <c r="U35" s="10"/>
    </row>
    <row r="36" spans="3:21" ht="15" customHeight="1" x14ac:dyDescent="0.25">
      <c r="C36" s="8"/>
      <c r="D36" s="8"/>
      <c r="E36" s="8"/>
      <c r="F36" s="8"/>
      <c r="I36" s="10"/>
      <c r="J36" s="10"/>
      <c r="K36" s="10"/>
      <c r="L36" s="10"/>
      <c r="M36" s="10"/>
      <c r="N36" s="10"/>
      <c r="O36" s="10"/>
      <c r="Q36" s="10"/>
      <c r="R36" s="222" t="s">
        <v>91</v>
      </c>
      <c r="S36" s="223"/>
      <c r="T36" s="82">
        <v>0</v>
      </c>
      <c r="U36" s="10"/>
    </row>
    <row r="37" spans="3:21" x14ac:dyDescent="0.25">
      <c r="C37" s="8"/>
      <c r="D37" s="8"/>
      <c r="E37" s="8"/>
      <c r="F37" s="8"/>
      <c r="Q37" s="10"/>
      <c r="R37" s="222" t="s">
        <v>458</v>
      </c>
      <c r="S37" s="223"/>
      <c r="T37" s="82">
        <v>0</v>
      </c>
      <c r="U37" s="10"/>
    </row>
    <row r="38" spans="3:21" ht="15" customHeight="1" x14ac:dyDescent="0.25">
      <c r="C38" s="8"/>
      <c r="D38" s="8"/>
      <c r="E38" s="8"/>
      <c r="F38" s="8"/>
      <c r="Q38" s="10"/>
      <c r="R38" s="222" t="s">
        <v>93</v>
      </c>
      <c r="S38" s="223"/>
      <c r="T38" s="82">
        <v>0</v>
      </c>
      <c r="U38" s="10"/>
    </row>
    <row r="39" spans="3:21" ht="15" customHeight="1" x14ac:dyDescent="0.25">
      <c r="C39" s="8"/>
      <c r="D39" s="8"/>
      <c r="E39" s="8"/>
      <c r="F39" s="8"/>
      <c r="Q39" s="10"/>
      <c r="R39" s="222" t="s">
        <v>427</v>
      </c>
      <c r="S39" s="223"/>
      <c r="T39" s="82">
        <v>0</v>
      </c>
      <c r="U39" s="10"/>
    </row>
    <row r="40" spans="3:21" ht="15" customHeight="1" x14ac:dyDescent="0.25">
      <c r="C40" s="8"/>
      <c r="D40" s="8"/>
      <c r="E40" s="8"/>
      <c r="F40" s="8"/>
      <c r="Q40" s="10"/>
      <c r="R40" s="222" t="s">
        <v>457</v>
      </c>
      <c r="S40" s="223"/>
      <c r="T40" s="82">
        <v>0</v>
      </c>
      <c r="U40" s="10"/>
    </row>
    <row r="41" spans="3:21" x14ac:dyDescent="0.25">
      <c r="C41" s="231"/>
      <c r="D41" s="231"/>
      <c r="E41" s="232"/>
      <c r="F41" s="232"/>
      <c r="Q41" s="10"/>
      <c r="R41" s="222" t="s">
        <v>92</v>
      </c>
      <c r="S41" s="223"/>
      <c r="T41" s="82">
        <v>0</v>
      </c>
      <c r="U41" s="10"/>
    </row>
    <row r="42" spans="3:21" x14ac:dyDescent="0.25">
      <c r="D42" s="8"/>
      <c r="Q42" s="10"/>
      <c r="R42" s="222" t="s">
        <v>94</v>
      </c>
      <c r="S42" s="223"/>
      <c r="T42" s="82">
        <v>0</v>
      </c>
      <c r="U42" s="10"/>
    </row>
    <row r="43" spans="3:21" x14ac:dyDescent="0.25">
      <c r="Q43" s="10"/>
      <c r="R43" s="222" t="s">
        <v>95</v>
      </c>
      <c r="S43" s="223"/>
      <c r="T43" s="82">
        <v>0</v>
      </c>
      <c r="U43" s="10"/>
    </row>
    <row r="44" spans="3:21" x14ac:dyDescent="0.25">
      <c r="Q44" s="10"/>
      <c r="R44" s="222" t="s">
        <v>96</v>
      </c>
      <c r="S44" s="223"/>
      <c r="T44" s="82">
        <v>0</v>
      </c>
      <c r="U44" s="10"/>
    </row>
    <row r="45" spans="3:21" x14ac:dyDescent="0.25">
      <c r="Q45" s="10"/>
      <c r="R45" s="222" t="s">
        <v>97</v>
      </c>
      <c r="S45" s="223"/>
      <c r="T45" s="82">
        <v>0</v>
      </c>
      <c r="U45" s="10"/>
    </row>
    <row r="46" spans="3:21" x14ac:dyDescent="0.25">
      <c r="Q46" s="10"/>
      <c r="R46" s="222" t="s">
        <v>98</v>
      </c>
      <c r="S46" s="223"/>
      <c r="T46" s="82">
        <v>0</v>
      </c>
      <c r="U46" s="10"/>
    </row>
    <row r="47" spans="3:21" x14ac:dyDescent="0.25">
      <c r="Q47" s="10"/>
      <c r="R47" s="222" t="s">
        <v>424</v>
      </c>
      <c r="S47" s="223"/>
      <c r="T47" s="82">
        <v>0</v>
      </c>
      <c r="U47" s="10"/>
    </row>
    <row r="48" spans="3:21" x14ac:dyDescent="0.25">
      <c r="Q48" s="10"/>
      <c r="R48" s="222" t="s">
        <v>425</v>
      </c>
      <c r="S48" s="223"/>
      <c r="T48" s="82">
        <v>0</v>
      </c>
      <c r="U48" s="10"/>
    </row>
    <row r="49" spans="17:21" x14ac:dyDescent="0.25">
      <c r="Q49" s="10"/>
      <c r="R49" s="222" t="s">
        <v>438</v>
      </c>
      <c r="S49" s="223"/>
      <c r="T49" s="82">
        <v>0</v>
      </c>
      <c r="U49" s="10"/>
    </row>
    <row r="50" spans="17:21" x14ac:dyDescent="0.25">
      <c r="Q50" s="10"/>
      <c r="R50" s="222" t="s">
        <v>426</v>
      </c>
      <c r="S50" s="223"/>
      <c r="T50" s="82">
        <v>0</v>
      </c>
      <c r="U50" s="10"/>
    </row>
    <row r="51" spans="17:21" x14ac:dyDescent="0.25">
      <c r="Q51" s="10"/>
      <c r="R51" s="10"/>
      <c r="S51" s="10"/>
      <c r="T51" s="10"/>
      <c r="U51" s="10"/>
    </row>
  </sheetData>
  <mergeCells count="190">
    <mergeCell ref="AD26:AE26"/>
    <mergeCell ref="AF26:AG26"/>
    <mergeCell ref="AD27:AE27"/>
    <mergeCell ref="AF27:AG27"/>
    <mergeCell ref="AD28:AE28"/>
    <mergeCell ref="AF28:AG28"/>
    <mergeCell ref="AD29:AE29"/>
    <mergeCell ref="AF29:AG29"/>
    <mergeCell ref="AD30:AE30"/>
    <mergeCell ref="AF30:AG30"/>
    <mergeCell ref="AD21:AE21"/>
    <mergeCell ref="AF21:AG21"/>
    <mergeCell ref="AD22:AE22"/>
    <mergeCell ref="AF22:AG22"/>
    <mergeCell ref="AD23:AE23"/>
    <mergeCell ref="AF23:AG23"/>
    <mergeCell ref="AD24:AE24"/>
    <mergeCell ref="AF24:AG24"/>
    <mergeCell ref="AD25:AE25"/>
    <mergeCell ref="AF25:AG25"/>
    <mergeCell ref="AD9:AG10"/>
    <mergeCell ref="AD11:AE11"/>
    <mergeCell ref="AF11:AG11"/>
    <mergeCell ref="AD12:AE12"/>
    <mergeCell ref="AF12:AG12"/>
    <mergeCell ref="AD13:AE13"/>
    <mergeCell ref="AF13:AG13"/>
    <mergeCell ref="AD14:AE14"/>
    <mergeCell ref="AF14:AG14"/>
    <mergeCell ref="AD15:AE15"/>
    <mergeCell ref="AF15:AG15"/>
    <mergeCell ref="AD16:AE16"/>
    <mergeCell ref="AF16:AG16"/>
    <mergeCell ref="AD17:AE17"/>
    <mergeCell ref="AF17:AG17"/>
    <mergeCell ref="AD18:AE18"/>
    <mergeCell ref="AF18:AG18"/>
    <mergeCell ref="AD19:AE19"/>
    <mergeCell ref="AF19:AG19"/>
    <mergeCell ref="AD20:AE20"/>
    <mergeCell ref="AF20:AG20"/>
    <mergeCell ref="C3:F4"/>
    <mergeCell ref="J3:N4"/>
    <mergeCell ref="R3:T4"/>
    <mergeCell ref="X3:Z4"/>
    <mergeCell ref="AD3:AG4"/>
    <mergeCell ref="C5:D5"/>
    <mergeCell ref="E5:F5"/>
    <mergeCell ref="J5:K5"/>
    <mergeCell ref="L5:N5"/>
    <mergeCell ref="R5:S5"/>
    <mergeCell ref="X5:Y5"/>
    <mergeCell ref="AD5:AE5"/>
    <mergeCell ref="AF5:AG5"/>
    <mergeCell ref="C6:D6"/>
    <mergeCell ref="E6:F6"/>
    <mergeCell ref="J6:K6"/>
    <mergeCell ref="L6:N6"/>
    <mergeCell ref="R6:S6"/>
    <mergeCell ref="X6:Y6"/>
    <mergeCell ref="C8:D8"/>
    <mergeCell ref="E8:F8"/>
    <mergeCell ref="J8:K8"/>
    <mergeCell ref="L8:N8"/>
    <mergeCell ref="R8:S8"/>
    <mergeCell ref="X8:Y8"/>
    <mergeCell ref="C7:D7"/>
    <mergeCell ref="E7:F7"/>
    <mergeCell ref="J7:K7"/>
    <mergeCell ref="L7:N7"/>
    <mergeCell ref="R7:S7"/>
    <mergeCell ref="X7:Y7"/>
    <mergeCell ref="R11:S11"/>
    <mergeCell ref="X11:Y11"/>
    <mergeCell ref="J12:N13"/>
    <mergeCell ref="R12:S12"/>
    <mergeCell ref="X12:Y12"/>
    <mergeCell ref="C9:D9"/>
    <mergeCell ref="E9:F9"/>
    <mergeCell ref="R9:S9"/>
    <mergeCell ref="X9:Y9"/>
    <mergeCell ref="R10:S10"/>
    <mergeCell ref="X10:Y10"/>
    <mergeCell ref="C15:D15"/>
    <mergeCell ref="E15:F15"/>
    <mergeCell ref="J15:K15"/>
    <mergeCell ref="L15:N15"/>
    <mergeCell ref="R15:S15"/>
    <mergeCell ref="C13:F14"/>
    <mergeCell ref="R13:S13"/>
    <mergeCell ref="J14:K14"/>
    <mergeCell ref="L14:N14"/>
    <mergeCell ref="R14:S14"/>
    <mergeCell ref="X16:Z17"/>
    <mergeCell ref="C20:D20"/>
    <mergeCell ref="E20:F20"/>
    <mergeCell ref="R20:S20"/>
    <mergeCell ref="X20:Y20"/>
    <mergeCell ref="C18:D18"/>
    <mergeCell ref="E18:F18"/>
    <mergeCell ref="R18:S18"/>
    <mergeCell ref="X18:Y18"/>
    <mergeCell ref="C19:D19"/>
    <mergeCell ref="E19:F19"/>
    <mergeCell ref="J19:K19"/>
    <mergeCell ref="R19:S19"/>
    <mergeCell ref="X19:Y19"/>
    <mergeCell ref="C17:D17"/>
    <mergeCell ref="E17:F17"/>
    <mergeCell ref="J17:K17"/>
    <mergeCell ref="L17:N17"/>
    <mergeCell ref="R17:S17"/>
    <mergeCell ref="C16:D16"/>
    <mergeCell ref="E16:F16"/>
    <mergeCell ref="J16:K16"/>
    <mergeCell ref="L16:N16"/>
    <mergeCell ref="R16:S16"/>
    <mergeCell ref="C23:D23"/>
    <mergeCell ref="E23:F23"/>
    <mergeCell ref="J23:K23"/>
    <mergeCell ref="L23:N23"/>
    <mergeCell ref="R23:S23"/>
    <mergeCell ref="X23:Y23"/>
    <mergeCell ref="C21:D21"/>
    <mergeCell ref="E21:F21"/>
    <mergeCell ref="J21:N22"/>
    <mergeCell ref="R21:S21"/>
    <mergeCell ref="X21:Y21"/>
    <mergeCell ref="C22:D22"/>
    <mergeCell ref="E22:F22"/>
    <mergeCell ref="R22:S22"/>
    <mergeCell ref="X22:Y22"/>
    <mergeCell ref="J24:K24"/>
    <mergeCell ref="L24:N24"/>
    <mergeCell ref="R24:S24"/>
    <mergeCell ref="X24:Y24"/>
    <mergeCell ref="J25:K25"/>
    <mergeCell ref="L25:N25"/>
    <mergeCell ref="R25:S25"/>
    <mergeCell ref="X25:Y25"/>
    <mergeCell ref="J26:K26"/>
    <mergeCell ref="L26:N26"/>
    <mergeCell ref="R26:S26"/>
    <mergeCell ref="X26:Y26"/>
    <mergeCell ref="J27:K27"/>
    <mergeCell ref="L27:N27"/>
    <mergeCell ref="R27:S27"/>
    <mergeCell ref="X27:Y27"/>
    <mergeCell ref="J29:K29"/>
    <mergeCell ref="L29:N29"/>
    <mergeCell ref="R29:S29"/>
    <mergeCell ref="J28:K28"/>
    <mergeCell ref="L28:N28"/>
    <mergeCell ref="R28:S28"/>
    <mergeCell ref="X28:Y28"/>
    <mergeCell ref="J32:K32"/>
    <mergeCell ref="L32:N32"/>
    <mergeCell ref="R32:S32"/>
    <mergeCell ref="J31:K31"/>
    <mergeCell ref="L31:N31"/>
    <mergeCell ref="R31:S31"/>
    <mergeCell ref="J30:K30"/>
    <mergeCell ref="L30:N30"/>
    <mergeCell ref="R30:S30"/>
    <mergeCell ref="R37:S37"/>
    <mergeCell ref="R38:S38"/>
    <mergeCell ref="R39:S39"/>
    <mergeCell ref="R40:S40"/>
    <mergeCell ref="J35:K35"/>
    <mergeCell ref="L35:N35"/>
    <mergeCell ref="R35:S35"/>
    <mergeCell ref="R36:S36"/>
    <mergeCell ref="J33:K33"/>
    <mergeCell ref="L33:N33"/>
    <mergeCell ref="R33:S33"/>
    <mergeCell ref="J34:K34"/>
    <mergeCell ref="L34:N34"/>
    <mergeCell ref="R34:S34"/>
    <mergeCell ref="R45:S45"/>
    <mergeCell ref="R46:S46"/>
    <mergeCell ref="R47:S47"/>
    <mergeCell ref="R48:S48"/>
    <mergeCell ref="R49:S49"/>
    <mergeCell ref="R50:S50"/>
    <mergeCell ref="C41:D41"/>
    <mergeCell ref="E41:F41"/>
    <mergeCell ref="R41:S41"/>
    <mergeCell ref="R42:S42"/>
    <mergeCell ref="R43:S43"/>
    <mergeCell ref="R44:S44"/>
  </mergeCells>
  <dataValidations count="1">
    <dataValidation type="list" allowBlank="1" showInputMessage="1" showErrorMessage="1" sqref="E15:E19 E21:E22" xr:uid="{AE14DD1E-2354-423B-A528-18B94BEF8B19}">
      <formula1>"Pyro, Cryo, Hydro, Electro, Anemo, Geo, Dendro, Phys"</formula1>
    </dataValidation>
  </dataValidations>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4338" r:id="rId4" name="Check Box 2">
              <controlPr defaultSize="0" autoFill="0" autoLine="0" autoPict="0">
                <anchor moveWithCells="1">
                  <from>
                    <xdr:col>12</xdr:col>
                    <xdr:colOff>266700</xdr:colOff>
                    <xdr:row>7</xdr:row>
                    <xdr:rowOff>0</xdr:rowOff>
                  </from>
                  <to>
                    <xdr:col>12</xdr:col>
                    <xdr:colOff>457200</xdr:colOff>
                    <xdr:row>8</xdr:row>
                    <xdr:rowOff>0</xdr:rowOff>
                  </to>
                </anchor>
              </controlPr>
            </control>
          </mc:Choice>
        </mc:AlternateContent>
        <mc:AlternateContent xmlns:mc="http://schemas.openxmlformats.org/markup-compatibility/2006">
          <mc:Choice Requires="x14">
            <control shapeId="14339" r:id="rId5" name="Check Box 3">
              <controlPr defaultSize="0" autoFill="0" autoLine="0" autoPict="0">
                <anchor moveWithCells="1">
                  <from>
                    <xdr:col>12</xdr:col>
                    <xdr:colOff>266700</xdr:colOff>
                    <xdr:row>16</xdr:row>
                    <xdr:rowOff>0</xdr:rowOff>
                  </from>
                  <to>
                    <xdr:col>12</xdr:col>
                    <xdr:colOff>495300</xdr:colOff>
                    <xdr:row>17</xdr:row>
                    <xdr:rowOff>9525</xdr:rowOff>
                  </to>
                </anchor>
              </controlPr>
            </control>
          </mc:Choice>
        </mc:AlternateContent>
      </controls>
    </mc:Choice>
  </mc:AlternateContent>
  <extLst>
    <ext xmlns:x14="http://schemas.microsoft.com/office/spreadsheetml/2009/9/main" uri="{CCE6A557-97BC-4b89-ADB6-D9C93CAAB3DF}">
      <x14:dataValidations xmlns:xm="http://schemas.microsoft.com/office/excel/2006/main" count="15">
        <x14:dataValidation type="list" allowBlank="1" showInputMessage="1" showErrorMessage="1" xr:uid="{F17DCD50-828B-49C8-B452-DB0EA8FE5B92}">
          <x14:formula1>
            <xm:f>'Data Val'!$C$2:$C$6</xm:f>
          </x14:formula1>
          <xm:sqref>E20:F20 E23:F23</xm:sqref>
        </x14:dataValidation>
        <x14:dataValidation type="list" allowBlank="1" showInputMessage="1" showErrorMessage="1" xr:uid="{9A435EB5-9E79-491E-A756-B9AEC596E89D}">
          <x14:formula1>
            <xm:f>artisDB!$A$2:$A$53</xm:f>
          </x14:formula1>
          <xm:sqref>L15:N15</xm:sqref>
        </x14:dataValidation>
        <x14:dataValidation type="list" allowBlank="1" showInputMessage="1" showErrorMessage="1" xr:uid="{6F9DBE10-F5B9-41A3-A156-B27E530BEE4B}">
          <x14:formula1>
            <xm:f>artisDB!$A$2:$A$27</xm:f>
          </x14:formula1>
          <xm:sqref>L14:N14</xm:sqref>
        </x14:dataValidation>
        <x14:dataValidation type="list" allowBlank="1" showInputMessage="1" showErrorMessage="1" xr:uid="{F11B8EA0-BC4F-466F-B973-CC8BA7CD36CB}">
          <x14:formula1>
            <xm:f>weaponsDB!$B$1:$CS$1</xm:f>
          </x14:formula1>
          <xm:sqref>L5:N5</xm:sqref>
        </x14:dataValidation>
        <x14:dataValidation type="list" allowBlank="1" showInputMessage="1" showErrorMessage="1" xr:uid="{B54A2CFB-7BD1-425E-8A71-8CE560E6F0F0}">
          <x14:formula1>
            <xm:f>'Artifact Database'!$AA$3:$AA$9</xm:f>
          </x14:formula1>
          <xm:sqref>L34:N34</xm:sqref>
        </x14:dataValidation>
        <x14:dataValidation type="list" allowBlank="1" showInputMessage="1" showErrorMessage="1" xr:uid="{C0B501CE-8304-4279-BA82-D0A2A731E8D2}">
          <x14:formula1>
            <xm:f>'Artifact Database'!$Z$3:$Z$13</xm:f>
          </x14:formula1>
          <xm:sqref>L31:N31</xm:sqref>
        </x14:dataValidation>
        <x14:dataValidation type="list" allowBlank="1" showInputMessage="1" showErrorMessage="1" xr:uid="{DBE5C3C7-5C5D-49ED-BB37-B2DC41B527DA}">
          <x14:formula1>
            <xm:f>'Artifact Database'!$Y$3:$Y$7</xm:f>
          </x14:formula1>
          <xm:sqref>L28:N28</xm:sqref>
        </x14:dataValidation>
        <x14:dataValidation type="list" allowBlank="1" showInputMessage="1" showErrorMessage="1" xr:uid="{E3CA26D2-B297-4275-A21D-5E923E815E36}">
          <x14:formula1>
            <xm:f>'Artifact Database'!$Y$16:$AC$16</xm:f>
          </x14:formula1>
          <xm:sqref>L24:N24 L26:N26 L29:N29 L32:N32 L35:N35</xm:sqref>
        </x14:dataValidation>
        <x14:dataValidation type="list" allowBlank="1" showInputMessage="1" showErrorMessage="1" xr:uid="{83D91232-F85C-4049-91EC-ADF7461409A0}">
          <x14:formula1>
            <xm:f>'Artifact Database'!$B$1:$D$1</xm:f>
          </x14:formula1>
          <xm:sqref>Z7</xm:sqref>
        </x14:dataValidation>
        <x14:dataValidation type="list" allowBlank="1" showInputMessage="1" showErrorMessage="1" xr:uid="{5BE33A8B-7D4B-4645-BFAF-7334C99B5B02}">
          <x14:formula1>
            <xm:f>'Data Val'!$A$8:$A$21</xm:f>
          </x14:formula1>
          <xm:sqref>E6:F6</xm:sqref>
        </x14:dataValidation>
        <x14:dataValidation type="whole" allowBlank="1" showInputMessage="1" showErrorMessage="1" xr:uid="{9AC16CD3-F019-458D-BB64-93C5E75E95E9}">
          <x14:formula1>
            <xm:f>0</xm:f>
          </x14:formula1>
          <x14:formula2>
            <xm:f>'Artifact Database'!Z62</xm:f>
          </x14:formula2>
          <xm:sqref>L23:N23</xm:sqref>
        </x14:dataValidation>
        <x14:dataValidation type="whole" allowBlank="1" showInputMessage="1" showErrorMessage="1" xr:uid="{581B9AB4-9B3B-410C-9ADF-800411A90874}">
          <x14:formula1>
            <xm:f>0</xm:f>
          </x14:formula1>
          <x14:formula2>
            <xm:f>'Artifact Database'!AA62</xm:f>
          </x14:formula2>
          <xm:sqref>L25:N25</xm:sqref>
        </x14:dataValidation>
        <x14:dataValidation type="whole" allowBlank="1" showInputMessage="1" showErrorMessage="1" xr:uid="{497E79DA-85A4-472A-B438-762718E97EA0}">
          <x14:formula1>
            <xm:f>0</xm:f>
          </x14:formula1>
          <x14:formula2>
            <xm:f>'Artifact Database'!AB62</xm:f>
          </x14:formula2>
          <xm:sqref>L27:N27</xm:sqref>
        </x14:dataValidation>
        <x14:dataValidation type="whole" allowBlank="1" showInputMessage="1" showErrorMessage="1" xr:uid="{91C9638F-AB0C-4F22-BF58-72CE830877D1}">
          <x14:formula1>
            <xm:f>0</xm:f>
          </x14:formula1>
          <x14:formula2>
            <xm:f>'Artifact Database'!AC62</xm:f>
          </x14:formula2>
          <xm:sqref>L30:N30</xm:sqref>
        </x14:dataValidation>
        <x14:dataValidation type="whole" allowBlank="1" showInputMessage="1" showErrorMessage="1" xr:uid="{E2497006-E771-48EB-9880-7E30CF85EE12}">
          <x14:formula1>
            <xm:f>0</xm:f>
          </x14:formula1>
          <x14:formula2>
            <xm:f>'Artifact Database'!AD62</xm:f>
          </x14:formula2>
          <xm:sqref>L33:N33</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0A4EAB-C7B2-44A5-BCEA-8E8B7D349E6B}">
  <dimension ref="A1:AH51"/>
  <sheetViews>
    <sheetView zoomScaleNormal="100" workbookViewId="0">
      <selection activeCell="E18" sqref="E18:F18"/>
    </sheetView>
  </sheetViews>
  <sheetFormatPr defaultRowHeight="15" x14ac:dyDescent="0.25"/>
  <cols>
    <col min="1" max="1" width="2.7109375" style="1" customWidth="1"/>
    <col min="2" max="2" width="2.7109375" style="8" customWidth="1"/>
    <col min="3" max="3" width="9.85546875" style="1" customWidth="1"/>
    <col min="4" max="6" width="9.140625" style="1"/>
    <col min="7" max="7" width="2.7109375" style="8" customWidth="1"/>
    <col min="8" max="9" width="2.7109375" style="1" customWidth="1"/>
    <col min="10" max="11" width="9.140625" style="1"/>
    <col min="12" max="14" width="10.7109375" style="1" customWidth="1"/>
    <col min="15" max="17" width="2.7109375" style="1" customWidth="1"/>
    <col min="18" max="20" width="9.140625" style="1"/>
    <col min="21" max="21" width="2.7109375" style="15" customWidth="1"/>
    <col min="22" max="23" width="2.7109375" style="1" customWidth="1"/>
    <col min="24" max="25" width="9.140625" style="1"/>
    <col min="26" max="26" width="9.140625" style="1" customWidth="1"/>
    <col min="27" max="29" width="2.7109375" style="1" customWidth="1"/>
    <col min="30" max="33" width="9.140625" style="1"/>
    <col min="34" max="34" width="2.7109375" style="1" customWidth="1"/>
    <col min="35" max="16384" width="9.140625" style="1"/>
  </cols>
  <sheetData>
    <row r="1" spans="1:34" ht="15" customHeight="1" x14ac:dyDescent="0.25">
      <c r="A1" s="9"/>
      <c r="C1" s="7"/>
      <c r="D1" s="7"/>
      <c r="E1" s="7"/>
      <c r="F1" s="7"/>
    </row>
    <row r="2" spans="1:34" s="8" customFormat="1" ht="15" customHeight="1" x14ac:dyDescent="0.25">
      <c r="B2" s="10"/>
      <c r="C2" s="10"/>
      <c r="D2" s="10"/>
      <c r="E2" s="10"/>
      <c r="F2" s="10"/>
      <c r="G2" s="10"/>
      <c r="I2" s="10"/>
      <c r="J2" s="10"/>
      <c r="K2" s="10"/>
      <c r="L2" s="10"/>
      <c r="M2" s="10"/>
      <c r="N2" s="10"/>
      <c r="O2" s="10"/>
      <c r="Q2" s="10"/>
      <c r="R2" s="10"/>
      <c r="S2" s="10"/>
      <c r="T2" s="10"/>
      <c r="U2" s="10"/>
      <c r="W2" s="10"/>
      <c r="X2" s="10"/>
      <c r="Y2" s="10"/>
      <c r="Z2" s="10"/>
      <c r="AA2" s="10"/>
      <c r="AC2" s="10"/>
      <c r="AD2" s="10"/>
      <c r="AE2" s="10"/>
      <c r="AF2" s="10"/>
      <c r="AG2" s="10"/>
      <c r="AH2" s="10"/>
    </row>
    <row r="3" spans="1:34" x14ac:dyDescent="0.25">
      <c r="B3" s="10"/>
      <c r="C3" s="228" t="s">
        <v>749</v>
      </c>
      <c r="D3" s="228"/>
      <c r="E3" s="228"/>
      <c r="F3" s="228"/>
      <c r="G3" s="10"/>
      <c r="H3" s="6"/>
      <c r="I3" s="10"/>
      <c r="J3" s="228" t="s">
        <v>28</v>
      </c>
      <c r="K3" s="228"/>
      <c r="L3" s="228"/>
      <c r="M3" s="228"/>
      <c r="N3" s="228"/>
      <c r="O3" s="10"/>
      <c r="Q3" s="10"/>
      <c r="R3" s="228" t="s">
        <v>61</v>
      </c>
      <c r="S3" s="228"/>
      <c r="T3" s="228"/>
      <c r="U3" s="10"/>
      <c r="W3" s="10"/>
      <c r="X3" s="228" t="s">
        <v>99</v>
      </c>
      <c r="Y3" s="228"/>
      <c r="Z3" s="228"/>
      <c r="AA3" s="10"/>
      <c r="AC3" s="10"/>
      <c r="AD3" s="228" t="s">
        <v>120</v>
      </c>
      <c r="AE3" s="228"/>
      <c r="AF3" s="228"/>
      <c r="AG3" s="228"/>
      <c r="AH3" s="10"/>
    </row>
    <row r="4" spans="1:34" x14ac:dyDescent="0.25">
      <c r="B4" s="10"/>
      <c r="C4" s="228"/>
      <c r="D4" s="228"/>
      <c r="E4" s="228"/>
      <c r="F4" s="228"/>
      <c r="G4" s="10"/>
      <c r="H4" s="6"/>
      <c r="I4" s="10"/>
      <c r="J4" s="228"/>
      <c r="K4" s="228"/>
      <c r="L4" s="228"/>
      <c r="M4" s="228"/>
      <c r="N4" s="228"/>
      <c r="O4" s="10"/>
      <c r="Q4" s="10"/>
      <c r="R4" s="228"/>
      <c r="S4" s="228"/>
      <c r="T4" s="228"/>
      <c r="U4" s="10"/>
      <c r="W4" s="10"/>
      <c r="X4" s="228"/>
      <c r="Y4" s="228"/>
      <c r="Z4" s="228"/>
      <c r="AA4" s="10"/>
      <c r="AC4" s="10"/>
      <c r="AD4" s="228"/>
      <c r="AE4" s="228"/>
      <c r="AF4" s="228"/>
      <c r="AG4" s="228"/>
      <c r="AH4" s="10"/>
    </row>
    <row r="5" spans="1:34" x14ac:dyDescent="0.25">
      <c r="B5" s="10"/>
      <c r="C5" s="222" t="s">
        <v>50</v>
      </c>
      <c r="D5" s="223"/>
      <c r="E5" s="224" t="s">
        <v>165</v>
      </c>
      <c r="F5" s="224"/>
      <c r="G5" s="10"/>
      <c r="I5" s="10"/>
      <c r="J5" s="222" t="s">
        <v>48</v>
      </c>
      <c r="K5" s="223"/>
      <c r="L5" s="224" t="s">
        <v>511</v>
      </c>
      <c r="M5" s="224"/>
      <c r="N5" s="224"/>
      <c r="O5" s="10"/>
      <c r="Q5" s="10"/>
      <c r="R5" s="222" t="s">
        <v>62</v>
      </c>
      <c r="S5" s="223"/>
      <c r="T5" s="19">
        <v>0</v>
      </c>
      <c r="U5" s="10"/>
      <c r="W5" s="10"/>
      <c r="X5" s="222" t="s">
        <v>108</v>
      </c>
      <c r="Y5" s="223"/>
      <c r="Z5" s="19">
        <v>30</v>
      </c>
      <c r="AA5" s="10"/>
      <c r="AC5" s="10"/>
      <c r="AD5" s="222" t="s">
        <v>121</v>
      </c>
      <c r="AE5" s="223"/>
      <c r="AF5" s="234">
        <f ca="1">'Rotation Assembler'!B272</f>
        <v>70363.088980124303</v>
      </c>
      <c r="AG5" s="234"/>
      <c r="AH5" s="10"/>
    </row>
    <row r="6" spans="1:34" x14ac:dyDescent="0.25">
      <c r="B6" s="10"/>
      <c r="C6" s="222" t="s">
        <v>51</v>
      </c>
      <c r="D6" s="223"/>
      <c r="E6" s="224" t="s">
        <v>420</v>
      </c>
      <c r="F6" s="224"/>
      <c r="G6" s="10"/>
      <c r="I6" s="10"/>
      <c r="J6" s="222" t="s">
        <v>49</v>
      </c>
      <c r="K6" s="223"/>
      <c r="L6" s="224">
        <v>1</v>
      </c>
      <c r="M6" s="224"/>
      <c r="N6" s="224"/>
      <c r="O6" s="10"/>
      <c r="Q6" s="10"/>
      <c r="R6" s="222" t="s">
        <v>63</v>
      </c>
      <c r="S6" s="223"/>
      <c r="T6" s="19">
        <v>0</v>
      </c>
      <c r="U6" s="10"/>
      <c r="W6" s="10"/>
      <c r="X6" s="222" t="s">
        <v>784</v>
      </c>
      <c r="Y6" s="225"/>
      <c r="Z6" s="16"/>
      <c r="AA6" s="10"/>
      <c r="AC6" s="10"/>
      <c r="AD6" s="10"/>
      <c r="AE6" s="10"/>
      <c r="AF6" s="10"/>
      <c r="AG6" s="10"/>
      <c r="AH6" s="10"/>
    </row>
    <row r="7" spans="1:34" x14ac:dyDescent="0.25">
      <c r="B7" s="10"/>
      <c r="C7" s="222" t="s">
        <v>52</v>
      </c>
      <c r="D7" s="223"/>
      <c r="E7" s="224">
        <v>6</v>
      </c>
      <c r="F7" s="224"/>
      <c r="G7" s="10"/>
      <c r="I7" s="10"/>
      <c r="J7" s="222" t="s">
        <v>46</v>
      </c>
      <c r="K7" s="223"/>
      <c r="L7" s="224">
        <v>0</v>
      </c>
      <c r="M7" s="224"/>
      <c r="N7" s="224"/>
      <c r="O7" s="10"/>
      <c r="Q7" s="10"/>
      <c r="R7" s="222" t="s">
        <v>64</v>
      </c>
      <c r="S7" s="223"/>
      <c r="T7" s="19">
        <v>0</v>
      </c>
      <c r="U7" s="10"/>
      <c r="W7" s="10"/>
      <c r="X7" s="222" t="s">
        <v>102</v>
      </c>
      <c r="Y7" s="223"/>
      <c r="Z7" s="19" t="s">
        <v>435</v>
      </c>
      <c r="AA7" s="10"/>
      <c r="AC7" s="8"/>
      <c r="AD7" s="8"/>
      <c r="AE7" s="8"/>
      <c r="AF7" s="8"/>
      <c r="AG7" s="8"/>
      <c r="AH7" s="8"/>
    </row>
    <row r="8" spans="1:34" x14ac:dyDescent="0.25">
      <c r="B8" s="10"/>
      <c r="C8" s="222" t="s">
        <v>53</v>
      </c>
      <c r="D8" s="223"/>
      <c r="E8" s="224">
        <v>12</v>
      </c>
      <c r="F8" s="224"/>
      <c r="G8" s="10"/>
      <c r="I8" s="10"/>
      <c r="J8" s="222" t="s">
        <v>47</v>
      </c>
      <c r="K8" s="223"/>
      <c r="L8" s="233" t="b">
        <v>1</v>
      </c>
      <c r="M8" s="233"/>
      <c r="N8" s="233"/>
      <c r="O8" s="10"/>
      <c r="Q8" s="10"/>
      <c r="R8" s="222" t="s">
        <v>69</v>
      </c>
      <c r="S8" s="223"/>
      <c r="T8" s="19">
        <v>0</v>
      </c>
      <c r="U8" s="10"/>
      <c r="W8" s="10"/>
      <c r="X8" s="222" t="s">
        <v>100</v>
      </c>
      <c r="Y8" s="223"/>
      <c r="Z8" s="103">
        <v>1.27</v>
      </c>
      <c r="AA8" s="10"/>
      <c r="AC8" s="10"/>
      <c r="AD8" s="10"/>
      <c r="AE8" s="10"/>
      <c r="AF8" s="10"/>
      <c r="AG8" s="10"/>
      <c r="AH8" s="10"/>
    </row>
    <row r="9" spans="1:34" ht="15" customHeight="1" x14ac:dyDescent="0.25">
      <c r="B9" s="10"/>
      <c r="C9" s="222" t="s">
        <v>54</v>
      </c>
      <c r="D9" s="223"/>
      <c r="E9" s="224">
        <v>12</v>
      </c>
      <c r="F9" s="224"/>
      <c r="G9" s="10"/>
      <c r="I9" s="10"/>
      <c r="J9" s="13"/>
      <c r="K9" s="13"/>
      <c r="L9" s="13"/>
      <c r="M9" s="13"/>
      <c r="N9" s="13"/>
      <c r="O9" s="10"/>
      <c r="Q9" s="10"/>
      <c r="R9" s="222" t="s">
        <v>65</v>
      </c>
      <c r="S9" s="223"/>
      <c r="T9" s="82">
        <v>0.25</v>
      </c>
      <c r="U9" s="10"/>
      <c r="W9" s="10"/>
      <c r="X9" s="222" t="s">
        <v>103</v>
      </c>
      <c r="Y9" s="223"/>
      <c r="Z9" s="19">
        <v>2</v>
      </c>
      <c r="AA9" s="10"/>
      <c r="AC9" s="10"/>
      <c r="AD9" s="228" t="s">
        <v>785</v>
      </c>
      <c r="AE9" s="228"/>
      <c r="AF9" s="228"/>
      <c r="AG9" s="228"/>
      <c r="AH9" s="10"/>
    </row>
    <row r="10" spans="1:34" x14ac:dyDescent="0.25">
      <c r="B10" s="10"/>
      <c r="C10" s="10"/>
      <c r="D10" s="10"/>
      <c r="E10" s="10"/>
      <c r="F10" s="10"/>
      <c r="G10" s="10"/>
      <c r="I10" s="8"/>
      <c r="Q10" s="10"/>
      <c r="R10" s="222" t="s">
        <v>66</v>
      </c>
      <c r="S10" s="223"/>
      <c r="T10" s="82">
        <v>0</v>
      </c>
      <c r="U10" s="10"/>
      <c r="W10" s="10"/>
      <c r="X10" s="222" t="s">
        <v>104</v>
      </c>
      <c r="Y10" s="223"/>
      <c r="Z10" s="103">
        <v>1</v>
      </c>
      <c r="AA10" s="10"/>
      <c r="AC10" s="10"/>
      <c r="AD10" s="228"/>
      <c r="AE10" s="228"/>
      <c r="AF10" s="228"/>
      <c r="AG10" s="228"/>
      <c r="AH10" s="10"/>
    </row>
    <row r="11" spans="1:34" ht="14.25" customHeight="1" x14ac:dyDescent="0.25">
      <c r="C11" s="8"/>
      <c r="D11" s="8"/>
      <c r="E11" s="8"/>
      <c r="F11" s="8"/>
      <c r="I11" s="10"/>
      <c r="J11" s="10"/>
      <c r="K11" s="10"/>
      <c r="L11" s="10"/>
      <c r="M11" s="10"/>
      <c r="N11" s="10"/>
      <c r="O11" s="10"/>
      <c r="Q11" s="10"/>
      <c r="R11" s="222" t="s">
        <v>67</v>
      </c>
      <c r="S11" s="223"/>
      <c r="T11" s="82">
        <v>0</v>
      </c>
      <c r="U11" s="10"/>
      <c r="W11" s="10"/>
      <c r="X11" s="222" t="s">
        <v>105</v>
      </c>
      <c r="Y11" s="223"/>
      <c r="Z11" s="103">
        <v>2</v>
      </c>
      <c r="AA11" s="10"/>
      <c r="AC11" s="10"/>
      <c r="AD11" s="222" t="s">
        <v>754</v>
      </c>
      <c r="AE11" s="223"/>
      <c r="AF11" s="221">
        <f>char3FinalHP</f>
        <v>17971.5488</v>
      </c>
      <c r="AG11" s="221"/>
      <c r="AH11" s="10"/>
    </row>
    <row r="12" spans="1:34" ht="15" customHeight="1" x14ac:dyDescent="0.25">
      <c r="B12" s="10"/>
      <c r="C12" s="10"/>
      <c r="D12" s="10"/>
      <c r="E12" s="10"/>
      <c r="F12" s="10"/>
      <c r="G12" s="10"/>
      <c r="I12" s="10"/>
      <c r="J12" s="228" t="s">
        <v>29</v>
      </c>
      <c r="K12" s="228"/>
      <c r="L12" s="228"/>
      <c r="M12" s="228"/>
      <c r="N12" s="228"/>
      <c r="O12" s="10"/>
      <c r="Q12" s="10"/>
      <c r="R12" s="222" t="s">
        <v>413</v>
      </c>
      <c r="S12" s="223"/>
      <c r="T12" s="82">
        <v>0</v>
      </c>
      <c r="U12" s="10"/>
      <c r="W12" s="10"/>
      <c r="X12" s="222" t="s">
        <v>106</v>
      </c>
      <c r="Y12" s="223"/>
      <c r="Z12" s="19">
        <v>500</v>
      </c>
      <c r="AA12" s="10"/>
      <c r="AC12" s="10"/>
      <c r="AD12" s="222" t="s">
        <v>753</v>
      </c>
      <c r="AE12" s="223"/>
      <c r="AF12" s="221">
        <f>char3FinalDEF</f>
        <v>846.39200000000005</v>
      </c>
      <c r="AG12" s="221"/>
      <c r="AH12" s="10"/>
    </row>
    <row r="13" spans="1:34" x14ac:dyDescent="0.25">
      <c r="B13" s="10"/>
      <c r="C13" s="228" t="s">
        <v>27</v>
      </c>
      <c r="D13" s="228"/>
      <c r="E13" s="228"/>
      <c r="F13" s="228"/>
      <c r="G13" s="10"/>
      <c r="I13" s="10"/>
      <c r="J13" s="228"/>
      <c r="K13" s="228"/>
      <c r="L13" s="228"/>
      <c r="M13" s="228"/>
      <c r="N13" s="228"/>
      <c r="O13" s="10"/>
      <c r="Q13" s="10"/>
      <c r="R13" s="222" t="s">
        <v>414</v>
      </c>
      <c r="S13" s="223"/>
      <c r="T13" s="82">
        <v>0</v>
      </c>
      <c r="U13" s="10"/>
      <c r="W13" s="10"/>
      <c r="X13" s="10"/>
      <c r="Y13" s="10"/>
      <c r="Z13" s="10"/>
      <c r="AA13" s="10"/>
      <c r="AC13" s="10"/>
      <c r="AD13" s="222" t="s">
        <v>752</v>
      </c>
      <c r="AE13" s="223"/>
      <c r="AF13" s="221">
        <f>char3FinalATK</f>
        <v>1580.3415999999997</v>
      </c>
      <c r="AG13" s="221"/>
      <c r="AH13" s="10"/>
    </row>
    <row r="14" spans="1:34" ht="15" customHeight="1" x14ac:dyDescent="0.25">
      <c r="B14" s="10"/>
      <c r="C14" s="228"/>
      <c r="D14" s="228"/>
      <c r="E14" s="228"/>
      <c r="F14" s="228"/>
      <c r="G14" s="10"/>
      <c r="I14" s="10"/>
      <c r="J14" s="222" t="s">
        <v>44</v>
      </c>
      <c r="K14" s="223"/>
      <c r="L14" s="224" t="s">
        <v>584</v>
      </c>
      <c r="M14" s="224"/>
      <c r="N14" s="224"/>
      <c r="O14" s="10"/>
      <c r="Q14" s="10"/>
      <c r="R14" s="222" t="s">
        <v>68</v>
      </c>
      <c r="S14" s="223"/>
      <c r="T14" s="82">
        <v>0</v>
      </c>
      <c r="U14" s="10"/>
      <c r="AC14" s="10"/>
      <c r="AD14" s="222" t="s">
        <v>786</v>
      </c>
      <c r="AE14" s="223"/>
      <c r="AF14" s="235">
        <f ca="1">char3FinalER</f>
        <v>1.3772</v>
      </c>
      <c r="AG14" s="235"/>
      <c r="AH14" s="10"/>
    </row>
    <row r="15" spans="1:34" x14ac:dyDescent="0.25">
      <c r="B15" s="10"/>
      <c r="C15" s="222" t="s">
        <v>20</v>
      </c>
      <c r="D15" s="225"/>
      <c r="E15" s="226" t="s">
        <v>723</v>
      </c>
      <c r="F15" s="227"/>
      <c r="G15" s="10"/>
      <c r="I15" s="10"/>
      <c r="J15" s="222" t="s">
        <v>45</v>
      </c>
      <c r="K15" s="223"/>
      <c r="L15" s="224" t="s">
        <v>610</v>
      </c>
      <c r="M15" s="224"/>
      <c r="N15" s="224"/>
      <c r="O15" s="10"/>
      <c r="Q15" s="10"/>
      <c r="R15" s="222" t="s">
        <v>82</v>
      </c>
      <c r="S15" s="223"/>
      <c r="T15" s="82">
        <v>0</v>
      </c>
      <c r="U15" s="10"/>
      <c r="W15" s="10"/>
      <c r="X15" s="10"/>
      <c r="Y15" s="10"/>
      <c r="Z15" s="10"/>
      <c r="AA15" s="10"/>
      <c r="AC15" s="10"/>
      <c r="AD15" s="222" t="s">
        <v>787</v>
      </c>
      <c r="AE15" s="223"/>
      <c r="AF15" s="221">
        <f>Calculations!K113</f>
        <v>479.84000000000003</v>
      </c>
      <c r="AG15" s="221"/>
      <c r="AH15" s="10"/>
    </row>
    <row r="16" spans="1:34" x14ac:dyDescent="0.25">
      <c r="B16" s="10"/>
      <c r="C16" s="222" t="s">
        <v>21</v>
      </c>
      <c r="D16" s="225"/>
      <c r="E16" s="226" t="s">
        <v>723</v>
      </c>
      <c r="F16" s="227"/>
      <c r="G16" s="10"/>
      <c r="I16" s="10"/>
      <c r="J16" s="222" t="s">
        <v>46</v>
      </c>
      <c r="K16" s="223"/>
      <c r="L16" s="224">
        <v>0</v>
      </c>
      <c r="M16" s="224"/>
      <c r="N16" s="224"/>
      <c r="O16" s="10"/>
      <c r="Q16" s="10"/>
      <c r="R16" s="222" t="s">
        <v>70</v>
      </c>
      <c r="S16" s="223"/>
      <c r="T16" s="82">
        <v>0</v>
      </c>
      <c r="U16" s="10"/>
      <c r="W16" s="10"/>
      <c r="X16" s="228" t="s">
        <v>107</v>
      </c>
      <c r="Y16" s="228"/>
      <c r="Z16" s="228"/>
      <c r="AA16" s="10"/>
      <c r="AC16" s="10"/>
      <c r="AD16" s="222" t="s">
        <v>788</v>
      </c>
      <c r="AE16" s="223"/>
      <c r="AF16" s="236">
        <f ca="1">Calculations!K117</f>
        <v>0.42719999999999997</v>
      </c>
      <c r="AG16" s="221"/>
      <c r="AH16" s="10"/>
    </row>
    <row r="17" spans="2:34" x14ac:dyDescent="0.25">
      <c r="B17" s="10"/>
      <c r="C17" s="222" t="s">
        <v>22</v>
      </c>
      <c r="D17" s="225"/>
      <c r="E17" s="226" t="s">
        <v>723</v>
      </c>
      <c r="F17" s="227"/>
      <c r="G17" s="10"/>
      <c r="I17" s="10"/>
      <c r="J17" s="222" t="s">
        <v>47</v>
      </c>
      <c r="K17" s="223"/>
      <c r="L17" s="233" t="b">
        <v>1</v>
      </c>
      <c r="M17" s="233"/>
      <c r="N17" s="233"/>
      <c r="O17" s="10"/>
      <c r="Q17" s="10"/>
      <c r="R17" s="222" t="s">
        <v>71</v>
      </c>
      <c r="S17" s="222"/>
      <c r="T17" s="82">
        <v>0</v>
      </c>
      <c r="U17" s="10"/>
      <c r="W17" s="10"/>
      <c r="X17" s="228"/>
      <c r="Y17" s="228"/>
      <c r="Z17" s="228"/>
      <c r="AA17" s="10"/>
      <c r="AC17" s="10"/>
      <c r="AD17" s="222" t="s">
        <v>789</v>
      </c>
      <c r="AE17" s="223"/>
      <c r="AF17" s="236">
        <f ca="1">Calculations!K118</f>
        <v>0.63239999999999996</v>
      </c>
      <c r="AG17" s="221"/>
      <c r="AH17" s="10"/>
    </row>
    <row r="18" spans="2:34" x14ac:dyDescent="0.25">
      <c r="B18" s="10"/>
      <c r="C18" s="222" t="s">
        <v>19</v>
      </c>
      <c r="D18" s="225"/>
      <c r="E18" s="226" t="s">
        <v>699</v>
      </c>
      <c r="F18" s="227"/>
      <c r="G18" s="10"/>
      <c r="I18" s="10"/>
      <c r="J18" s="10"/>
      <c r="K18" s="10"/>
      <c r="L18" s="10"/>
      <c r="M18" s="10"/>
      <c r="N18" s="10"/>
      <c r="O18" s="10"/>
      <c r="Q18" s="10"/>
      <c r="R18" s="222" t="s">
        <v>72</v>
      </c>
      <c r="S18" s="222"/>
      <c r="T18" s="82">
        <v>0</v>
      </c>
      <c r="U18" s="10"/>
      <c r="W18" s="10"/>
      <c r="X18" s="222" t="s">
        <v>101</v>
      </c>
      <c r="Y18" s="223"/>
      <c r="Z18" s="19">
        <f>SUM(Z19:Z28)</f>
        <v>30</v>
      </c>
      <c r="AA18" s="10"/>
      <c r="AC18" s="10"/>
      <c r="AD18" s="222" t="s">
        <v>82</v>
      </c>
      <c r="AE18" s="222"/>
      <c r="AF18" s="236">
        <f>Calculations!K120</f>
        <v>0.12</v>
      </c>
      <c r="AG18" s="221"/>
      <c r="AH18" s="10"/>
    </row>
    <row r="19" spans="2:34" x14ac:dyDescent="0.25">
      <c r="B19" s="10"/>
      <c r="C19" s="222" t="s">
        <v>23</v>
      </c>
      <c r="D19" s="225"/>
      <c r="E19" s="226" t="s">
        <v>699</v>
      </c>
      <c r="F19" s="227"/>
      <c r="G19" s="10"/>
      <c r="I19" s="8"/>
      <c r="J19" s="221"/>
      <c r="K19" s="231"/>
      <c r="O19" s="8"/>
      <c r="Q19" s="10"/>
      <c r="R19" s="222" t="s">
        <v>73</v>
      </c>
      <c r="S19" s="222"/>
      <c r="T19" s="82">
        <v>0</v>
      </c>
      <c r="U19" s="10"/>
      <c r="W19" s="10"/>
      <c r="X19" s="222" t="s">
        <v>62</v>
      </c>
      <c r="Y19" s="223"/>
      <c r="Z19" s="19">
        <v>2</v>
      </c>
      <c r="AA19" s="10"/>
      <c r="AC19" s="10"/>
      <c r="AD19" s="222" t="s">
        <v>70</v>
      </c>
      <c r="AE19" s="222"/>
      <c r="AF19" s="236">
        <f>Calculations!K121</f>
        <v>0</v>
      </c>
      <c r="AG19" s="221"/>
      <c r="AH19" s="10"/>
    </row>
    <row r="20" spans="2:34" x14ac:dyDescent="0.25">
      <c r="B20" s="10"/>
      <c r="C20" s="222" t="s">
        <v>668</v>
      </c>
      <c r="D20" s="225"/>
      <c r="E20" s="226" t="s">
        <v>697</v>
      </c>
      <c r="F20" s="227"/>
      <c r="G20" s="10"/>
      <c r="I20" s="10"/>
      <c r="J20" s="10"/>
      <c r="K20" s="10"/>
      <c r="L20" s="10"/>
      <c r="M20" s="10"/>
      <c r="N20" s="10"/>
      <c r="O20" s="10"/>
      <c r="Q20" s="10"/>
      <c r="R20" s="222" t="s">
        <v>74</v>
      </c>
      <c r="S20" s="222"/>
      <c r="T20" s="82">
        <v>0</v>
      </c>
      <c r="U20" s="10"/>
      <c r="W20" s="10"/>
      <c r="X20" s="222" t="s">
        <v>63</v>
      </c>
      <c r="Y20" s="223"/>
      <c r="Z20" s="19">
        <v>2</v>
      </c>
      <c r="AA20" s="10"/>
      <c r="AC20" s="10"/>
      <c r="AD20" s="222" t="s">
        <v>71</v>
      </c>
      <c r="AE20" s="222"/>
      <c r="AF20" s="236">
        <f>Calculations!K122</f>
        <v>0</v>
      </c>
      <c r="AG20" s="221"/>
      <c r="AH20" s="10"/>
    </row>
    <row r="21" spans="2:34" x14ac:dyDescent="0.25">
      <c r="B21" s="10"/>
      <c r="C21" s="222" t="s">
        <v>0</v>
      </c>
      <c r="D21" s="225"/>
      <c r="E21" s="226" t="s">
        <v>699</v>
      </c>
      <c r="F21" s="227"/>
      <c r="G21" s="10"/>
      <c r="I21" s="10"/>
      <c r="J21" s="228" t="s">
        <v>30</v>
      </c>
      <c r="K21" s="228"/>
      <c r="L21" s="228"/>
      <c r="M21" s="228"/>
      <c r="N21" s="228"/>
      <c r="O21" s="10"/>
      <c r="Q21" s="10"/>
      <c r="R21" s="222" t="s">
        <v>75</v>
      </c>
      <c r="S21" s="222"/>
      <c r="T21" s="82">
        <v>0</v>
      </c>
      <c r="U21" s="10"/>
      <c r="W21" s="10"/>
      <c r="X21" s="222" t="s">
        <v>64</v>
      </c>
      <c r="Y21" s="223"/>
      <c r="Z21" s="19">
        <v>2</v>
      </c>
      <c r="AA21" s="10"/>
      <c r="AC21" s="10"/>
      <c r="AD21" s="222" t="s">
        <v>72</v>
      </c>
      <c r="AE21" s="222"/>
      <c r="AF21" s="236">
        <f>Calculations!K123</f>
        <v>0</v>
      </c>
      <c r="AG21" s="221"/>
      <c r="AH21" s="10"/>
    </row>
    <row r="22" spans="2:34" x14ac:dyDescent="0.25">
      <c r="B22" s="10"/>
      <c r="C22" s="222" t="s">
        <v>24</v>
      </c>
      <c r="D22" s="225"/>
      <c r="E22" s="226" t="s">
        <v>699</v>
      </c>
      <c r="F22" s="227"/>
      <c r="G22" s="10"/>
      <c r="I22" s="10"/>
      <c r="J22" s="228"/>
      <c r="K22" s="228"/>
      <c r="L22" s="228"/>
      <c r="M22" s="228"/>
      <c r="N22" s="228"/>
      <c r="O22" s="10"/>
      <c r="Q22" s="10"/>
      <c r="R22" s="222" t="s">
        <v>76</v>
      </c>
      <c r="S22" s="222"/>
      <c r="T22" s="82">
        <v>0</v>
      </c>
      <c r="U22" s="10"/>
      <c r="W22" s="10"/>
      <c r="X22" s="222" t="s">
        <v>65</v>
      </c>
      <c r="Y22" s="223"/>
      <c r="Z22" s="19">
        <v>2</v>
      </c>
      <c r="AA22" s="10"/>
      <c r="AC22" s="10"/>
      <c r="AD22" s="222" t="s">
        <v>73</v>
      </c>
      <c r="AE22" s="222"/>
      <c r="AF22" s="236">
        <f>Calculations!K124</f>
        <v>0.46600000000000003</v>
      </c>
      <c r="AG22" s="221"/>
      <c r="AH22" s="10"/>
    </row>
    <row r="23" spans="2:34" x14ac:dyDescent="0.25">
      <c r="B23" s="10"/>
      <c r="C23" s="222" t="s">
        <v>669</v>
      </c>
      <c r="D23" s="225"/>
      <c r="E23" s="226" t="s">
        <v>698</v>
      </c>
      <c r="F23" s="227"/>
      <c r="G23" s="10"/>
      <c r="I23" s="10"/>
      <c r="J23" s="222" t="s">
        <v>31</v>
      </c>
      <c r="K23" s="223"/>
      <c r="L23" s="224">
        <v>20</v>
      </c>
      <c r="M23" s="224"/>
      <c r="N23" s="224"/>
      <c r="O23" s="10"/>
      <c r="Q23" s="10"/>
      <c r="R23" s="222" t="s">
        <v>77</v>
      </c>
      <c r="S23" s="222"/>
      <c r="T23" s="82">
        <v>0</v>
      </c>
      <c r="U23" s="10"/>
      <c r="W23" s="10"/>
      <c r="X23" s="222" t="s">
        <v>66</v>
      </c>
      <c r="Y23" s="223"/>
      <c r="Z23" s="19">
        <v>2</v>
      </c>
      <c r="AA23" s="10"/>
      <c r="AC23" s="10"/>
      <c r="AD23" s="222" t="s">
        <v>74</v>
      </c>
      <c r="AE23" s="222"/>
      <c r="AF23" s="236">
        <f>Calculations!K125</f>
        <v>0</v>
      </c>
      <c r="AG23" s="221"/>
      <c r="AH23" s="10"/>
    </row>
    <row r="24" spans="2:34" x14ac:dyDescent="0.25">
      <c r="B24" s="10"/>
      <c r="C24" s="10"/>
      <c r="D24" s="10"/>
      <c r="E24" s="10"/>
      <c r="F24" s="10"/>
      <c r="G24" s="10"/>
      <c r="I24" s="10"/>
      <c r="J24" s="222" t="s">
        <v>32</v>
      </c>
      <c r="K24" s="223"/>
      <c r="L24" s="224" t="s">
        <v>800</v>
      </c>
      <c r="M24" s="224"/>
      <c r="N24" s="224"/>
      <c r="O24" s="10"/>
      <c r="Q24" s="10"/>
      <c r="R24" s="222" t="s">
        <v>78</v>
      </c>
      <c r="S24" s="222"/>
      <c r="T24" s="82">
        <v>0</v>
      </c>
      <c r="U24" s="10"/>
      <c r="W24" s="10"/>
      <c r="X24" s="222" t="s">
        <v>67</v>
      </c>
      <c r="Y24" s="223"/>
      <c r="Z24" s="19">
        <v>2</v>
      </c>
      <c r="AA24" s="10"/>
      <c r="AC24" s="10"/>
      <c r="AD24" s="222" t="s">
        <v>75</v>
      </c>
      <c r="AE24" s="222"/>
      <c r="AF24" s="236">
        <f>Calculations!K126</f>
        <v>0</v>
      </c>
      <c r="AG24" s="221"/>
      <c r="AH24" s="10"/>
    </row>
    <row r="25" spans="2:34" x14ac:dyDescent="0.25">
      <c r="C25" s="8"/>
      <c r="D25" s="8"/>
      <c r="E25" s="8"/>
      <c r="F25" s="8"/>
      <c r="I25" s="10"/>
      <c r="J25" s="222" t="s">
        <v>33</v>
      </c>
      <c r="K25" s="223"/>
      <c r="L25" s="224">
        <v>20</v>
      </c>
      <c r="M25" s="224"/>
      <c r="N25" s="224"/>
      <c r="O25" s="10"/>
      <c r="Q25" s="10"/>
      <c r="R25" s="222" t="s">
        <v>79</v>
      </c>
      <c r="S25" s="222"/>
      <c r="T25" s="82">
        <v>0</v>
      </c>
      <c r="U25" s="10"/>
      <c r="W25" s="10"/>
      <c r="X25" s="222" t="s">
        <v>413</v>
      </c>
      <c r="Y25" s="223"/>
      <c r="Z25" s="19">
        <v>2</v>
      </c>
      <c r="AA25" s="10"/>
      <c r="AC25" s="10"/>
      <c r="AD25" s="222" t="s">
        <v>76</v>
      </c>
      <c r="AE25" s="222"/>
      <c r="AF25" s="236">
        <f>Calculations!K127</f>
        <v>0</v>
      </c>
      <c r="AG25" s="221"/>
      <c r="AH25" s="10"/>
    </row>
    <row r="26" spans="2:34" x14ac:dyDescent="0.25">
      <c r="C26" s="8"/>
      <c r="D26" s="8"/>
      <c r="E26" s="8"/>
      <c r="F26" s="8"/>
      <c r="I26" s="10"/>
      <c r="J26" s="222" t="s">
        <v>34</v>
      </c>
      <c r="K26" s="223"/>
      <c r="L26" s="224" t="s">
        <v>800</v>
      </c>
      <c r="M26" s="224"/>
      <c r="N26" s="224"/>
      <c r="O26" s="10"/>
      <c r="Q26" s="10"/>
      <c r="R26" s="222" t="s">
        <v>80</v>
      </c>
      <c r="S26" s="222"/>
      <c r="T26" s="82">
        <v>0</v>
      </c>
      <c r="U26" s="10"/>
      <c r="W26" s="10"/>
      <c r="X26" s="222" t="s">
        <v>414</v>
      </c>
      <c r="Y26" s="223"/>
      <c r="Z26" s="19">
        <v>2</v>
      </c>
      <c r="AA26" s="10"/>
      <c r="AC26" s="10"/>
      <c r="AD26" s="222" t="s">
        <v>77</v>
      </c>
      <c r="AE26" s="222"/>
      <c r="AF26" s="236">
        <f>Calculations!K128</f>
        <v>0</v>
      </c>
      <c r="AG26" s="221"/>
      <c r="AH26" s="10"/>
    </row>
    <row r="27" spans="2:34" x14ac:dyDescent="0.25">
      <c r="C27" s="8"/>
      <c r="D27" s="8"/>
      <c r="E27" s="8"/>
      <c r="F27" s="8"/>
      <c r="I27" s="10"/>
      <c r="J27" s="222" t="s">
        <v>35</v>
      </c>
      <c r="K27" s="223"/>
      <c r="L27" s="224">
        <v>20</v>
      </c>
      <c r="M27" s="224"/>
      <c r="N27" s="224"/>
      <c r="O27" s="10"/>
      <c r="Q27" s="10"/>
      <c r="R27" s="222" t="s">
        <v>81</v>
      </c>
      <c r="S27" s="222"/>
      <c r="T27" s="82">
        <f>0.3%*60</f>
        <v>0.18</v>
      </c>
      <c r="U27" s="10"/>
      <c r="W27" s="10"/>
      <c r="X27" s="222" t="s">
        <v>68</v>
      </c>
      <c r="Y27" s="223"/>
      <c r="Z27" s="19">
        <v>2</v>
      </c>
      <c r="AA27" s="10"/>
      <c r="AC27" s="10"/>
      <c r="AD27" s="222" t="s">
        <v>78</v>
      </c>
      <c r="AE27" s="222"/>
      <c r="AF27" s="236">
        <f>Calculations!K129</f>
        <v>0</v>
      </c>
      <c r="AG27" s="221"/>
      <c r="AH27" s="10"/>
    </row>
    <row r="28" spans="2:34" x14ac:dyDescent="0.25">
      <c r="C28" s="8"/>
      <c r="D28" s="8"/>
      <c r="E28" s="8"/>
      <c r="F28" s="8"/>
      <c r="I28" s="10"/>
      <c r="J28" s="222" t="s">
        <v>36</v>
      </c>
      <c r="K28" s="223"/>
      <c r="L28" s="224" t="s">
        <v>69</v>
      </c>
      <c r="M28" s="224"/>
      <c r="N28" s="224"/>
      <c r="O28" s="10"/>
      <c r="Q28" s="10"/>
      <c r="R28" s="222" t="s">
        <v>83</v>
      </c>
      <c r="S28" s="222"/>
      <c r="T28" s="82">
        <v>0</v>
      </c>
      <c r="U28" s="10"/>
      <c r="W28" s="10"/>
      <c r="X28" s="222" t="s">
        <v>69</v>
      </c>
      <c r="Y28" s="223"/>
      <c r="Z28" s="19">
        <v>12</v>
      </c>
      <c r="AA28" s="10"/>
      <c r="AC28" s="10"/>
      <c r="AD28" s="222" t="s">
        <v>79</v>
      </c>
      <c r="AE28" s="222"/>
      <c r="AF28" s="236">
        <f>Calculations!K130</f>
        <v>0</v>
      </c>
      <c r="AG28" s="221"/>
      <c r="AH28" s="10"/>
    </row>
    <row r="29" spans="2:34" x14ac:dyDescent="0.25">
      <c r="C29" s="8"/>
      <c r="D29" s="8"/>
      <c r="E29" s="8"/>
      <c r="F29" s="8"/>
      <c r="I29" s="10"/>
      <c r="J29" s="222" t="s">
        <v>37</v>
      </c>
      <c r="K29" s="223"/>
      <c r="L29" s="224" t="s">
        <v>800</v>
      </c>
      <c r="M29" s="224"/>
      <c r="N29" s="224"/>
      <c r="O29" s="10"/>
      <c r="Q29" s="10"/>
      <c r="R29" s="222" t="s">
        <v>84</v>
      </c>
      <c r="S29" s="223"/>
      <c r="T29" s="82">
        <v>0</v>
      </c>
      <c r="U29" s="10"/>
      <c r="W29" s="10"/>
      <c r="X29" s="10"/>
      <c r="Y29" s="10"/>
      <c r="Z29" s="10"/>
      <c r="AA29" s="10"/>
      <c r="AC29" s="10"/>
      <c r="AD29" s="222" t="s">
        <v>80</v>
      </c>
      <c r="AE29" s="222"/>
      <c r="AF29" s="236">
        <f>Calculations!K131</f>
        <v>0</v>
      </c>
      <c r="AG29" s="221"/>
      <c r="AH29" s="10"/>
    </row>
    <row r="30" spans="2:34" x14ac:dyDescent="0.25">
      <c r="C30" s="8"/>
      <c r="D30" s="8"/>
      <c r="E30" s="8"/>
      <c r="F30" s="8"/>
      <c r="I30" s="10"/>
      <c r="J30" s="222" t="s">
        <v>38</v>
      </c>
      <c r="K30" s="223"/>
      <c r="L30" s="224">
        <v>20</v>
      </c>
      <c r="M30" s="224"/>
      <c r="N30" s="224"/>
      <c r="O30" s="10"/>
      <c r="Q30" s="10"/>
      <c r="R30" s="222" t="s">
        <v>85</v>
      </c>
      <c r="S30" s="223"/>
      <c r="T30" s="82">
        <v>0</v>
      </c>
      <c r="U30" s="10"/>
      <c r="AC30" s="10"/>
      <c r="AD30" s="222" t="s">
        <v>81</v>
      </c>
      <c r="AE30" s="222"/>
      <c r="AF30" s="236">
        <f>Calculations!K132</f>
        <v>0.38</v>
      </c>
      <c r="AG30" s="221"/>
      <c r="AH30" s="10"/>
    </row>
    <row r="31" spans="2:34" x14ac:dyDescent="0.25">
      <c r="C31" s="8"/>
      <c r="D31" s="8"/>
      <c r="E31" s="8"/>
      <c r="F31" s="8"/>
      <c r="I31" s="10"/>
      <c r="J31" s="222" t="s">
        <v>39</v>
      </c>
      <c r="K31" s="223"/>
      <c r="L31" s="224" t="s">
        <v>73</v>
      </c>
      <c r="M31" s="224"/>
      <c r="N31" s="224"/>
      <c r="O31" s="10"/>
      <c r="Q31" s="10"/>
      <c r="R31" s="222" t="s">
        <v>86</v>
      </c>
      <c r="S31" s="223"/>
      <c r="T31" s="82">
        <v>0</v>
      </c>
      <c r="U31" s="10"/>
      <c r="AC31" s="10"/>
      <c r="AD31" s="10"/>
      <c r="AE31" s="10"/>
      <c r="AF31" s="10"/>
      <c r="AG31" s="10"/>
      <c r="AH31" s="10"/>
    </row>
    <row r="32" spans="2:34" x14ac:dyDescent="0.25">
      <c r="C32" s="8"/>
      <c r="D32" s="8"/>
      <c r="E32" s="8"/>
      <c r="F32" s="8"/>
      <c r="I32" s="10"/>
      <c r="J32" s="222" t="s">
        <v>40</v>
      </c>
      <c r="K32" s="223"/>
      <c r="L32" s="224" t="s">
        <v>800</v>
      </c>
      <c r="M32" s="224"/>
      <c r="N32" s="224"/>
      <c r="O32" s="10"/>
      <c r="Q32" s="10"/>
      <c r="R32" s="222" t="s">
        <v>87</v>
      </c>
      <c r="S32" s="223"/>
      <c r="T32" s="82">
        <v>0</v>
      </c>
      <c r="U32" s="10"/>
      <c r="AC32" s="8"/>
      <c r="AD32" s="8"/>
      <c r="AE32" s="8"/>
      <c r="AF32" s="8"/>
      <c r="AG32" s="8"/>
      <c r="AH32" s="8"/>
    </row>
    <row r="33" spans="3:34" x14ac:dyDescent="0.25">
      <c r="C33" s="8"/>
      <c r="D33" s="8"/>
      <c r="E33" s="8"/>
      <c r="F33" s="8"/>
      <c r="I33" s="10"/>
      <c r="J33" s="222" t="s">
        <v>41</v>
      </c>
      <c r="K33" s="223"/>
      <c r="L33" s="224">
        <v>20</v>
      </c>
      <c r="M33" s="224"/>
      <c r="N33" s="224"/>
      <c r="O33" s="10"/>
      <c r="Q33" s="10"/>
      <c r="R33" s="222" t="s">
        <v>90</v>
      </c>
      <c r="S33" s="223"/>
      <c r="T33" s="82">
        <v>0</v>
      </c>
      <c r="U33" s="10"/>
      <c r="AC33" s="8"/>
      <c r="AD33" s="8"/>
      <c r="AE33" s="8"/>
      <c r="AF33" s="8"/>
      <c r="AG33" s="8"/>
      <c r="AH33" s="8"/>
    </row>
    <row r="34" spans="3:34" x14ac:dyDescent="0.25">
      <c r="C34" s="8"/>
      <c r="D34" s="8"/>
      <c r="E34" s="8"/>
      <c r="F34" s="8"/>
      <c r="I34" s="10"/>
      <c r="J34" s="222" t="s">
        <v>42</v>
      </c>
      <c r="K34" s="223"/>
      <c r="L34" s="224" t="s">
        <v>413</v>
      </c>
      <c r="M34" s="224"/>
      <c r="N34" s="224"/>
      <c r="O34" s="10"/>
      <c r="Q34" s="10"/>
      <c r="R34" s="222" t="s">
        <v>88</v>
      </c>
      <c r="S34" s="223"/>
      <c r="T34" s="82">
        <v>0</v>
      </c>
      <c r="U34" s="10"/>
    </row>
    <row r="35" spans="3:34" x14ac:dyDescent="0.25">
      <c r="C35" s="8"/>
      <c r="D35" s="8"/>
      <c r="E35" s="8"/>
      <c r="F35" s="8"/>
      <c r="I35" s="10"/>
      <c r="J35" s="222" t="s">
        <v>43</v>
      </c>
      <c r="K35" s="223"/>
      <c r="L35" s="224" t="s">
        <v>800</v>
      </c>
      <c r="M35" s="224"/>
      <c r="N35" s="224"/>
      <c r="O35" s="10"/>
      <c r="Q35" s="10"/>
      <c r="R35" s="222" t="s">
        <v>89</v>
      </c>
      <c r="S35" s="223"/>
      <c r="T35" s="82">
        <v>0</v>
      </c>
      <c r="U35" s="10"/>
    </row>
    <row r="36" spans="3:34" x14ac:dyDescent="0.25">
      <c r="C36" s="8"/>
      <c r="D36" s="8"/>
      <c r="E36" s="8"/>
      <c r="F36" s="8"/>
      <c r="I36" s="10"/>
      <c r="J36" s="10"/>
      <c r="K36" s="10"/>
      <c r="L36" s="10"/>
      <c r="M36" s="10"/>
      <c r="N36" s="10"/>
      <c r="O36" s="10"/>
      <c r="Q36" s="10"/>
      <c r="R36" s="222" t="s">
        <v>91</v>
      </c>
      <c r="S36" s="223"/>
      <c r="T36" s="82">
        <v>0</v>
      </c>
      <c r="U36" s="10"/>
    </row>
    <row r="37" spans="3:34" x14ac:dyDescent="0.25">
      <c r="C37" s="8"/>
      <c r="D37" s="8"/>
      <c r="E37" s="8"/>
      <c r="F37" s="8"/>
      <c r="Q37" s="10"/>
      <c r="R37" s="222" t="s">
        <v>458</v>
      </c>
      <c r="S37" s="223"/>
      <c r="T37" s="82">
        <v>0</v>
      </c>
      <c r="U37" s="10"/>
    </row>
    <row r="38" spans="3:34" x14ac:dyDescent="0.25">
      <c r="C38" s="8"/>
      <c r="D38" s="8"/>
      <c r="E38" s="8"/>
      <c r="F38" s="8"/>
      <c r="Q38" s="10"/>
      <c r="R38" s="222" t="s">
        <v>93</v>
      </c>
      <c r="S38" s="223"/>
      <c r="T38" s="82">
        <v>0</v>
      </c>
      <c r="U38" s="10"/>
    </row>
    <row r="39" spans="3:34" x14ac:dyDescent="0.25">
      <c r="C39" s="8"/>
      <c r="D39" s="8"/>
      <c r="E39" s="8"/>
      <c r="F39" s="8"/>
      <c r="Q39" s="10"/>
      <c r="R39" s="222" t="s">
        <v>427</v>
      </c>
      <c r="S39" s="223"/>
      <c r="T39" s="82">
        <v>0</v>
      </c>
      <c r="U39" s="10"/>
    </row>
    <row r="40" spans="3:34" x14ac:dyDescent="0.25">
      <c r="C40" s="8"/>
      <c r="D40" s="8"/>
      <c r="E40" s="8"/>
      <c r="F40" s="8"/>
      <c r="Q40" s="10"/>
      <c r="R40" s="222" t="s">
        <v>457</v>
      </c>
      <c r="S40" s="223"/>
      <c r="T40" s="82">
        <v>0</v>
      </c>
      <c r="U40" s="10"/>
    </row>
    <row r="41" spans="3:34" x14ac:dyDescent="0.25">
      <c r="C41" s="231"/>
      <c r="D41" s="231"/>
      <c r="E41" s="232"/>
      <c r="F41" s="232"/>
      <c r="Q41" s="10"/>
      <c r="R41" s="222" t="s">
        <v>92</v>
      </c>
      <c r="S41" s="223"/>
      <c r="T41" s="82">
        <v>0</v>
      </c>
      <c r="U41" s="10"/>
    </row>
    <row r="42" spans="3:34" x14ac:dyDescent="0.25">
      <c r="D42" s="8"/>
      <c r="Q42" s="10"/>
      <c r="R42" s="222" t="s">
        <v>94</v>
      </c>
      <c r="S42" s="223"/>
      <c r="T42" s="82">
        <v>0</v>
      </c>
      <c r="U42" s="10"/>
    </row>
    <row r="43" spans="3:34" x14ac:dyDescent="0.25">
      <c r="Q43" s="10"/>
      <c r="R43" s="222" t="s">
        <v>95</v>
      </c>
      <c r="S43" s="223"/>
      <c r="T43" s="82">
        <v>0</v>
      </c>
      <c r="U43" s="10"/>
    </row>
    <row r="44" spans="3:34" x14ac:dyDescent="0.25">
      <c r="Q44" s="10"/>
      <c r="R44" s="222" t="s">
        <v>96</v>
      </c>
      <c r="S44" s="223"/>
      <c r="T44" s="82">
        <v>0</v>
      </c>
      <c r="U44" s="10"/>
    </row>
    <row r="45" spans="3:34" x14ac:dyDescent="0.25">
      <c r="Q45" s="10"/>
      <c r="R45" s="222" t="s">
        <v>97</v>
      </c>
      <c r="S45" s="223"/>
      <c r="T45" s="82">
        <v>0</v>
      </c>
      <c r="U45" s="10"/>
    </row>
    <row r="46" spans="3:34" x14ac:dyDescent="0.25">
      <c r="Q46" s="10"/>
      <c r="R46" s="222" t="s">
        <v>98</v>
      </c>
      <c r="S46" s="223"/>
      <c r="T46" s="82">
        <v>0</v>
      </c>
      <c r="U46" s="10"/>
    </row>
    <row r="47" spans="3:34" x14ac:dyDescent="0.25">
      <c r="Q47" s="10"/>
      <c r="R47" s="222" t="s">
        <v>424</v>
      </c>
      <c r="S47" s="223"/>
      <c r="T47" s="82">
        <v>0</v>
      </c>
      <c r="U47" s="10"/>
    </row>
    <row r="48" spans="3:34" x14ac:dyDescent="0.25">
      <c r="Q48" s="10"/>
      <c r="R48" s="222" t="s">
        <v>425</v>
      </c>
      <c r="S48" s="223"/>
      <c r="T48" s="82">
        <v>0</v>
      </c>
      <c r="U48" s="10"/>
    </row>
    <row r="49" spans="17:21" x14ac:dyDescent="0.25">
      <c r="Q49" s="10"/>
      <c r="R49" s="222" t="s">
        <v>438</v>
      </c>
      <c r="S49" s="223"/>
      <c r="T49" s="82">
        <v>0</v>
      </c>
      <c r="U49" s="10"/>
    </row>
    <row r="50" spans="17:21" x14ac:dyDescent="0.25">
      <c r="Q50" s="10"/>
      <c r="R50" s="222" t="s">
        <v>426</v>
      </c>
      <c r="S50" s="223"/>
      <c r="T50" s="82">
        <v>0</v>
      </c>
      <c r="U50" s="10"/>
    </row>
    <row r="51" spans="17:21" x14ac:dyDescent="0.25">
      <c r="Q51" s="10"/>
      <c r="R51" s="10"/>
      <c r="S51" s="10"/>
      <c r="T51" s="10"/>
      <c r="U51" s="10"/>
    </row>
  </sheetData>
  <mergeCells count="190">
    <mergeCell ref="AD26:AE26"/>
    <mergeCell ref="AF26:AG26"/>
    <mergeCell ref="AD27:AE27"/>
    <mergeCell ref="AF27:AG27"/>
    <mergeCell ref="AD28:AE28"/>
    <mergeCell ref="AF28:AG28"/>
    <mergeCell ref="AD29:AE29"/>
    <mergeCell ref="AF29:AG29"/>
    <mergeCell ref="AD30:AE30"/>
    <mergeCell ref="AF30:AG30"/>
    <mergeCell ref="AD21:AE21"/>
    <mergeCell ref="AF21:AG21"/>
    <mergeCell ref="AD22:AE22"/>
    <mergeCell ref="AF22:AG22"/>
    <mergeCell ref="AD23:AE23"/>
    <mergeCell ref="AF23:AG23"/>
    <mergeCell ref="AD24:AE24"/>
    <mergeCell ref="AF24:AG24"/>
    <mergeCell ref="AD25:AE25"/>
    <mergeCell ref="AF25:AG25"/>
    <mergeCell ref="AD9:AG10"/>
    <mergeCell ref="AD11:AE11"/>
    <mergeCell ref="AF11:AG11"/>
    <mergeCell ref="AD12:AE12"/>
    <mergeCell ref="AF12:AG12"/>
    <mergeCell ref="AD13:AE13"/>
    <mergeCell ref="AF13:AG13"/>
    <mergeCell ref="AD14:AE14"/>
    <mergeCell ref="AF14:AG14"/>
    <mergeCell ref="AD15:AE15"/>
    <mergeCell ref="AF15:AG15"/>
    <mergeCell ref="AD16:AE16"/>
    <mergeCell ref="AF16:AG16"/>
    <mergeCell ref="AD17:AE17"/>
    <mergeCell ref="AF17:AG17"/>
    <mergeCell ref="AD18:AE18"/>
    <mergeCell ref="AF18:AG18"/>
    <mergeCell ref="AD19:AE19"/>
    <mergeCell ref="AF19:AG19"/>
    <mergeCell ref="AD20:AE20"/>
    <mergeCell ref="AF20:AG20"/>
    <mergeCell ref="C3:F4"/>
    <mergeCell ref="J3:N4"/>
    <mergeCell ref="R3:T4"/>
    <mergeCell ref="X3:Z4"/>
    <mergeCell ref="AD3:AG4"/>
    <mergeCell ref="C5:D5"/>
    <mergeCell ref="E5:F5"/>
    <mergeCell ref="J5:K5"/>
    <mergeCell ref="L5:N5"/>
    <mergeCell ref="R5:S5"/>
    <mergeCell ref="X5:Y5"/>
    <mergeCell ref="AD5:AE5"/>
    <mergeCell ref="AF5:AG5"/>
    <mergeCell ref="C6:D6"/>
    <mergeCell ref="E6:F6"/>
    <mergeCell ref="J6:K6"/>
    <mergeCell ref="L6:N6"/>
    <mergeCell ref="R6:S6"/>
    <mergeCell ref="X6:Y6"/>
    <mergeCell ref="C8:D8"/>
    <mergeCell ref="E8:F8"/>
    <mergeCell ref="J8:K8"/>
    <mergeCell ref="L8:N8"/>
    <mergeCell ref="R8:S8"/>
    <mergeCell ref="X8:Y8"/>
    <mergeCell ref="C7:D7"/>
    <mergeCell ref="E7:F7"/>
    <mergeCell ref="J7:K7"/>
    <mergeCell ref="L7:N7"/>
    <mergeCell ref="R7:S7"/>
    <mergeCell ref="X7:Y7"/>
    <mergeCell ref="R11:S11"/>
    <mergeCell ref="X11:Y11"/>
    <mergeCell ref="J12:N13"/>
    <mergeCell ref="R12:S12"/>
    <mergeCell ref="X12:Y12"/>
    <mergeCell ref="C9:D9"/>
    <mergeCell ref="E9:F9"/>
    <mergeCell ref="R9:S9"/>
    <mergeCell ref="X9:Y9"/>
    <mergeCell ref="R10:S10"/>
    <mergeCell ref="X10:Y10"/>
    <mergeCell ref="C15:D15"/>
    <mergeCell ref="E15:F15"/>
    <mergeCell ref="J15:K15"/>
    <mergeCell ref="L15:N15"/>
    <mergeCell ref="R15:S15"/>
    <mergeCell ref="C13:F14"/>
    <mergeCell ref="R13:S13"/>
    <mergeCell ref="J14:K14"/>
    <mergeCell ref="L14:N14"/>
    <mergeCell ref="R14:S14"/>
    <mergeCell ref="X16:Z17"/>
    <mergeCell ref="C20:D20"/>
    <mergeCell ref="E20:F20"/>
    <mergeCell ref="R20:S20"/>
    <mergeCell ref="X20:Y20"/>
    <mergeCell ref="C18:D18"/>
    <mergeCell ref="E18:F18"/>
    <mergeCell ref="R18:S18"/>
    <mergeCell ref="X18:Y18"/>
    <mergeCell ref="C19:D19"/>
    <mergeCell ref="E19:F19"/>
    <mergeCell ref="J19:K19"/>
    <mergeCell ref="R19:S19"/>
    <mergeCell ref="X19:Y19"/>
    <mergeCell ref="C17:D17"/>
    <mergeCell ref="E17:F17"/>
    <mergeCell ref="J17:K17"/>
    <mergeCell ref="L17:N17"/>
    <mergeCell ref="R17:S17"/>
    <mergeCell ref="C16:D16"/>
    <mergeCell ref="E16:F16"/>
    <mergeCell ref="J16:K16"/>
    <mergeCell ref="L16:N16"/>
    <mergeCell ref="R16:S16"/>
    <mergeCell ref="C23:D23"/>
    <mergeCell ref="E23:F23"/>
    <mergeCell ref="J23:K23"/>
    <mergeCell ref="L23:N23"/>
    <mergeCell ref="R23:S23"/>
    <mergeCell ref="X23:Y23"/>
    <mergeCell ref="C21:D21"/>
    <mergeCell ref="E21:F21"/>
    <mergeCell ref="J21:N22"/>
    <mergeCell ref="R21:S21"/>
    <mergeCell ref="X21:Y21"/>
    <mergeCell ref="C22:D22"/>
    <mergeCell ref="E22:F22"/>
    <mergeCell ref="R22:S22"/>
    <mergeCell ref="X22:Y22"/>
    <mergeCell ref="J24:K24"/>
    <mergeCell ref="L24:N24"/>
    <mergeCell ref="R24:S24"/>
    <mergeCell ref="X24:Y24"/>
    <mergeCell ref="J25:K25"/>
    <mergeCell ref="L25:N25"/>
    <mergeCell ref="R25:S25"/>
    <mergeCell ref="X25:Y25"/>
    <mergeCell ref="J26:K26"/>
    <mergeCell ref="L26:N26"/>
    <mergeCell ref="R26:S26"/>
    <mergeCell ref="X26:Y26"/>
    <mergeCell ref="J27:K27"/>
    <mergeCell ref="L27:N27"/>
    <mergeCell ref="R27:S27"/>
    <mergeCell ref="X27:Y27"/>
    <mergeCell ref="J28:K28"/>
    <mergeCell ref="L28:N28"/>
    <mergeCell ref="R28:S28"/>
    <mergeCell ref="X28:Y28"/>
    <mergeCell ref="J29:K29"/>
    <mergeCell ref="L29:N29"/>
    <mergeCell ref="R29:S29"/>
    <mergeCell ref="J32:K32"/>
    <mergeCell ref="L32:N32"/>
    <mergeCell ref="R32:S32"/>
    <mergeCell ref="J33:K33"/>
    <mergeCell ref="L33:N33"/>
    <mergeCell ref="R33:S33"/>
    <mergeCell ref="J30:K30"/>
    <mergeCell ref="L30:N30"/>
    <mergeCell ref="R30:S30"/>
    <mergeCell ref="J31:K31"/>
    <mergeCell ref="L31:N31"/>
    <mergeCell ref="R31:S31"/>
    <mergeCell ref="R36:S36"/>
    <mergeCell ref="R37:S37"/>
    <mergeCell ref="R38:S38"/>
    <mergeCell ref="R39:S39"/>
    <mergeCell ref="R40:S40"/>
    <mergeCell ref="C41:D41"/>
    <mergeCell ref="E41:F41"/>
    <mergeCell ref="R41:S41"/>
    <mergeCell ref="J34:K34"/>
    <mergeCell ref="L34:N34"/>
    <mergeCell ref="R34:S34"/>
    <mergeCell ref="J35:K35"/>
    <mergeCell ref="L35:N35"/>
    <mergeCell ref="R35:S35"/>
    <mergeCell ref="R48:S48"/>
    <mergeCell ref="R49:S49"/>
    <mergeCell ref="R50:S50"/>
    <mergeCell ref="R42:S42"/>
    <mergeCell ref="R43:S43"/>
    <mergeCell ref="R44:S44"/>
    <mergeCell ref="R45:S45"/>
    <mergeCell ref="R46:S46"/>
    <mergeCell ref="R47:S47"/>
  </mergeCells>
  <dataValidations count="1">
    <dataValidation type="list" allowBlank="1" showInputMessage="1" showErrorMessage="1" sqref="E15:E19 E21:E22" xr:uid="{CBF48354-D6F4-4BE1-89A7-F32BBBF28068}">
      <formula1>"Pyro, Cryo, Hydro, Electro, Anemo, Geo, Dendro, Phys"</formula1>
    </dataValidation>
  </dataValidations>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5362" r:id="rId4" name="Check Box 2">
              <controlPr defaultSize="0" autoFill="0" autoLine="0" autoPict="0">
                <anchor moveWithCells="1">
                  <from>
                    <xdr:col>12</xdr:col>
                    <xdr:colOff>200025</xdr:colOff>
                    <xdr:row>7</xdr:row>
                    <xdr:rowOff>9525</xdr:rowOff>
                  </from>
                  <to>
                    <xdr:col>12</xdr:col>
                    <xdr:colOff>390525</xdr:colOff>
                    <xdr:row>8</xdr:row>
                    <xdr:rowOff>9525</xdr:rowOff>
                  </to>
                </anchor>
              </controlPr>
            </control>
          </mc:Choice>
        </mc:AlternateContent>
        <mc:AlternateContent xmlns:mc="http://schemas.openxmlformats.org/markup-compatibility/2006">
          <mc:Choice Requires="x14">
            <control shapeId="15363" r:id="rId5" name="Check Box 3">
              <controlPr defaultSize="0" autoFill="0" autoLine="0" autoPict="0">
                <anchor moveWithCells="1">
                  <from>
                    <xdr:col>12</xdr:col>
                    <xdr:colOff>200025</xdr:colOff>
                    <xdr:row>15</xdr:row>
                    <xdr:rowOff>180975</xdr:rowOff>
                  </from>
                  <to>
                    <xdr:col>12</xdr:col>
                    <xdr:colOff>428625</xdr:colOff>
                    <xdr:row>17</xdr:row>
                    <xdr:rowOff>0</xdr:rowOff>
                  </to>
                </anchor>
              </controlPr>
            </control>
          </mc:Choice>
        </mc:AlternateContent>
      </controls>
    </mc:Choice>
  </mc:AlternateContent>
  <extLst>
    <ext xmlns:x14="http://schemas.microsoft.com/office/spreadsheetml/2009/9/main" uri="{CCE6A557-97BC-4b89-ADB6-D9C93CAAB3DF}">
      <x14:dataValidations xmlns:xm="http://schemas.microsoft.com/office/excel/2006/main" count="15">
        <x14:dataValidation type="list" allowBlank="1" showInputMessage="1" showErrorMessage="1" xr:uid="{321DE90B-A3B9-4789-83CE-6D0077158FF9}">
          <x14:formula1>
            <xm:f>'Data Val'!$A$8:$A$21</xm:f>
          </x14:formula1>
          <xm:sqref>E6:F6</xm:sqref>
        </x14:dataValidation>
        <x14:dataValidation type="list" allowBlank="1" showInputMessage="1" showErrorMessage="1" xr:uid="{50F2C854-66AA-4E0F-A7CA-5DBF114B1417}">
          <x14:formula1>
            <xm:f>'Artifact Database'!$B$1:$D$1</xm:f>
          </x14:formula1>
          <xm:sqref>Z7</xm:sqref>
        </x14:dataValidation>
        <x14:dataValidation type="list" allowBlank="1" showInputMessage="1" showErrorMessage="1" xr:uid="{71754775-F13B-4DEA-B341-A3089158E9C5}">
          <x14:formula1>
            <xm:f>'Artifact Database'!$Y$16:$AC$16</xm:f>
          </x14:formula1>
          <xm:sqref>L24:N24 L26:N26 L29:N29 L32:N32 L35:N35</xm:sqref>
        </x14:dataValidation>
        <x14:dataValidation type="list" allowBlank="1" showInputMessage="1" showErrorMessage="1" xr:uid="{3750A5A9-332B-45DB-B971-7C70442063FF}">
          <x14:formula1>
            <xm:f>'Artifact Database'!$Y$3:$Y$7</xm:f>
          </x14:formula1>
          <xm:sqref>L28:N28</xm:sqref>
        </x14:dataValidation>
        <x14:dataValidation type="list" allowBlank="1" showInputMessage="1" showErrorMessage="1" xr:uid="{D2AB371A-F267-4F81-A1D8-E4F245EFF1E4}">
          <x14:formula1>
            <xm:f>'Artifact Database'!$Z$3:$Z$13</xm:f>
          </x14:formula1>
          <xm:sqref>L31:N31</xm:sqref>
        </x14:dataValidation>
        <x14:dataValidation type="list" allowBlank="1" showInputMessage="1" showErrorMessage="1" xr:uid="{B32BDCAA-D72A-4CEC-A712-AC04EB2565A4}">
          <x14:formula1>
            <xm:f>'Artifact Database'!$AA$3:$AA$9</xm:f>
          </x14:formula1>
          <xm:sqref>L34:N34</xm:sqref>
        </x14:dataValidation>
        <x14:dataValidation type="list" allowBlank="1" showInputMessage="1" showErrorMessage="1" xr:uid="{A83A533A-A805-470F-AA57-36B5EC3CE99E}">
          <x14:formula1>
            <xm:f>weaponsDB!$B$1:$CS$1</xm:f>
          </x14:formula1>
          <xm:sqref>L5:N5</xm:sqref>
        </x14:dataValidation>
        <x14:dataValidation type="list" allowBlank="1" showInputMessage="1" showErrorMessage="1" xr:uid="{3D8E0118-C01A-4381-9B35-0FD1EF04F680}">
          <x14:formula1>
            <xm:f>artisDB!$A$2:$A$27</xm:f>
          </x14:formula1>
          <xm:sqref>L14:N14</xm:sqref>
        </x14:dataValidation>
        <x14:dataValidation type="list" allowBlank="1" showInputMessage="1" showErrorMessage="1" xr:uid="{779F9D03-01AB-4A2B-865F-44F474356D2B}">
          <x14:formula1>
            <xm:f>artisDB!$A$2:$A$53</xm:f>
          </x14:formula1>
          <xm:sqref>L15:N15</xm:sqref>
        </x14:dataValidation>
        <x14:dataValidation type="list" allowBlank="1" showInputMessage="1" showErrorMessage="1" xr:uid="{78C7E440-85A0-483B-A48B-1D5C76823455}">
          <x14:formula1>
            <xm:f>'Data Val'!$C$2:$C$6</xm:f>
          </x14:formula1>
          <xm:sqref>E20:F20 E23:F23</xm:sqref>
        </x14:dataValidation>
        <x14:dataValidation type="whole" allowBlank="1" showInputMessage="1" showErrorMessage="1" xr:uid="{DFC385A7-08F2-4774-914A-DF7652E4C7F9}">
          <x14:formula1>
            <xm:f>0</xm:f>
          </x14:formula1>
          <x14:formula2>
            <xm:f>'Artifact Database'!Z63</xm:f>
          </x14:formula2>
          <xm:sqref>L23:N23</xm:sqref>
        </x14:dataValidation>
        <x14:dataValidation type="whole" allowBlank="1" showInputMessage="1" showErrorMessage="1" xr:uid="{849DB1FA-4576-413E-9920-9916FBB5FD81}">
          <x14:formula1>
            <xm:f>0</xm:f>
          </x14:formula1>
          <x14:formula2>
            <xm:f>'Artifact Database'!AA63</xm:f>
          </x14:formula2>
          <xm:sqref>L25:N25</xm:sqref>
        </x14:dataValidation>
        <x14:dataValidation type="whole" allowBlank="1" showInputMessage="1" showErrorMessage="1" xr:uid="{9EEB52E2-607B-45DE-AA3A-34BC896C1057}">
          <x14:formula1>
            <xm:f>0</xm:f>
          </x14:formula1>
          <x14:formula2>
            <xm:f>'Artifact Database'!AB63</xm:f>
          </x14:formula2>
          <xm:sqref>L27:N27</xm:sqref>
        </x14:dataValidation>
        <x14:dataValidation type="whole" allowBlank="1" showInputMessage="1" showErrorMessage="1" xr:uid="{F6646539-2629-4E15-92F8-43416A52737B}">
          <x14:formula1>
            <xm:f>0</xm:f>
          </x14:formula1>
          <x14:formula2>
            <xm:f>'Artifact Database'!AC63</xm:f>
          </x14:formula2>
          <xm:sqref>L30:N30</xm:sqref>
        </x14:dataValidation>
        <x14:dataValidation type="whole" allowBlank="1" showInputMessage="1" showErrorMessage="1" xr:uid="{35535326-27CC-4D4C-8F75-80115B209C11}">
          <x14:formula1>
            <xm:f>0</xm:f>
          </x14:formula1>
          <x14:formula2>
            <xm:f>'Artifact Database'!AD63</xm:f>
          </x14:formula2>
          <xm:sqref>L33:N33</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7D37BF-9467-452E-978F-E6B74F75E288}">
  <dimension ref="A1:AH51"/>
  <sheetViews>
    <sheetView zoomScaleNormal="100" workbookViewId="0">
      <selection activeCell="AF13" sqref="AF13:AG30"/>
    </sheetView>
  </sheetViews>
  <sheetFormatPr defaultRowHeight="15" x14ac:dyDescent="0.25"/>
  <cols>
    <col min="1" max="1" width="2.7109375" style="1" customWidth="1"/>
    <col min="2" max="2" width="2.7109375" style="8" customWidth="1"/>
    <col min="3" max="3" width="9.85546875" style="1" customWidth="1"/>
    <col min="4" max="6" width="9.140625" style="1"/>
    <col min="7" max="7" width="2.7109375" style="8" customWidth="1"/>
    <col min="8" max="9" width="2.7109375" style="1" customWidth="1"/>
    <col min="10" max="11" width="9.140625" style="1"/>
    <col min="12" max="14" width="10.7109375" style="1" customWidth="1"/>
    <col min="15" max="17" width="2.7109375" style="1" customWidth="1"/>
    <col min="18" max="20" width="9.140625" style="1"/>
    <col min="21" max="21" width="2.7109375" style="15" customWidth="1"/>
    <col min="22" max="23" width="2.7109375" style="1" customWidth="1"/>
    <col min="24" max="25" width="9.140625" style="1"/>
    <col min="26" max="26" width="9.140625" style="1" customWidth="1"/>
    <col min="27" max="29" width="2.7109375" style="1" customWidth="1"/>
    <col min="30" max="33" width="9.140625" style="1"/>
    <col min="34" max="34" width="2.7109375" style="1" customWidth="1"/>
    <col min="35" max="16384" width="9.140625" style="1"/>
  </cols>
  <sheetData>
    <row r="1" spans="1:34" ht="15" customHeight="1" x14ac:dyDescent="0.25">
      <c r="A1" s="9"/>
      <c r="C1" s="7"/>
      <c r="D1" s="7"/>
      <c r="E1" s="7"/>
      <c r="F1" s="7"/>
    </row>
    <row r="2" spans="1:34" s="8" customFormat="1" ht="15" customHeight="1" x14ac:dyDescent="0.25">
      <c r="B2" s="10"/>
      <c r="C2" s="10"/>
      <c r="D2" s="10"/>
      <c r="E2" s="10"/>
      <c r="F2" s="10"/>
      <c r="G2" s="10"/>
      <c r="I2" s="10"/>
      <c r="J2" s="10"/>
      <c r="K2" s="10"/>
      <c r="L2" s="10"/>
      <c r="M2" s="10"/>
      <c r="N2" s="10"/>
      <c r="O2" s="10"/>
      <c r="Q2" s="10"/>
      <c r="R2" s="10"/>
      <c r="S2" s="10"/>
      <c r="T2" s="10"/>
      <c r="U2" s="10"/>
      <c r="W2" s="10"/>
      <c r="X2" s="10"/>
      <c r="Y2" s="10"/>
      <c r="Z2" s="10"/>
      <c r="AA2" s="10"/>
      <c r="AC2" s="10"/>
      <c r="AD2" s="10"/>
      <c r="AE2" s="10"/>
      <c r="AF2" s="10"/>
      <c r="AG2" s="10"/>
      <c r="AH2" s="10"/>
    </row>
    <row r="3" spans="1:34" x14ac:dyDescent="0.25">
      <c r="B3" s="10"/>
      <c r="C3" s="228" t="s">
        <v>750</v>
      </c>
      <c r="D3" s="228"/>
      <c r="E3" s="228"/>
      <c r="F3" s="228"/>
      <c r="G3" s="10"/>
      <c r="H3" s="6"/>
      <c r="I3" s="10"/>
      <c r="J3" s="228" t="s">
        <v>28</v>
      </c>
      <c r="K3" s="228"/>
      <c r="L3" s="228"/>
      <c r="M3" s="228"/>
      <c r="N3" s="228"/>
      <c r="O3" s="10"/>
      <c r="Q3" s="10"/>
      <c r="R3" s="228" t="s">
        <v>61</v>
      </c>
      <c r="S3" s="228"/>
      <c r="T3" s="228"/>
      <c r="U3" s="10"/>
      <c r="W3" s="10"/>
      <c r="X3" s="228" t="s">
        <v>99</v>
      </c>
      <c r="Y3" s="228"/>
      <c r="Z3" s="228"/>
      <c r="AA3" s="10"/>
      <c r="AC3" s="10"/>
      <c r="AD3" s="228" t="s">
        <v>120</v>
      </c>
      <c r="AE3" s="228"/>
      <c r="AF3" s="228"/>
      <c r="AG3" s="228"/>
      <c r="AH3" s="10"/>
    </row>
    <row r="4" spans="1:34" x14ac:dyDescent="0.25">
      <c r="B4" s="10"/>
      <c r="C4" s="228"/>
      <c r="D4" s="228"/>
      <c r="E4" s="228"/>
      <c r="F4" s="228"/>
      <c r="G4" s="10"/>
      <c r="H4" s="6"/>
      <c r="I4" s="10"/>
      <c r="J4" s="228"/>
      <c r="K4" s="228"/>
      <c r="L4" s="228"/>
      <c r="M4" s="228"/>
      <c r="N4" s="228"/>
      <c r="O4" s="10"/>
      <c r="Q4" s="10"/>
      <c r="R4" s="228"/>
      <c r="S4" s="228"/>
      <c r="T4" s="228"/>
      <c r="U4" s="10"/>
      <c r="W4" s="10"/>
      <c r="X4" s="228"/>
      <c r="Y4" s="228"/>
      <c r="Z4" s="228"/>
      <c r="AA4" s="10"/>
      <c r="AC4" s="10"/>
      <c r="AD4" s="228"/>
      <c r="AE4" s="228"/>
      <c r="AF4" s="228"/>
      <c r="AG4" s="228"/>
      <c r="AH4" s="10"/>
    </row>
    <row r="5" spans="1:34" x14ac:dyDescent="0.25">
      <c r="B5" s="10"/>
      <c r="C5" s="222" t="s">
        <v>50</v>
      </c>
      <c r="D5" s="223"/>
      <c r="E5" s="224" t="s">
        <v>349</v>
      </c>
      <c r="F5" s="224"/>
      <c r="G5" s="10"/>
      <c r="I5" s="10"/>
      <c r="J5" s="222" t="s">
        <v>48</v>
      </c>
      <c r="K5" s="223"/>
      <c r="L5" s="224" t="s">
        <v>515</v>
      </c>
      <c r="M5" s="224"/>
      <c r="N5" s="224"/>
      <c r="O5" s="10"/>
      <c r="Q5" s="10"/>
      <c r="R5" s="222" t="s">
        <v>62</v>
      </c>
      <c r="S5" s="223"/>
      <c r="T5" s="19">
        <v>0</v>
      </c>
      <c r="U5" s="10"/>
      <c r="W5" s="10"/>
      <c r="X5" s="222" t="s">
        <v>108</v>
      </c>
      <c r="Y5" s="223"/>
      <c r="Z5" s="19">
        <v>35</v>
      </c>
      <c r="AA5" s="10"/>
      <c r="AC5" s="10"/>
      <c r="AD5" s="222" t="s">
        <v>121</v>
      </c>
      <c r="AE5" s="223"/>
      <c r="AF5" s="234">
        <f ca="1">'Rotation Assembler'!B273</f>
        <v>159125.06717939914</v>
      </c>
      <c r="AG5" s="234"/>
      <c r="AH5" s="10"/>
    </row>
    <row r="6" spans="1:34" x14ac:dyDescent="0.25">
      <c r="B6" s="10"/>
      <c r="C6" s="222" t="s">
        <v>51</v>
      </c>
      <c r="D6" s="223"/>
      <c r="E6" s="224" t="s">
        <v>420</v>
      </c>
      <c r="F6" s="224"/>
      <c r="G6" s="10"/>
      <c r="I6" s="10"/>
      <c r="J6" s="222" t="s">
        <v>49</v>
      </c>
      <c r="K6" s="223"/>
      <c r="L6" s="224">
        <v>1</v>
      </c>
      <c r="M6" s="224"/>
      <c r="N6" s="224"/>
      <c r="O6" s="10"/>
      <c r="Q6" s="10"/>
      <c r="R6" s="222" t="s">
        <v>63</v>
      </c>
      <c r="S6" s="223"/>
      <c r="T6" s="19">
        <v>0</v>
      </c>
      <c r="U6" s="10"/>
      <c r="W6" s="10"/>
      <c r="X6" s="222" t="s">
        <v>784</v>
      </c>
      <c r="Y6" s="225"/>
      <c r="Z6" s="16"/>
      <c r="AA6" s="10"/>
      <c r="AC6" s="10"/>
      <c r="AD6" s="10"/>
      <c r="AE6" s="10"/>
      <c r="AF6" s="10"/>
      <c r="AG6" s="10"/>
      <c r="AH6" s="10"/>
    </row>
    <row r="7" spans="1:34" x14ac:dyDescent="0.25">
      <c r="B7" s="10"/>
      <c r="C7" s="222" t="s">
        <v>52</v>
      </c>
      <c r="D7" s="223"/>
      <c r="E7" s="224">
        <v>6</v>
      </c>
      <c r="F7" s="224"/>
      <c r="G7" s="10"/>
      <c r="I7" s="10"/>
      <c r="J7" s="222" t="s">
        <v>46</v>
      </c>
      <c r="K7" s="223"/>
      <c r="L7" s="224">
        <v>0</v>
      </c>
      <c r="M7" s="224"/>
      <c r="N7" s="224"/>
      <c r="O7" s="10"/>
      <c r="Q7" s="10"/>
      <c r="R7" s="222" t="s">
        <v>64</v>
      </c>
      <c r="S7" s="223"/>
      <c r="T7" s="19">
        <v>0</v>
      </c>
      <c r="U7" s="10"/>
      <c r="W7" s="10"/>
      <c r="X7" s="222" t="s">
        <v>102</v>
      </c>
      <c r="Y7" s="223"/>
      <c r="Z7" s="19" t="s">
        <v>435</v>
      </c>
      <c r="AA7" s="10"/>
      <c r="AC7" s="8"/>
      <c r="AD7" s="8"/>
      <c r="AE7" s="8"/>
      <c r="AF7" s="8"/>
      <c r="AG7" s="8"/>
      <c r="AH7" s="8"/>
    </row>
    <row r="8" spans="1:34" x14ac:dyDescent="0.25">
      <c r="B8" s="10"/>
      <c r="C8" s="222" t="s">
        <v>53</v>
      </c>
      <c r="D8" s="223"/>
      <c r="E8" s="224">
        <v>12</v>
      </c>
      <c r="F8" s="224"/>
      <c r="G8" s="10"/>
      <c r="I8" s="10"/>
      <c r="J8" s="222" t="s">
        <v>47</v>
      </c>
      <c r="K8" s="223"/>
      <c r="L8" s="233" t="b">
        <v>1</v>
      </c>
      <c r="M8" s="233"/>
      <c r="N8" s="233"/>
      <c r="O8" s="10"/>
      <c r="Q8" s="10"/>
      <c r="R8" s="222" t="s">
        <v>69</v>
      </c>
      <c r="S8" s="223"/>
      <c r="T8" s="19">
        <v>0</v>
      </c>
      <c r="U8" s="10"/>
      <c r="W8" s="10"/>
      <c r="X8" s="222" t="s">
        <v>100</v>
      </c>
      <c r="Y8" s="223"/>
      <c r="Z8" s="103">
        <v>1.71</v>
      </c>
      <c r="AA8" s="10"/>
      <c r="AC8" s="10"/>
      <c r="AD8" s="10"/>
      <c r="AE8" s="10"/>
      <c r="AF8" s="10"/>
      <c r="AG8" s="10"/>
      <c r="AH8" s="10"/>
    </row>
    <row r="9" spans="1:34" x14ac:dyDescent="0.25">
      <c r="B9" s="10"/>
      <c r="C9" s="222" t="s">
        <v>54</v>
      </c>
      <c r="D9" s="223"/>
      <c r="E9" s="224">
        <v>12</v>
      </c>
      <c r="F9" s="224"/>
      <c r="G9" s="10"/>
      <c r="I9" s="10"/>
      <c r="J9" s="13"/>
      <c r="K9" s="13"/>
      <c r="L9" s="13"/>
      <c r="M9" s="13"/>
      <c r="N9" s="13"/>
      <c r="O9" s="10"/>
      <c r="Q9" s="10"/>
      <c r="R9" s="222" t="s">
        <v>65</v>
      </c>
      <c r="S9" s="223"/>
      <c r="T9" s="82">
        <v>0.45</v>
      </c>
      <c r="U9" s="10"/>
      <c r="W9" s="10"/>
      <c r="X9" s="222" t="s">
        <v>103</v>
      </c>
      <c r="Y9" s="223"/>
      <c r="Z9" s="19">
        <v>2</v>
      </c>
      <c r="AA9" s="10"/>
      <c r="AC9" s="10"/>
      <c r="AD9" s="228" t="s">
        <v>785</v>
      </c>
      <c r="AE9" s="228"/>
      <c r="AF9" s="228"/>
      <c r="AG9" s="228"/>
      <c r="AH9" s="10"/>
    </row>
    <row r="10" spans="1:34" x14ac:dyDescent="0.25">
      <c r="B10" s="10"/>
      <c r="C10" s="10"/>
      <c r="D10" s="10"/>
      <c r="E10" s="10"/>
      <c r="F10" s="10"/>
      <c r="G10" s="10"/>
      <c r="I10" s="8"/>
      <c r="Q10" s="10"/>
      <c r="R10" s="222" t="s">
        <v>66</v>
      </c>
      <c r="S10" s="223"/>
      <c r="T10" s="82">
        <v>0</v>
      </c>
      <c r="U10" s="10"/>
      <c r="W10" s="10"/>
      <c r="X10" s="222" t="s">
        <v>104</v>
      </c>
      <c r="Y10" s="223"/>
      <c r="Z10" s="103">
        <v>1</v>
      </c>
      <c r="AA10" s="10"/>
      <c r="AC10" s="10"/>
      <c r="AD10" s="228"/>
      <c r="AE10" s="228"/>
      <c r="AF10" s="228"/>
      <c r="AG10" s="228"/>
      <c r="AH10" s="10"/>
    </row>
    <row r="11" spans="1:34" ht="14.25" customHeight="1" x14ac:dyDescent="0.25">
      <c r="C11" s="8"/>
      <c r="D11" s="8"/>
      <c r="E11" s="8"/>
      <c r="F11" s="8"/>
      <c r="I11" s="10"/>
      <c r="J11" s="10"/>
      <c r="K11" s="10"/>
      <c r="L11" s="10"/>
      <c r="M11" s="10"/>
      <c r="N11" s="10"/>
      <c r="O11" s="10"/>
      <c r="Q11" s="10"/>
      <c r="R11" s="222" t="s">
        <v>67</v>
      </c>
      <c r="S11" s="223"/>
      <c r="T11" s="82">
        <v>0</v>
      </c>
      <c r="U11" s="10"/>
      <c r="W11" s="10"/>
      <c r="X11" s="222" t="s">
        <v>105</v>
      </c>
      <c r="Y11" s="223"/>
      <c r="Z11" s="103">
        <v>2</v>
      </c>
      <c r="AA11" s="10"/>
      <c r="AC11" s="10"/>
      <c r="AD11" s="222" t="s">
        <v>754</v>
      </c>
      <c r="AE11" s="223"/>
      <c r="AF11" s="221">
        <f>char4FinalHP</f>
        <v>15745.668799999999</v>
      </c>
      <c r="AG11" s="221"/>
      <c r="AH11" s="10"/>
    </row>
    <row r="12" spans="1:34" x14ac:dyDescent="0.25">
      <c r="B12" s="10"/>
      <c r="C12" s="10"/>
      <c r="D12" s="10"/>
      <c r="E12" s="10"/>
      <c r="F12" s="10"/>
      <c r="G12" s="10"/>
      <c r="I12" s="10"/>
      <c r="J12" s="228" t="s">
        <v>29</v>
      </c>
      <c r="K12" s="228"/>
      <c r="L12" s="228"/>
      <c r="M12" s="228"/>
      <c r="N12" s="228"/>
      <c r="O12" s="10"/>
      <c r="Q12" s="10"/>
      <c r="R12" s="222" t="s">
        <v>413</v>
      </c>
      <c r="S12" s="223"/>
      <c r="T12" s="82">
        <v>0</v>
      </c>
      <c r="U12" s="10"/>
      <c r="W12" s="10"/>
      <c r="X12" s="222" t="s">
        <v>106</v>
      </c>
      <c r="Y12" s="223"/>
      <c r="Z12" s="19">
        <v>1000</v>
      </c>
      <c r="AA12" s="10"/>
      <c r="AC12" s="10"/>
      <c r="AD12" s="222" t="s">
        <v>753</v>
      </c>
      <c r="AE12" s="223"/>
      <c r="AF12" s="221">
        <f>char4FinalDEF</f>
        <v>831.78000000000009</v>
      </c>
      <c r="AG12" s="221"/>
      <c r="AH12" s="10"/>
    </row>
    <row r="13" spans="1:34" x14ac:dyDescent="0.25">
      <c r="B13" s="10"/>
      <c r="C13" s="228" t="s">
        <v>27</v>
      </c>
      <c r="D13" s="228"/>
      <c r="E13" s="228"/>
      <c r="F13" s="228"/>
      <c r="G13" s="10"/>
      <c r="I13" s="10"/>
      <c r="J13" s="228"/>
      <c r="K13" s="228"/>
      <c r="L13" s="228"/>
      <c r="M13" s="228"/>
      <c r="N13" s="228"/>
      <c r="O13" s="10"/>
      <c r="Q13" s="10"/>
      <c r="R13" s="222" t="s">
        <v>414</v>
      </c>
      <c r="S13" s="223"/>
      <c r="T13" s="82">
        <v>0</v>
      </c>
      <c r="U13" s="10"/>
      <c r="W13" s="10"/>
      <c r="X13" s="10"/>
      <c r="Y13" s="10"/>
      <c r="Z13" s="10"/>
      <c r="AA13" s="10"/>
      <c r="AC13" s="10"/>
      <c r="AD13" s="222" t="s">
        <v>752</v>
      </c>
      <c r="AE13" s="223"/>
      <c r="AF13" s="221">
        <f ca="1">char4FinalATK</f>
        <v>1881.2156</v>
      </c>
      <c r="AG13" s="221"/>
      <c r="AH13" s="10"/>
    </row>
    <row r="14" spans="1:34" x14ac:dyDescent="0.25">
      <c r="B14" s="10"/>
      <c r="C14" s="228"/>
      <c r="D14" s="228"/>
      <c r="E14" s="228"/>
      <c r="F14" s="228"/>
      <c r="G14" s="10"/>
      <c r="I14" s="10"/>
      <c r="J14" s="222" t="s">
        <v>44</v>
      </c>
      <c r="K14" s="223"/>
      <c r="L14" s="224" t="s">
        <v>595</v>
      </c>
      <c r="M14" s="224"/>
      <c r="N14" s="224"/>
      <c r="O14" s="10"/>
      <c r="Q14" s="10"/>
      <c r="R14" s="222" t="s">
        <v>68</v>
      </c>
      <c r="S14" s="223"/>
      <c r="T14" s="82">
        <v>0</v>
      </c>
      <c r="U14" s="10"/>
      <c r="AC14" s="10"/>
      <c r="AD14" s="222" t="s">
        <v>786</v>
      </c>
      <c r="AE14" s="223"/>
      <c r="AF14" s="235">
        <f>char4FinalER</f>
        <v>1.8281999999999998</v>
      </c>
      <c r="AG14" s="235"/>
      <c r="AH14" s="10"/>
    </row>
    <row r="15" spans="1:34" x14ac:dyDescent="0.25">
      <c r="B15" s="10"/>
      <c r="C15" s="222" t="s">
        <v>20</v>
      </c>
      <c r="D15" s="225"/>
      <c r="E15" s="226" t="s">
        <v>723</v>
      </c>
      <c r="F15" s="227"/>
      <c r="G15" s="10"/>
      <c r="I15" s="10"/>
      <c r="J15" s="222" t="s">
        <v>45</v>
      </c>
      <c r="K15" s="223"/>
      <c r="L15" s="224" t="s">
        <v>621</v>
      </c>
      <c r="M15" s="224"/>
      <c r="N15" s="224"/>
      <c r="O15" s="10"/>
      <c r="Q15" s="10"/>
      <c r="R15" s="222" t="s">
        <v>82</v>
      </c>
      <c r="S15" s="223"/>
      <c r="T15" s="82">
        <v>0</v>
      </c>
      <c r="U15" s="10"/>
      <c r="W15" s="10"/>
      <c r="X15" s="10"/>
      <c r="Y15" s="10"/>
      <c r="Z15" s="10"/>
      <c r="AA15" s="10"/>
      <c r="AC15" s="10"/>
      <c r="AD15" s="222" t="s">
        <v>787</v>
      </c>
      <c r="AE15" s="223"/>
      <c r="AF15" s="221">
        <f>Calculations!K165</f>
        <v>39.64</v>
      </c>
      <c r="AG15" s="221"/>
      <c r="AH15" s="10"/>
    </row>
    <row r="16" spans="1:34" x14ac:dyDescent="0.25">
      <c r="B16" s="10"/>
      <c r="C16" s="222" t="s">
        <v>21</v>
      </c>
      <c r="D16" s="225"/>
      <c r="E16" s="226" t="s">
        <v>723</v>
      </c>
      <c r="F16" s="227"/>
      <c r="G16" s="10"/>
      <c r="I16" s="10"/>
      <c r="J16" s="222" t="s">
        <v>46</v>
      </c>
      <c r="K16" s="223"/>
      <c r="L16" s="224">
        <v>0</v>
      </c>
      <c r="M16" s="224"/>
      <c r="N16" s="224"/>
      <c r="O16" s="10"/>
      <c r="Q16" s="10"/>
      <c r="R16" s="222" t="s">
        <v>70</v>
      </c>
      <c r="S16" s="223"/>
      <c r="T16" s="82">
        <v>0</v>
      </c>
      <c r="U16" s="10"/>
      <c r="W16" s="10"/>
      <c r="X16" s="228" t="s">
        <v>107</v>
      </c>
      <c r="Y16" s="228"/>
      <c r="Z16" s="228"/>
      <c r="AA16" s="10"/>
      <c r="AC16" s="10"/>
      <c r="AD16" s="222" t="s">
        <v>788</v>
      </c>
      <c r="AE16" s="223"/>
      <c r="AF16" s="236">
        <f ca="1">Calculations!K169</f>
        <v>0.62579999999999991</v>
      </c>
      <c r="AG16" s="221"/>
      <c r="AH16" s="10"/>
    </row>
    <row r="17" spans="2:34" x14ac:dyDescent="0.25">
      <c r="B17" s="10"/>
      <c r="C17" s="222" t="s">
        <v>22</v>
      </c>
      <c r="D17" s="225"/>
      <c r="E17" s="226" t="s">
        <v>723</v>
      </c>
      <c r="F17" s="227"/>
      <c r="G17" s="10"/>
      <c r="I17" s="10"/>
      <c r="J17" s="222" t="s">
        <v>47</v>
      </c>
      <c r="K17" s="223"/>
      <c r="L17" s="233" t="b">
        <v>1</v>
      </c>
      <c r="M17" s="233"/>
      <c r="N17" s="233"/>
      <c r="O17" s="10"/>
      <c r="Q17" s="10"/>
      <c r="R17" s="222" t="s">
        <v>71</v>
      </c>
      <c r="S17" s="222"/>
      <c r="T17" s="82">
        <v>0</v>
      </c>
      <c r="U17" s="10"/>
      <c r="W17" s="10"/>
      <c r="X17" s="228"/>
      <c r="Y17" s="228"/>
      <c r="Z17" s="228"/>
      <c r="AA17" s="10"/>
      <c r="AC17" s="10"/>
      <c r="AD17" s="222" t="s">
        <v>789</v>
      </c>
      <c r="AE17" s="223"/>
      <c r="AF17" s="236">
        <f ca="1">Calculations!K170</f>
        <v>1.2282</v>
      </c>
      <c r="AG17" s="221"/>
      <c r="AH17" s="10"/>
    </row>
    <row r="18" spans="2:34" x14ac:dyDescent="0.25">
      <c r="B18" s="10"/>
      <c r="C18" s="222" t="s">
        <v>19</v>
      </c>
      <c r="D18" s="225"/>
      <c r="E18" s="226" t="s">
        <v>761</v>
      </c>
      <c r="F18" s="227"/>
      <c r="G18" s="10"/>
      <c r="I18" s="10"/>
      <c r="J18" s="10"/>
      <c r="K18" s="10"/>
      <c r="L18" s="10"/>
      <c r="M18" s="10"/>
      <c r="N18" s="10"/>
      <c r="O18" s="10"/>
      <c r="Q18" s="10"/>
      <c r="R18" s="222" t="s">
        <v>72</v>
      </c>
      <c r="S18" s="222"/>
      <c r="T18" s="82">
        <v>0</v>
      </c>
      <c r="U18" s="10"/>
      <c r="W18" s="10"/>
      <c r="X18" s="222" t="s">
        <v>101</v>
      </c>
      <c r="Y18" s="223"/>
      <c r="Z18" s="19">
        <f>SUM(Z19:Z28)</f>
        <v>35</v>
      </c>
      <c r="AA18" s="10"/>
      <c r="AC18" s="10"/>
      <c r="AD18" s="222" t="s">
        <v>82</v>
      </c>
      <c r="AE18" s="222"/>
      <c r="AF18" s="236">
        <f>Calculations!K172</f>
        <v>0.2</v>
      </c>
      <c r="AG18" s="221"/>
      <c r="AH18" s="10"/>
    </row>
    <row r="19" spans="2:34" x14ac:dyDescent="0.25">
      <c r="B19" s="10"/>
      <c r="C19" s="222" t="s">
        <v>23</v>
      </c>
      <c r="D19" s="225"/>
      <c r="E19" s="226" t="s">
        <v>761</v>
      </c>
      <c r="F19" s="227"/>
      <c r="G19" s="10"/>
      <c r="I19" s="8"/>
      <c r="J19" s="221"/>
      <c r="K19" s="231"/>
      <c r="O19" s="8"/>
      <c r="Q19" s="10"/>
      <c r="R19" s="222" t="s">
        <v>73</v>
      </c>
      <c r="S19" s="222"/>
      <c r="T19" s="82">
        <v>0</v>
      </c>
      <c r="U19" s="10"/>
      <c r="W19" s="10"/>
      <c r="X19" s="222" t="s">
        <v>62</v>
      </c>
      <c r="Y19" s="223"/>
      <c r="Z19" s="19">
        <v>2</v>
      </c>
      <c r="AA19" s="10"/>
      <c r="AC19" s="10"/>
      <c r="AD19" s="222" t="s">
        <v>70</v>
      </c>
      <c r="AE19" s="222"/>
      <c r="AF19" s="236">
        <f>Calculations!K173</f>
        <v>0</v>
      </c>
      <c r="AG19" s="221"/>
      <c r="AH19" s="10"/>
    </row>
    <row r="20" spans="2:34" x14ac:dyDescent="0.25">
      <c r="B20" s="10"/>
      <c r="C20" s="222" t="s">
        <v>668</v>
      </c>
      <c r="D20" s="225"/>
      <c r="E20" s="226" t="s">
        <v>697</v>
      </c>
      <c r="F20" s="227"/>
      <c r="G20" s="10"/>
      <c r="I20" s="10"/>
      <c r="J20" s="10"/>
      <c r="K20" s="10"/>
      <c r="L20" s="10"/>
      <c r="M20" s="10"/>
      <c r="N20" s="10"/>
      <c r="O20" s="10"/>
      <c r="Q20" s="10"/>
      <c r="R20" s="222" t="s">
        <v>74</v>
      </c>
      <c r="S20" s="222"/>
      <c r="T20" s="82">
        <v>0</v>
      </c>
      <c r="U20" s="10"/>
      <c r="W20" s="10"/>
      <c r="X20" s="222" t="s">
        <v>63</v>
      </c>
      <c r="Y20" s="223"/>
      <c r="Z20" s="19">
        <v>2</v>
      </c>
      <c r="AA20" s="10"/>
      <c r="AC20" s="10"/>
      <c r="AD20" s="222" t="s">
        <v>71</v>
      </c>
      <c r="AE20" s="222"/>
      <c r="AF20" s="236">
        <f>Calculations!K174</f>
        <v>0</v>
      </c>
      <c r="AG20" s="221"/>
      <c r="AH20" s="10"/>
    </row>
    <row r="21" spans="2:34" x14ac:dyDescent="0.25">
      <c r="B21" s="10"/>
      <c r="C21" s="222" t="s">
        <v>0</v>
      </c>
      <c r="D21" s="225"/>
      <c r="E21" s="226" t="s">
        <v>761</v>
      </c>
      <c r="F21" s="227"/>
      <c r="G21" s="10"/>
      <c r="I21" s="10"/>
      <c r="J21" s="228" t="s">
        <v>30</v>
      </c>
      <c r="K21" s="228"/>
      <c r="L21" s="228"/>
      <c r="M21" s="228"/>
      <c r="N21" s="228"/>
      <c r="O21" s="10"/>
      <c r="Q21" s="10"/>
      <c r="R21" s="222" t="s">
        <v>75</v>
      </c>
      <c r="S21" s="222"/>
      <c r="T21" s="82">
        <v>0.2</v>
      </c>
      <c r="U21" s="10"/>
      <c r="W21" s="10"/>
      <c r="X21" s="222" t="s">
        <v>64</v>
      </c>
      <c r="Y21" s="223"/>
      <c r="Z21" s="19">
        <v>2</v>
      </c>
      <c r="AA21" s="10"/>
      <c r="AC21" s="10"/>
      <c r="AD21" s="222" t="s">
        <v>72</v>
      </c>
      <c r="AE21" s="222"/>
      <c r="AF21" s="236">
        <f>Calculations!K175</f>
        <v>0</v>
      </c>
      <c r="AG21" s="221"/>
      <c r="AH21" s="10"/>
    </row>
    <row r="22" spans="2:34" x14ac:dyDescent="0.25">
      <c r="B22" s="10"/>
      <c r="C22" s="222" t="s">
        <v>24</v>
      </c>
      <c r="D22" s="225"/>
      <c r="E22" s="226" t="s">
        <v>761</v>
      </c>
      <c r="F22" s="227"/>
      <c r="G22" s="10"/>
      <c r="I22" s="10"/>
      <c r="J22" s="228"/>
      <c r="K22" s="228"/>
      <c r="L22" s="228"/>
      <c r="M22" s="228"/>
      <c r="N22" s="228"/>
      <c r="O22" s="10"/>
      <c r="Q22" s="10"/>
      <c r="R22" s="222" t="s">
        <v>76</v>
      </c>
      <c r="S22" s="222"/>
      <c r="T22" s="82">
        <v>0</v>
      </c>
      <c r="U22" s="10"/>
      <c r="W22" s="10"/>
      <c r="X22" s="222" t="s">
        <v>65</v>
      </c>
      <c r="Y22" s="223"/>
      <c r="Z22" s="19">
        <v>2</v>
      </c>
      <c r="AA22" s="10"/>
      <c r="AC22" s="10"/>
      <c r="AD22" s="222" t="s">
        <v>73</v>
      </c>
      <c r="AE22" s="222"/>
      <c r="AF22" s="236">
        <f>Calculations!K176</f>
        <v>0</v>
      </c>
      <c r="AG22" s="221"/>
      <c r="AH22" s="10"/>
    </row>
    <row r="23" spans="2:34" x14ac:dyDescent="0.25">
      <c r="B23" s="10"/>
      <c r="C23" s="222" t="s">
        <v>669</v>
      </c>
      <c r="D23" s="225"/>
      <c r="E23" s="226" t="s">
        <v>698</v>
      </c>
      <c r="F23" s="227"/>
      <c r="G23" s="10"/>
      <c r="I23" s="10"/>
      <c r="J23" s="222" t="s">
        <v>31</v>
      </c>
      <c r="K23" s="223"/>
      <c r="L23" s="224">
        <v>20</v>
      </c>
      <c r="M23" s="224"/>
      <c r="N23" s="224"/>
      <c r="O23" s="10"/>
      <c r="Q23" s="10"/>
      <c r="R23" s="222" t="s">
        <v>77</v>
      </c>
      <c r="S23" s="222"/>
      <c r="T23" s="82">
        <v>0</v>
      </c>
      <c r="U23" s="10"/>
      <c r="W23" s="10"/>
      <c r="X23" s="222" t="s">
        <v>66</v>
      </c>
      <c r="Y23" s="223"/>
      <c r="Z23" s="19">
        <v>2</v>
      </c>
      <c r="AA23" s="10"/>
      <c r="AC23" s="10"/>
      <c r="AD23" s="222" t="s">
        <v>74</v>
      </c>
      <c r="AE23" s="222"/>
      <c r="AF23" s="236">
        <f>Calculations!K177</f>
        <v>0</v>
      </c>
      <c r="AG23" s="221"/>
      <c r="AH23" s="10"/>
    </row>
    <row r="24" spans="2:34" x14ac:dyDescent="0.25">
      <c r="B24" s="10"/>
      <c r="C24" s="10"/>
      <c r="D24" s="10"/>
      <c r="E24" s="10"/>
      <c r="F24" s="10"/>
      <c r="G24" s="10"/>
      <c r="I24" s="10"/>
      <c r="J24" s="222" t="s">
        <v>32</v>
      </c>
      <c r="K24" s="223"/>
      <c r="L24" s="224" t="s">
        <v>800</v>
      </c>
      <c r="M24" s="224"/>
      <c r="N24" s="224"/>
      <c r="O24" s="10"/>
      <c r="Q24" s="10"/>
      <c r="R24" s="222" t="s">
        <v>78</v>
      </c>
      <c r="S24" s="222"/>
      <c r="T24" s="82">
        <v>0</v>
      </c>
      <c r="U24" s="10"/>
      <c r="W24" s="10"/>
      <c r="X24" s="222" t="s">
        <v>67</v>
      </c>
      <c r="Y24" s="223"/>
      <c r="Z24" s="19">
        <v>2</v>
      </c>
      <c r="AA24" s="10"/>
      <c r="AC24" s="10"/>
      <c r="AD24" s="222" t="s">
        <v>75</v>
      </c>
      <c r="AE24" s="222"/>
      <c r="AF24" s="236">
        <f>Calculations!K178</f>
        <v>0.66600000000000004</v>
      </c>
      <c r="AG24" s="221"/>
      <c r="AH24" s="10"/>
    </row>
    <row r="25" spans="2:34" x14ac:dyDescent="0.25">
      <c r="C25" s="8"/>
      <c r="D25" s="8"/>
      <c r="E25" s="8"/>
      <c r="F25" s="8"/>
      <c r="I25" s="10"/>
      <c r="J25" s="222" t="s">
        <v>33</v>
      </c>
      <c r="K25" s="223"/>
      <c r="L25" s="224">
        <v>20</v>
      </c>
      <c r="M25" s="224"/>
      <c r="N25" s="224"/>
      <c r="O25" s="10"/>
      <c r="Q25" s="10"/>
      <c r="R25" s="222" t="s">
        <v>79</v>
      </c>
      <c r="S25" s="222"/>
      <c r="T25" s="82">
        <v>0</v>
      </c>
      <c r="U25" s="10"/>
      <c r="W25" s="10"/>
      <c r="X25" s="222" t="s">
        <v>413</v>
      </c>
      <c r="Y25" s="223"/>
      <c r="Z25" s="19">
        <v>8</v>
      </c>
      <c r="AA25" s="10"/>
      <c r="AC25" s="10"/>
      <c r="AD25" s="222" t="s">
        <v>76</v>
      </c>
      <c r="AE25" s="222"/>
      <c r="AF25" s="236">
        <f>Calculations!K179</f>
        <v>0</v>
      </c>
      <c r="AG25" s="221"/>
      <c r="AH25" s="10"/>
    </row>
    <row r="26" spans="2:34" x14ac:dyDescent="0.25">
      <c r="C26" s="8"/>
      <c r="D26" s="8"/>
      <c r="E26" s="8"/>
      <c r="F26" s="8"/>
      <c r="I26" s="10"/>
      <c r="J26" s="222" t="s">
        <v>34</v>
      </c>
      <c r="K26" s="223"/>
      <c r="L26" s="224" t="s">
        <v>800</v>
      </c>
      <c r="M26" s="224"/>
      <c r="N26" s="224"/>
      <c r="O26" s="10"/>
      <c r="Q26" s="10"/>
      <c r="R26" s="222" t="s">
        <v>80</v>
      </c>
      <c r="S26" s="222"/>
      <c r="T26" s="82">
        <v>0</v>
      </c>
      <c r="U26" s="10"/>
      <c r="W26" s="10"/>
      <c r="X26" s="222" t="s">
        <v>414</v>
      </c>
      <c r="Y26" s="223"/>
      <c r="Z26" s="19">
        <v>11</v>
      </c>
      <c r="AA26" s="10"/>
      <c r="AC26" s="10"/>
      <c r="AD26" s="222" t="s">
        <v>77</v>
      </c>
      <c r="AE26" s="222"/>
      <c r="AF26" s="236">
        <f>Calculations!K180</f>
        <v>0</v>
      </c>
      <c r="AG26" s="221"/>
      <c r="AH26" s="10"/>
    </row>
    <row r="27" spans="2:34" x14ac:dyDescent="0.25">
      <c r="C27" s="8"/>
      <c r="D27" s="8"/>
      <c r="E27" s="8"/>
      <c r="F27" s="8"/>
      <c r="I27" s="10"/>
      <c r="J27" s="222" t="s">
        <v>35</v>
      </c>
      <c r="K27" s="223"/>
      <c r="L27" s="224">
        <v>20</v>
      </c>
      <c r="M27" s="224"/>
      <c r="N27" s="224"/>
      <c r="O27" s="10"/>
      <c r="Q27" s="10"/>
      <c r="R27" s="222" t="s">
        <v>81</v>
      </c>
      <c r="S27" s="222"/>
      <c r="T27" s="82">
        <f>0.3%*80</f>
        <v>0.24</v>
      </c>
      <c r="U27" s="10"/>
      <c r="W27" s="10"/>
      <c r="X27" s="222" t="s">
        <v>68</v>
      </c>
      <c r="Y27" s="223"/>
      <c r="Z27" s="19">
        <v>2</v>
      </c>
      <c r="AA27" s="10"/>
      <c r="AC27" s="10"/>
      <c r="AD27" s="222" t="s">
        <v>78</v>
      </c>
      <c r="AE27" s="222"/>
      <c r="AF27" s="236">
        <f>Calculations!K181</f>
        <v>0</v>
      </c>
      <c r="AG27" s="221"/>
      <c r="AH27" s="10"/>
    </row>
    <row r="28" spans="2:34" x14ac:dyDescent="0.25">
      <c r="C28" s="8"/>
      <c r="D28" s="8"/>
      <c r="E28" s="8"/>
      <c r="F28" s="8"/>
      <c r="I28" s="10"/>
      <c r="J28" s="222" t="s">
        <v>36</v>
      </c>
      <c r="K28" s="223"/>
      <c r="L28" s="224" t="s">
        <v>68</v>
      </c>
      <c r="M28" s="224"/>
      <c r="N28" s="224"/>
      <c r="O28" s="10"/>
      <c r="Q28" s="10"/>
      <c r="R28" s="222" t="s">
        <v>83</v>
      </c>
      <c r="S28" s="222"/>
      <c r="T28" s="82">
        <v>0</v>
      </c>
      <c r="U28" s="10"/>
      <c r="W28" s="10"/>
      <c r="X28" s="222" t="s">
        <v>69</v>
      </c>
      <c r="Y28" s="223"/>
      <c r="Z28" s="19">
        <v>2</v>
      </c>
      <c r="AA28" s="10"/>
      <c r="AC28" s="10"/>
      <c r="AD28" s="222" t="s">
        <v>79</v>
      </c>
      <c r="AE28" s="222"/>
      <c r="AF28" s="236">
        <f>Calculations!K182</f>
        <v>0</v>
      </c>
      <c r="AG28" s="221"/>
      <c r="AH28" s="10"/>
    </row>
    <row r="29" spans="2:34" x14ac:dyDescent="0.25">
      <c r="C29" s="8"/>
      <c r="D29" s="8"/>
      <c r="E29" s="8"/>
      <c r="F29" s="8"/>
      <c r="I29" s="10"/>
      <c r="J29" s="222" t="s">
        <v>37</v>
      </c>
      <c r="K29" s="223"/>
      <c r="L29" s="224" t="s">
        <v>800</v>
      </c>
      <c r="M29" s="224"/>
      <c r="N29" s="224"/>
      <c r="O29" s="10"/>
      <c r="Q29" s="10"/>
      <c r="R29" s="222" t="s">
        <v>84</v>
      </c>
      <c r="S29" s="223"/>
      <c r="T29" s="82">
        <v>0</v>
      </c>
      <c r="U29" s="10"/>
      <c r="W29" s="10"/>
      <c r="X29" s="10"/>
      <c r="Y29" s="10"/>
      <c r="Z29" s="10"/>
      <c r="AA29" s="10"/>
      <c r="AC29" s="10"/>
      <c r="AD29" s="222" t="s">
        <v>80</v>
      </c>
      <c r="AE29" s="222"/>
      <c r="AF29" s="236">
        <f>Calculations!K183</f>
        <v>0</v>
      </c>
      <c r="AG29" s="221"/>
      <c r="AH29" s="10"/>
    </row>
    <row r="30" spans="2:34" x14ac:dyDescent="0.25">
      <c r="C30" s="8"/>
      <c r="D30" s="8"/>
      <c r="E30" s="8"/>
      <c r="F30" s="8"/>
      <c r="I30" s="10"/>
      <c r="J30" s="222" t="s">
        <v>38</v>
      </c>
      <c r="K30" s="223"/>
      <c r="L30" s="224">
        <v>20</v>
      </c>
      <c r="M30" s="224"/>
      <c r="N30" s="224"/>
      <c r="O30" s="10"/>
      <c r="Q30" s="10"/>
      <c r="R30" s="222" t="s">
        <v>85</v>
      </c>
      <c r="S30" s="223"/>
      <c r="T30" s="82">
        <v>0</v>
      </c>
      <c r="U30" s="10"/>
      <c r="AC30" s="10"/>
      <c r="AD30" s="222" t="s">
        <v>81</v>
      </c>
      <c r="AE30" s="222"/>
      <c r="AF30" s="236">
        <f>Calculations!K184</f>
        <v>0.69704999999999995</v>
      </c>
      <c r="AG30" s="221"/>
      <c r="AH30" s="10"/>
    </row>
    <row r="31" spans="2:34" x14ac:dyDescent="0.25">
      <c r="C31" s="8"/>
      <c r="D31" s="8"/>
      <c r="E31" s="8"/>
      <c r="F31" s="8"/>
      <c r="I31" s="10"/>
      <c r="J31" s="222" t="s">
        <v>39</v>
      </c>
      <c r="K31" s="223"/>
      <c r="L31" s="224" t="s">
        <v>75</v>
      </c>
      <c r="M31" s="224"/>
      <c r="N31" s="224"/>
      <c r="O31" s="10"/>
      <c r="Q31" s="10"/>
      <c r="R31" s="222" t="s">
        <v>86</v>
      </c>
      <c r="S31" s="223"/>
      <c r="T31" s="82">
        <v>0</v>
      </c>
      <c r="U31" s="10"/>
      <c r="AC31" s="10"/>
      <c r="AD31" s="10"/>
      <c r="AE31" s="10"/>
      <c r="AF31" s="10"/>
      <c r="AG31" s="10"/>
      <c r="AH31" s="10"/>
    </row>
    <row r="32" spans="2:34" x14ac:dyDescent="0.25">
      <c r="C32" s="8"/>
      <c r="D32" s="8"/>
      <c r="E32" s="8"/>
      <c r="F32" s="8"/>
      <c r="I32" s="10"/>
      <c r="J32" s="222" t="s">
        <v>40</v>
      </c>
      <c r="K32" s="223"/>
      <c r="L32" s="224" t="s">
        <v>800</v>
      </c>
      <c r="M32" s="224"/>
      <c r="N32" s="224"/>
      <c r="O32" s="10"/>
      <c r="Q32" s="10"/>
      <c r="R32" s="222" t="s">
        <v>87</v>
      </c>
      <c r="S32" s="223"/>
      <c r="T32" s="82">
        <v>0</v>
      </c>
      <c r="U32" s="10"/>
      <c r="AC32" s="8"/>
      <c r="AD32" s="8"/>
      <c r="AE32" s="8"/>
      <c r="AF32" s="8"/>
      <c r="AG32" s="8"/>
      <c r="AH32" s="8"/>
    </row>
    <row r="33" spans="3:21" x14ac:dyDescent="0.25">
      <c r="C33" s="8"/>
      <c r="D33" s="8"/>
      <c r="E33" s="8"/>
      <c r="F33" s="8"/>
      <c r="I33" s="10"/>
      <c r="J33" s="222" t="s">
        <v>41</v>
      </c>
      <c r="K33" s="223"/>
      <c r="L33" s="224">
        <v>20</v>
      </c>
      <c r="M33" s="224"/>
      <c r="N33" s="224"/>
      <c r="O33" s="10"/>
      <c r="Q33" s="10"/>
      <c r="R33" s="222" t="s">
        <v>90</v>
      </c>
      <c r="S33" s="223"/>
      <c r="T33" s="82">
        <v>0</v>
      </c>
      <c r="U33" s="10"/>
    </row>
    <row r="34" spans="3:21" x14ac:dyDescent="0.25">
      <c r="C34" s="8"/>
      <c r="D34" s="8"/>
      <c r="E34" s="8"/>
      <c r="F34" s="8"/>
      <c r="I34" s="10"/>
      <c r="J34" s="222" t="s">
        <v>42</v>
      </c>
      <c r="K34" s="223"/>
      <c r="L34" s="224" t="s">
        <v>413</v>
      </c>
      <c r="M34" s="224"/>
      <c r="N34" s="224"/>
      <c r="O34" s="10"/>
      <c r="Q34" s="10"/>
      <c r="R34" s="222" t="s">
        <v>88</v>
      </c>
      <c r="S34" s="223"/>
      <c r="T34" s="82">
        <v>0</v>
      </c>
      <c r="U34" s="10"/>
    </row>
    <row r="35" spans="3:21" x14ac:dyDescent="0.25">
      <c r="C35" s="8"/>
      <c r="D35" s="8"/>
      <c r="E35" s="8"/>
      <c r="F35" s="8"/>
      <c r="I35" s="10"/>
      <c r="J35" s="222" t="s">
        <v>43</v>
      </c>
      <c r="K35" s="223"/>
      <c r="L35" s="224" t="s">
        <v>800</v>
      </c>
      <c r="M35" s="224"/>
      <c r="N35" s="224"/>
      <c r="O35" s="10"/>
      <c r="Q35" s="10"/>
      <c r="R35" s="222" t="s">
        <v>89</v>
      </c>
      <c r="S35" s="223"/>
      <c r="T35" s="82">
        <v>0</v>
      </c>
      <c r="U35" s="10"/>
    </row>
    <row r="36" spans="3:21" ht="15" customHeight="1" x14ac:dyDescent="0.25">
      <c r="C36" s="8"/>
      <c r="D36" s="8"/>
      <c r="E36" s="8"/>
      <c r="F36" s="8"/>
      <c r="I36" s="10"/>
      <c r="J36" s="10"/>
      <c r="K36" s="10"/>
      <c r="L36" s="10"/>
      <c r="M36" s="10"/>
      <c r="N36" s="10"/>
      <c r="O36" s="10"/>
      <c r="Q36" s="10"/>
      <c r="R36" s="222" t="s">
        <v>91</v>
      </c>
      <c r="S36" s="223"/>
      <c r="T36" s="82">
        <v>0</v>
      </c>
      <c r="U36" s="10"/>
    </row>
    <row r="37" spans="3:21" x14ac:dyDescent="0.25">
      <c r="C37" s="8"/>
      <c r="D37" s="8"/>
      <c r="E37" s="8"/>
      <c r="F37" s="8"/>
      <c r="Q37" s="10"/>
      <c r="R37" s="222" t="s">
        <v>458</v>
      </c>
      <c r="S37" s="223"/>
      <c r="T37" s="82">
        <v>0</v>
      </c>
      <c r="U37" s="10"/>
    </row>
    <row r="38" spans="3:21" ht="15" customHeight="1" x14ac:dyDescent="0.25">
      <c r="C38" s="8"/>
      <c r="D38" s="8"/>
      <c r="E38" s="8"/>
      <c r="F38" s="8"/>
      <c r="Q38" s="10"/>
      <c r="R38" s="222" t="s">
        <v>93</v>
      </c>
      <c r="S38" s="223"/>
      <c r="T38" s="82">
        <v>0</v>
      </c>
      <c r="U38" s="10"/>
    </row>
    <row r="39" spans="3:21" ht="15" customHeight="1" x14ac:dyDescent="0.25">
      <c r="C39" s="8"/>
      <c r="D39" s="8"/>
      <c r="E39" s="8"/>
      <c r="F39" s="8"/>
      <c r="Q39" s="10"/>
      <c r="R39" s="222" t="s">
        <v>427</v>
      </c>
      <c r="S39" s="223"/>
      <c r="T39" s="82">
        <v>0</v>
      </c>
      <c r="U39" s="10"/>
    </row>
    <row r="40" spans="3:21" ht="15" customHeight="1" x14ac:dyDescent="0.25">
      <c r="C40" s="8"/>
      <c r="D40" s="8"/>
      <c r="E40" s="8"/>
      <c r="F40" s="8"/>
      <c r="Q40" s="10"/>
      <c r="R40" s="222" t="s">
        <v>457</v>
      </c>
      <c r="S40" s="223"/>
      <c r="T40" s="82">
        <v>0</v>
      </c>
      <c r="U40" s="10"/>
    </row>
    <row r="41" spans="3:21" x14ac:dyDescent="0.25">
      <c r="C41" s="231"/>
      <c r="D41" s="231"/>
      <c r="E41" s="232"/>
      <c r="F41" s="232"/>
      <c r="Q41" s="10"/>
      <c r="R41" s="222" t="s">
        <v>92</v>
      </c>
      <c r="S41" s="223"/>
      <c r="T41" s="82">
        <v>0</v>
      </c>
      <c r="U41" s="10"/>
    </row>
    <row r="42" spans="3:21" x14ac:dyDescent="0.25">
      <c r="D42" s="8"/>
      <c r="Q42" s="10"/>
      <c r="R42" s="222" t="s">
        <v>94</v>
      </c>
      <c r="S42" s="223"/>
      <c r="T42" s="82">
        <v>0</v>
      </c>
      <c r="U42" s="10"/>
    </row>
    <row r="43" spans="3:21" x14ac:dyDescent="0.25">
      <c r="Q43" s="10"/>
      <c r="R43" s="222" t="s">
        <v>95</v>
      </c>
      <c r="S43" s="223"/>
      <c r="T43" s="82">
        <v>0</v>
      </c>
      <c r="U43" s="10"/>
    </row>
    <row r="44" spans="3:21" x14ac:dyDescent="0.25">
      <c r="Q44" s="10"/>
      <c r="R44" s="222" t="s">
        <v>96</v>
      </c>
      <c r="S44" s="223"/>
      <c r="T44" s="82">
        <v>0</v>
      </c>
      <c r="U44" s="10"/>
    </row>
    <row r="45" spans="3:21" x14ac:dyDescent="0.25">
      <c r="Q45" s="10"/>
      <c r="R45" s="222" t="s">
        <v>97</v>
      </c>
      <c r="S45" s="223"/>
      <c r="T45" s="82">
        <v>0</v>
      </c>
      <c r="U45" s="10"/>
    </row>
    <row r="46" spans="3:21" x14ac:dyDescent="0.25">
      <c r="Q46" s="10"/>
      <c r="R46" s="222" t="s">
        <v>98</v>
      </c>
      <c r="S46" s="223"/>
      <c r="T46" s="82">
        <v>0</v>
      </c>
      <c r="U46" s="10"/>
    </row>
    <row r="47" spans="3:21" x14ac:dyDescent="0.25">
      <c r="Q47" s="10"/>
      <c r="R47" s="222" t="s">
        <v>424</v>
      </c>
      <c r="S47" s="223"/>
      <c r="T47" s="82">
        <v>0</v>
      </c>
      <c r="U47" s="10"/>
    </row>
    <row r="48" spans="3:21" x14ac:dyDescent="0.25">
      <c r="Q48" s="10"/>
      <c r="R48" s="222" t="s">
        <v>425</v>
      </c>
      <c r="S48" s="223"/>
      <c r="T48" s="82">
        <v>0</v>
      </c>
      <c r="U48" s="10"/>
    </row>
    <row r="49" spans="17:21" x14ac:dyDescent="0.25">
      <c r="Q49" s="10"/>
      <c r="R49" s="222" t="s">
        <v>438</v>
      </c>
      <c r="S49" s="223"/>
      <c r="T49" s="82">
        <v>0</v>
      </c>
      <c r="U49" s="10"/>
    </row>
    <row r="50" spans="17:21" x14ac:dyDescent="0.25">
      <c r="Q50" s="10"/>
      <c r="R50" s="222" t="s">
        <v>426</v>
      </c>
      <c r="S50" s="223"/>
      <c r="T50" s="82">
        <v>0</v>
      </c>
      <c r="U50" s="10"/>
    </row>
    <row r="51" spans="17:21" x14ac:dyDescent="0.25">
      <c r="Q51" s="10"/>
      <c r="R51" s="10"/>
      <c r="S51" s="10"/>
      <c r="T51" s="10"/>
      <c r="U51" s="10"/>
    </row>
  </sheetData>
  <mergeCells count="190">
    <mergeCell ref="AD28:AE28"/>
    <mergeCell ref="AD29:AE29"/>
    <mergeCell ref="AD30:AE30"/>
    <mergeCell ref="AD9:AG10"/>
    <mergeCell ref="AF11:AG11"/>
    <mergeCell ref="AF12:AG12"/>
    <mergeCell ref="AF13:AG13"/>
    <mergeCell ref="AF14:AG14"/>
    <mergeCell ref="AF15:AG15"/>
    <mergeCell ref="AF16:AG16"/>
    <mergeCell ref="AF17:AG17"/>
    <mergeCell ref="AF18:AG18"/>
    <mergeCell ref="AF19:AG19"/>
    <mergeCell ref="AF20:AG20"/>
    <mergeCell ref="AF21:AG21"/>
    <mergeCell ref="AF22:AG22"/>
    <mergeCell ref="AF23:AG23"/>
    <mergeCell ref="AF24:AG24"/>
    <mergeCell ref="AF25:AG25"/>
    <mergeCell ref="AF26:AG26"/>
    <mergeCell ref="AF27:AG27"/>
    <mergeCell ref="AF28:AG28"/>
    <mergeCell ref="AF29:AG29"/>
    <mergeCell ref="AF30:AG30"/>
    <mergeCell ref="AD19:AE19"/>
    <mergeCell ref="AD20:AE20"/>
    <mergeCell ref="AD21:AE21"/>
    <mergeCell ref="AD22:AE22"/>
    <mergeCell ref="AD23:AE23"/>
    <mergeCell ref="AD24:AE24"/>
    <mergeCell ref="AD25:AE25"/>
    <mergeCell ref="AD26:AE26"/>
    <mergeCell ref="AD27:AE27"/>
    <mergeCell ref="AD11:AE11"/>
    <mergeCell ref="AD12:AE12"/>
    <mergeCell ref="AD13:AE13"/>
    <mergeCell ref="AD14:AE14"/>
    <mergeCell ref="AD15:AE15"/>
    <mergeCell ref="AD16:AE16"/>
    <mergeCell ref="AD17:AE17"/>
    <mergeCell ref="AD18:AE18"/>
    <mergeCell ref="C3:F4"/>
    <mergeCell ref="J3:N4"/>
    <mergeCell ref="R3:T4"/>
    <mergeCell ref="X3:Z4"/>
    <mergeCell ref="AD3:AG4"/>
    <mergeCell ref="C5:D5"/>
    <mergeCell ref="E5:F5"/>
    <mergeCell ref="J5:K5"/>
    <mergeCell ref="L5:N5"/>
    <mergeCell ref="R5:S5"/>
    <mergeCell ref="X5:Y5"/>
    <mergeCell ref="AD5:AE5"/>
    <mergeCell ref="AF5:AG5"/>
    <mergeCell ref="C6:D6"/>
    <mergeCell ref="E6:F6"/>
    <mergeCell ref="J6:K6"/>
    <mergeCell ref="L6:N6"/>
    <mergeCell ref="R6:S6"/>
    <mergeCell ref="X6:Y6"/>
    <mergeCell ref="C8:D8"/>
    <mergeCell ref="E8:F8"/>
    <mergeCell ref="J8:K8"/>
    <mergeCell ref="L8:N8"/>
    <mergeCell ref="R8:S8"/>
    <mergeCell ref="X8:Y8"/>
    <mergeCell ref="C7:D7"/>
    <mergeCell ref="E7:F7"/>
    <mergeCell ref="J7:K7"/>
    <mergeCell ref="L7:N7"/>
    <mergeCell ref="R7:S7"/>
    <mergeCell ref="X7:Y7"/>
    <mergeCell ref="R11:S11"/>
    <mergeCell ref="X11:Y11"/>
    <mergeCell ref="J12:N13"/>
    <mergeCell ref="R12:S12"/>
    <mergeCell ref="X12:Y12"/>
    <mergeCell ref="C9:D9"/>
    <mergeCell ref="E9:F9"/>
    <mergeCell ref="R9:S9"/>
    <mergeCell ref="X9:Y9"/>
    <mergeCell ref="R10:S10"/>
    <mergeCell ref="X10:Y10"/>
    <mergeCell ref="C15:D15"/>
    <mergeCell ref="E15:F15"/>
    <mergeCell ref="J15:K15"/>
    <mergeCell ref="L15:N15"/>
    <mergeCell ref="R15:S15"/>
    <mergeCell ref="C13:F14"/>
    <mergeCell ref="R13:S13"/>
    <mergeCell ref="J14:K14"/>
    <mergeCell ref="L14:N14"/>
    <mergeCell ref="R14:S14"/>
    <mergeCell ref="X16:Z17"/>
    <mergeCell ref="C20:D20"/>
    <mergeCell ref="E20:F20"/>
    <mergeCell ref="R20:S20"/>
    <mergeCell ref="X20:Y20"/>
    <mergeCell ref="C18:D18"/>
    <mergeCell ref="E18:F18"/>
    <mergeCell ref="R18:S18"/>
    <mergeCell ref="X18:Y18"/>
    <mergeCell ref="C19:D19"/>
    <mergeCell ref="E19:F19"/>
    <mergeCell ref="J19:K19"/>
    <mergeCell ref="R19:S19"/>
    <mergeCell ref="X19:Y19"/>
    <mergeCell ref="C17:D17"/>
    <mergeCell ref="E17:F17"/>
    <mergeCell ref="J17:K17"/>
    <mergeCell ref="L17:N17"/>
    <mergeCell ref="R17:S17"/>
    <mergeCell ref="C16:D16"/>
    <mergeCell ref="E16:F16"/>
    <mergeCell ref="J16:K16"/>
    <mergeCell ref="L16:N16"/>
    <mergeCell ref="R16:S16"/>
    <mergeCell ref="C23:D23"/>
    <mergeCell ref="E23:F23"/>
    <mergeCell ref="J23:K23"/>
    <mergeCell ref="L23:N23"/>
    <mergeCell ref="R23:S23"/>
    <mergeCell ref="X23:Y23"/>
    <mergeCell ref="C21:D21"/>
    <mergeCell ref="E21:F21"/>
    <mergeCell ref="J21:N22"/>
    <mergeCell ref="R21:S21"/>
    <mergeCell ref="X21:Y21"/>
    <mergeCell ref="C22:D22"/>
    <mergeCell ref="E22:F22"/>
    <mergeCell ref="R22:S22"/>
    <mergeCell ref="X22:Y22"/>
    <mergeCell ref="J24:K24"/>
    <mergeCell ref="L24:N24"/>
    <mergeCell ref="R24:S24"/>
    <mergeCell ref="X24:Y24"/>
    <mergeCell ref="J25:K25"/>
    <mergeCell ref="L25:N25"/>
    <mergeCell ref="R25:S25"/>
    <mergeCell ref="X25:Y25"/>
    <mergeCell ref="J26:K26"/>
    <mergeCell ref="L26:N26"/>
    <mergeCell ref="R26:S26"/>
    <mergeCell ref="X26:Y26"/>
    <mergeCell ref="J27:K27"/>
    <mergeCell ref="L27:N27"/>
    <mergeCell ref="R27:S27"/>
    <mergeCell ref="X27:Y27"/>
    <mergeCell ref="J28:K28"/>
    <mergeCell ref="L28:N28"/>
    <mergeCell ref="R28:S28"/>
    <mergeCell ref="X28:Y28"/>
    <mergeCell ref="J29:K29"/>
    <mergeCell ref="L29:N29"/>
    <mergeCell ref="R29:S29"/>
    <mergeCell ref="J32:K32"/>
    <mergeCell ref="L32:N32"/>
    <mergeCell ref="R32:S32"/>
    <mergeCell ref="J33:K33"/>
    <mergeCell ref="L33:N33"/>
    <mergeCell ref="R33:S33"/>
    <mergeCell ref="J30:K30"/>
    <mergeCell ref="L30:N30"/>
    <mergeCell ref="R30:S30"/>
    <mergeCell ref="J31:K31"/>
    <mergeCell ref="L31:N31"/>
    <mergeCell ref="R31:S31"/>
    <mergeCell ref="R36:S36"/>
    <mergeCell ref="R37:S37"/>
    <mergeCell ref="R38:S38"/>
    <mergeCell ref="R39:S39"/>
    <mergeCell ref="R40:S40"/>
    <mergeCell ref="C41:D41"/>
    <mergeCell ref="E41:F41"/>
    <mergeCell ref="R41:S41"/>
    <mergeCell ref="J34:K34"/>
    <mergeCell ref="L34:N34"/>
    <mergeCell ref="R34:S34"/>
    <mergeCell ref="J35:K35"/>
    <mergeCell ref="L35:N35"/>
    <mergeCell ref="R35:S35"/>
    <mergeCell ref="R48:S48"/>
    <mergeCell ref="R49:S49"/>
    <mergeCell ref="R50:S50"/>
    <mergeCell ref="R42:S42"/>
    <mergeCell ref="R43:S43"/>
    <mergeCell ref="R44:S44"/>
    <mergeCell ref="R45:S45"/>
    <mergeCell ref="R46:S46"/>
    <mergeCell ref="R47:S47"/>
  </mergeCells>
  <dataValidations count="1">
    <dataValidation type="list" allowBlank="1" showInputMessage="1" showErrorMessage="1" sqref="E15:E19 E21:E22" xr:uid="{17A5D408-D7E4-4E90-AA3B-DAB4325851E2}">
      <formula1>"Pyro, Cryo, Hydro, Electro, Anemo, Geo, Dendro, Phys"</formula1>
    </dataValidation>
  </dataValidations>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6386" r:id="rId4" name="Check Box 2">
              <controlPr defaultSize="0" autoFill="0" autoLine="0" autoPict="0">
                <anchor moveWithCells="1">
                  <from>
                    <xdr:col>12</xdr:col>
                    <xdr:colOff>200025</xdr:colOff>
                    <xdr:row>7</xdr:row>
                    <xdr:rowOff>9525</xdr:rowOff>
                  </from>
                  <to>
                    <xdr:col>12</xdr:col>
                    <xdr:colOff>390525</xdr:colOff>
                    <xdr:row>8</xdr:row>
                    <xdr:rowOff>9525</xdr:rowOff>
                  </to>
                </anchor>
              </controlPr>
            </control>
          </mc:Choice>
        </mc:AlternateContent>
        <mc:AlternateContent xmlns:mc="http://schemas.openxmlformats.org/markup-compatibility/2006">
          <mc:Choice Requires="x14">
            <control shapeId="16387" r:id="rId5" name="Check Box 3">
              <controlPr defaultSize="0" autoFill="0" autoLine="0" autoPict="0">
                <anchor moveWithCells="1">
                  <from>
                    <xdr:col>12</xdr:col>
                    <xdr:colOff>200025</xdr:colOff>
                    <xdr:row>15</xdr:row>
                    <xdr:rowOff>180975</xdr:rowOff>
                  </from>
                  <to>
                    <xdr:col>12</xdr:col>
                    <xdr:colOff>428625</xdr:colOff>
                    <xdr:row>17</xdr:row>
                    <xdr:rowOff>0</xdr:rowOff>
                  </to>
                </anchor>
              </controlPr>
            </control>
          </mc:Choice>
        </mc:AlternateContent>
      </controls>
    </mc:Choice>
  </mc:AlternateContent>
  <extLst>
    <ext xmlns:x14="http://schemas.microsoft.com/office/spreadsheetml/2009/9/main" uri="{CCE6A557-97BC-4b89-ADB6-D9C93CAAB3DF}">
      <x14:dataValidations xmlns:xm="http://schemas.microsoft.com/office/excel/2006/main" count="15">
        <x14:dataValidation type="list" allowBlank="1" showInputMessage="1" showErrorMessage="1" xr:uid="{CD4A7D27-0FD1-49B6-B108-BEF17CC6F688}">
          <x14:formula1>
            <xm:f>'Data Val'!$C$2:$C$6</xm:f>
          </x14:formula1>
          <xm:sqref>E20:F20 E23:F23</xm:sqref>
        </x14:dataValidation>
        <x14:dataValidation type="list" allowBlank="1" showInputMessage="1" showErrorMessage="1" xr:uid="{7D3DFA93-DBCE-4E6D-8406-12A141CFC0D2}">
          <x14:formula1>
            <xm:f>artisDB!$A$2:$A$53</xm:f>
          </x14:formula1>
          <xm:sqref>L15:N15</xm:sqref>
        </x14:dataValidation>
        <x14:dataValidation type="list" allowBlank="1" showInputMessage="1" showErrorMessage="1" xr:uid="{18E37E88-BD84-46AF-A4E3-E823341024B0}">
          <x14:formula1>
            <xm:f>artisDB!$A$2:$A$27</xm:f>
          </x14:formula1>
          <xm:sqref>L14:N14</xm:sqref>
        </x14:dataValidation>
        <x14:dataValidation type="list" allowBlank="1" showInputMessage="1" showErrorMessage="1" xr:uid="{DBB4AFA1-7F0F-475F-BDD5-E07E9ED3E118}">
          <x14:formula1>
            <xm:f>weaponsDB!$B$1:$CS$1</xm:f>
          </x14:formula1>
          <xm:sqref>L5:N5</xm:sqref>
        </x14:dataValidation>
        <x14:dataValidation type="list" allowBlank="1" showInputMessage="1" showErrorMessage="1" xr:uid="{81C7F70E-98E3-4A21-ABA7-2E8482DED2DC}">
          <x14:formula1>
            <xm:f>'Artifact Database'!$AA$3:$AA$9</xm:f>
          </x14:formula1>
          <xm:sqref>L34:N34</xm:sqref>
        </x14:dataValidation>
        <x14:dataValidation type="list" allowBlank="1" showInputMessage="1" showErrorMessage="1" xr:uid="{A9518E72-432B-42ED-B431-C699FE44E653}">
          <x14:formula1>
            <xm:f>'Artifact Database'!$Z$3:$Z$13</xm:f>
          </x14:formula1>
          <xm:sqref>L31:N31</xm:sqref>
        </x14:dataValidation>
        <x14:dataValidation type="list" allowBlank="1" showInputMessage="1" showErrorMessage="1" xr:uid="{690C34DE-2CFA-4E7A-8596-01C58CC896A5}">
          <x14:formula1>
            <xm:f>'Artifact Database'!$Y$3:$Y$7</xm:f>
          </x14:formula1>
          <xm:sqref>L28:N28</xm:sqref>
        </x14:dataValidation>
        <x14:dataValidation type="list" allowBlank="1" showInputMessage="1" showErrorMessage="1" xr:uid="{8A336F66-984C-49AA-A09F-6CE2D37DC030}">
          <x14:formula1>
            <xm:f>'Artifact Database'!$Y$16:$AC$16</xm:f>
          </x14:formula1>
          <xm:sqref>L24:N24 L26:N26 L29:N29 L32:N32 L35:N35</xm:sqref>
        </x14:dataValidation>
        <x14:dataValidation type="list" allowBlank="1" showInputMessage="1" showErrorMessage="1" xr:uid="{3316C32E-DE9F-4E2B-899F-EBDD34A216DC}">
          <x14:formula1>
            <xm:f>'Artifact Database'!$B$1:$D$1</xm:f>
          </x14:formula1>
          <xm:sqref>Z7</xm:sqref>
        </x14:dataValidation>
        <x14:dataValidation type="list" allowBlank="1" showInputMessage="1" showErrorMessage="1" xr:uid="{958238F6-6FD4-40F2-B055-36402CCEF5CC}">
          <x14:formula1>
            <xm:f>'Data Val'!$A$8:$A$21</xm:f>
          </x14:formula1>
          <xm:sqref>E6:F6</xm:sqref>
        </x14:dataValidation>
        <x14:dataValidation type="whole" allowBlank="1" showInputMessage="1" showErrorMessage="1" xr:uid="{AF9B6C74-8B38-451E-9919-F2FE4BECE26F}">
          <x14:formula1>
            <xm:f>0</xm:f>
          </x14:formula1>
          <x14:formula2>
            <xm:f>'Artifact Database'!Z64</xm:f>
          </x14:formula2>
          <xm:sqref>L23:N23</xm:sqref>
        </x14:dataValidation>
        <x14:dataValidation type="whole" allowBlank="1" showInputMessage="1" showErrorMessage="1" xr:uid="{3F30A28A-7E4D-4709-98F8-5A94189AE747}">
          <x14:formula1>
            <xm:f>0</xm:f>
          </x14:formula1>
          <x14:formula2>
            <xm:f>'Artifact Database'!AA64</xm:f>
          </x14:formula2>
          <xm:sqref>L25:N25</xm:sqref>
        </x14:dataValidation>
        <x14:dataValidation type="whole" allowBlank="1" showInputMessage="1" showErrorMessage="1" xr:uid="{84E34DEB-4E01-44EB-A4B8-6564CAD54DA5}">
          <x14:formula1>
            <xm:f>0</xm:f>
          </x14:formula1>
          <x14:formula2>
            <xm:f>'Artifact Database'!AB64</xm:f>
          </x14:formula2>
          <xm:sqref>L27:N27</xm:sqref>
        </x14:dataValidation>
        <x14:dataValidation type="whole" allowBlank="1" showInputMessage="1" showErrorMessage="1" xr:uid="{C2A24A2F-6DF6-4334-990E-27B96CC868EE}">
          <x14:formula1>
            <xm:f>0</xm:f>
          </x14:formula1>
          <x14:formula2>
            <xm:f>'Artifact Database'!AC64</xm:f>
          </x14:formula2>
          <xm:sqref>L30:N30</xm:sqref>
        </x14:dataValidation>
        <x14:dataValidation type="whole" allowBlank="1" showInputMessage="1" showErrorMessage="1" xr:uid="{CFC2DDB9-9312-462E-B4E3-8E5C366EA8A3}">
          <x14:formula1>
            <xm:f>0</xm:f>
          </x14:formula1>
          <x14:formula2>
            <xm:f>'Artifact Database'!L33</xm:f>
          </x14:formula2>
          <xm:sqref>L33:N33</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2B761-A075-4698-8348-B314936A6EBC}">
  <dimension ref="A1:X47"/>
  <sheetViews>
    <sheetView topLeftCell="A16" workbookViewId="0">
      <selection activeCell="O40" sqref="O40"/>
    </sheetView>
  </sheetViews>
  <sheetFormatPr defaultRowHeight="15" x14ac:dyDescent="0.25"/>
  <cols>
    <col min="1" max="1" width="10.85546875" bestFit="1" customWidth="1"/>
    <col min="9" max="9" width="21" bestFit="1" customWidth="1"/>
  </cols>
  <sheetData>
    <row r="1" spans="1:24" x14ac:dyDescent="0.25">
      <c r="A1" t="s">
        <v>375</v>
      </c>
      <c r="B1" t="s">
        <v>630</v>
      </c>
      <c r="C1" t="s">
        <v>670</v>
      </c>
      <c r="D1" t="s">
        <v>688</v>
      </c>
      <c r="G1" t="s">
        <v>755</v>
      </c>
      <c r="H1" t="s">
        <v>758</v>
      </c>
      <c r="J1" t="s">
        <v>765</v>
      </c>
      <c r="K1" t="str">
        <f>VLOOKUP(A2,$G$1:$H$47,2,0)&amp;" DMG%"</f>
        <v>Electro DMG%</v>
      </c>
      <c r="P1" t="s">
        <v>6</v>
      </c>
      <c r="S1" t="s">
        <v>5</v>
      </c>
      <c r="T1" t="s">
        <v>3</v>
      </c>
      <c r="U1" t="s">
        <v>19</v>
      </c>
      <c r="V1" t="s">
        <v>23</v>
      </c>
      <c r="W1" t="s">
        <v>0</v>
      </c>
      <c r="X1" t="s">
        <v>24</v>
      </c>
    </row>
    <row r="2" spans="1:24" x14ac:dyDescent="0.25">
      <c r="A2" t="str">
        <f>'Character 1'!E5</f>
        <v>Raiden</v>
      </c>
      <c r="B2" t="s">
        <v>631</v>
      </c>
      <c r="C2" t="s">
        <v>6</v>
      </c>
      <c r="D2" t="s">
        <v>689</v>
      </c>
      <c r="E2">
        <v>2</v>
      </c>
      <c r="G2" t="s">
        <v>18</v>
      </c>
      <c r="H2" t="s">
        <v>759</v>
      </c>
      <c r="J2" t="s">
        <v>764</v>
      </c>
      <c r="K2" t="str">
        <f>VLOOKUP(A3,$G$1:$H$47,2,0)&amp;" DMG%"</f>
        <v>Pyro DMG%</v>
      </c>
      <c r="O2" t="s">
        <v>631</v>
      </c>
      <c r="P2" t="str">
        <f>char1NAElement</f>
        <v>Electro</v>
      </c>
      <c r="S2" t="str">
        <f>char1CAElement</f>
        <v>Electro</v>
      </c>
      <c r="T2" t="str">
        <f>char1PlungeElement</f>
        <v>Electro</v>
      </c>
      <c r="U2" t="str">
        <f>char1SkillElement</f>
        <v>Electro</v>
      </c>
      <c r="V2" t="str">
        <f>char1SkillEchoElement</f>
        <v>Electro</v>
      </c>
      <c r="W2" t="str">
        <f>char1BurstElement</f>
        <v>Electro</v>
      </c>
      <c r="X2" t="str">
        <f>char1BurstEchoElement</f>
        <v>Electro</v>
      </c>
    </row>
    <row r="3" spans="1:24" x14ac:dyDescent="0.25">
      <c r="A3" t="str">
        <f>'Character 2'!E5</f>
        <v>Xiangling</v>
      </c>
      <c r="B3" t="s">
        <v>632</v>
      </c>
      <c r="C3" t="s">
        <v>5</v>
      </c>
      <c r="D3" t="s">
        <v>690</v>
      </c>
      <c r="E3">
        <v>2</v>
      </c>
      <c r="G3" t="s">
        <v>433</v>
      </c>
      <c r="H3" t="s">
        <v>760</v>
      </c>
      <c r="J3" t="s">
        <v>766</v>
      </c>
      <c r="K3" t="str">
        <f>VLOOKUP(A4,$G$1:$H$47, 2, 0)&amp;" DMG%"</f>
        <v>Pyro DMG%</v>
      </c>
      <c r="O3" t="s">
        <v>632</v>
      </c>
      <c r="P3" t="str">
        <f>char2NAElement</f>
        <v>Pyro</v>
      </c>
      <c r="S3" t="str">
        <f>char2CAElement</f>
        <v>Phys</v>
      </c>
      <c r="T3" t="str">
        <f>char2PlungeElement</f>
        <v>Phys</v>
      </c>
      <c r="U3" t="str">
        <f>char2SkillElement</f>
        <v>Pyro</v>
      </c>
      <c r="V3" t="str">
        <f>char2SkillEchoElement</f>
        <v>Pyro</v>
      </c>
      <c r="W3" t="str">
        <f>char2BurstElement</f>
        <v>Pyro</v>
      </c>
      <c r="X3" t="str">
        <f>char2BurstEchoElement</f>
        <v>Pyro</v>
      </c>
    </row>
    <row r="4" spans="1:24" x14ac:dyDescent="0.25">
      <c r="A4" t="str">
        <f>char3Name</f>
        <v>Bennett</v>
      </c>
      <c r="B4" t="s">
        <v>633</v>
      </c>
      <c r="C4" t="s">
        <v>3</v>
      </c>
      <c r="D4" t="s">
        <v>691</v>
      </c>
      <c r="E4">
        <v>1.5</v>
      </c>
      <c r="G4" t="s">
        <v>137</v>
      </c>
      <c r="H4" t="s">
        <v>699</v>
      </c>
      <c r="J4" t="s">
        <v>767</v>
      </c>
      <c r="K4" t="str">
        <f>VLOOKUP(A5,$G$1:$H$47, 2, 0)&amp;" DMG%"</f>
        <v>Hydro DMG%</v>
      </c>
      <c r="O4" t="s">
        <v>633</v>
      </c>
      <c r="P4" t="str">
        <f>char3NAElement</f>
        <v>Phys</v>
      </c>
      <c r="S4" t="str">
        <f>char3CAElement</f>
        <v>Phys</v>
      </c>
      <c r="T4" t="str">
        <f>char3PlungeElement</f>
        <v>Phys</v>
      </c>
      <c r="U4" t="str">
        <f>char3SkillElement</f>
        <v>Pyro</v>
      </c>
      <c r="V4" t="str">
        <f>char3SkillEchoElement</f>
        <v>Pyro</v>
      </c>
      <c r="W4" t="str">
        <f>char3BurstElement</f>
        <v>Pyro</v>
      </c>
      <c r="X4" t="str">
        <f>char3BurstEchoElement</f>
        <v>Pyro</v>
      </c>
    </row>
    <row r="5" spans="1:24" x14ac:dyDescent="0.25">
      <c r="A5" t="str">
        <f>char4Name</f>
        <v>Xingqiu</v>
      </c>
      <c r="B5" t="s">
        <v>634</v>
      </c>
      <c r="C5" t="s">
        <v>19</v>
      </c>
      <c r="D5" t="s">
        <v>692</v>
      </c>
      <c r="E5">
        <v>1.5</v>
      </c>
      <c r="G5" t="s">
        <v>154</v>
      </c>
      <c r="H5" t="s">
        <v>761</v>
      </c>
      <c r="O5" t="s">
        <v>634</v>
      </c>
      <c r="P5" t="str">
        <f>char4NAElement</f>
        <v>Phys</v>
      </c>
      <c r="S5" t="str">
        <f>char4CAElement</f>
        <v>Phys</v>
      </c>
      <c r="T5" t="str">
        <f>char4PlungeElement</f>
        <v>Phys</v>
      </c>
      <c r="U5" t="str">
        <f>char4SkillElement</f>
        <v>Hydro</v>
      </c>
      <c r="V5" t="str">
        <f>char4SkillEchoElement</f>
        <v>Hydro</v>
      </c>
      <c r="W5" t="str">
        <f>char4BurstElement</f>
        <v>Hydro</v>
      </c>
      <c r="X5" t="str">
        <f>char4BurstEchoElement</f>
        <v>Hydro</v>
      </c>
    </row>
    <row r="6" spans="1:24" x14ac:dyDescent="0.25">
      <c r="C6" t="s">
        <v>0</v>
      </c>
      <c r="D6" t="s">
        <v>249</v>
      </c>
      <c r="E6">
        <v>1</v>
      </c>
      <c r="G6" t="s">
        <v>159</v>
      </c>
      <c r="H6" t="s">
        <v>762</v>
      </c>
      <c r="J6" t="s">
        <v>774</v>
      </c>
    </row>
    <row r="7" spans="1:24" x14ac:dyDescent="0.25">
      <c r="A7" t="s">
        <v>423</v>
      </c>
      <c r="G7" t="s">
        <v>165</v>
      </c>
      <c r="H7" t="s">
        <v>699</v>
      </c>
      <c r="I7" t="s">
        <v>778</v>
      </c>
      <c r="J7" t="s">
        <v>631</v>
      </c>
      <c r="K7" t="s">
        <v>632</v>
      </c>
      <c r="L7" t="s">
        <v>633</v>
      </c>
      <c r="M7" t="s">
        <v>634</v>
      </c>
      <c r="O7" t="s">
        <v>806</v>
      </c>
      <c r="P7" t="s">
        <v>127</v>
      </c>
      <c r="S7" t="s">
        <v>130</v>
      </c>
      <c r="T7" t="s">
        <v>226</v>
      </c>
    </row>
    <row r="8" spans="1:24" x14ac:dyDescent="0.25">
      <c r="A8">
        <v>1</v>
      </c>
      <c r="G8" t="s">
        <v>174</v>
      </c>
      <c r="H8" t="s">
        <v>760</v>
      </c>
      <c r="I8" t="s">
        <v>775</v>
      </c>
      <c r="J8">
        <f>INDEX(char1Weapons, MATCH("Proc 1 Name",weaponsDB!$A$1:$A$66, 0), MATCH(char1WeaponName, weaponsDB!$A$1:$CS$1, 0))</f>
        <v>0</v>
      </c>
      <c r="K8">
        <f>INDEX(char2Weapons, MATCH("Proc 1 Name",weaponsDB!$A$68:$A$132, 0), MATCH(char2WeaponName, weaponsDB!$A$68:$CS$68, 0))</f>
        <v>0</v>
      </c>
      <c r="L8">
        <f>INDEX(char3Weapons, MATCH("Proc 1 Name",weaponsDB!$A$134:$A$198, 0), MATCH(char3WeaponName, weaponsDB!$A$134:$CS$134, 0))</f>
        <v>0</v>
      </c>
      <c r="M8">
        <f>INDEX(char4Weapons, MATCH("Proc 1 Name",weaponsDB!$A$200:$A$264, 0), MATCH(char4WeaponName, weaponsDB!$A$200:$CS$200, 0))</f>
        <v>0</v>
      </c>
      <c r="O8" t="s">
        <v>631</v>
      </c>
      <c r="P8">
        <f>char1FinalATK</f>
        <v>1839.8047999999999</v>
      </c>
      <c r="S8">
        <f>char1FinalDEF</f>
        <v>864.37600000000009</v>
      </c>
      <c r="T8">
        <f>char1FinalHP</f>
        <v>18478.28</v>
      </c>
    </row>
    <row r="9" spans="1:24" x14ac:dyDescent="0.25">
      <c r="A9">
        <v>20</v>
      </c>
      <c r="G9" t="s">
        <v>176</v>
      </c>
      <c r="H9" t="s">
        <v>699</v>
      </c>
      <c r="I9" t="s">
        <v>776</v>
      </c>
      <c r="J9">
        <f>INDEX(char1Weapons, MATCH("Proc 2 Name",weaponsDB!$A$1:$A$66, 0), MATCH(char1WeaponName, weaponsDB!$A$1:$CS$1, 0))</f>
        <v>0</v>
      </c>
      <c r="K9">
        <f>INDEX(char2Weapons, MATCH("Proc 2 Name",weaponsDB!$A$68:$A$132, 0), MATCH(char2WeaponName, weaponsDB!$A$68:$CS$68, 0))</f>
        <v>0</v>
      </c>
      <c r="L9">
        <f>INDEX(char3Weapons, MATCH("Proc 2 Name",weaponsDB!$A$134:$A$198, 0), MATCH(char3WeaponName, weaponsDB!$A$134:$CS$134, 0))</f>
        <v>0</v>
      </c>
      <c r="M9">
        <f>INDEX(char4Weapons, MATCH("Proc 2 Name",weaponsDB!$A$200:$A$264, 0), MATCH(char4WeaponName, weaponsDB!$A$200:$CS$200, 0))</f>
        <v>0</v>
      </c>
      <c r="O9" t="s">
        <v>632</v>
      </c>
      <c r="P9">
        <f>char2FinalATK</f>
        <v>2389.1019999999999</v>
      </c>
      <c r="S9">
        <f>char2FinalDEF</f>
        <v>791.31600000000003</v>
      </c>
      <c r="T9">
        <f>char2FinalHP</f>
        <v>14194.68</v>
      </c>
    </row>
    <row r="10" spans="1:24" x14ac:dyDescent="0.25">
      <c r="A10" t="s">
        <v>415</v>
      </c>
      <c r="G10" t="s">
        <v>186</v>
      </c>
      <c r="H10" t="s">
        <v>760</v>
      </c>
      <c r="I10" t="s">
        <v>777</v>
      </c>
      <c r="J10">
        <f>INDEX(char1Weapons, MATCH("Proc 3 Name",weaponsDB!$A$1:$A$66, 0), MATCH(char1WeaponName, weaponsDB!$A$1:$CS$1, 0))</f>
        <v>0</v>
      </c>
      <c r="K10">
        <f>INDEX(char2Weapons, MATCH("Proc 3 Name",weaponsDB!$A$68:$A$132, 0), MATCH(char2WeaponName, weaponsDB!$A$68:$CS$68, 0))</f>
        <v>0</v>
      </c>
      <c r="L10">
        <f>INDEX(char3Weapons, MATCH("Proc 3 Name",weaponsDB!$A$134:$A$198, 0), MATCH(char3WeaponName, weaponsDB!$A$134:$CS$134, 0))</f>
        <v>0</v>
      </c>
      <c r="M10">
        <f>INDEX(char4Weapons, MATCH("Proc 3 Name",weaponsDB!$A$200:$A$264, 0), MATCH(char4WeaponName, weaponsDB!$A$200:$CS$200, 0))</f>
        <v>0</v>
      </c>
      <c r="O10" t="s">
        <v>633</v>
      </c>
      <c r="P10">
        <f>char3FinalATK</f>
        <v>1580.3415999999997</v>
      </c>
      <c r="S10">
        <f>char3FinalDEF</f>
        <v>846.39200000000005</v>
      </c>
      <c r="T10">
        <f>char3FinalHP</f>
        <v>17971.5488</v>
      </c>
    </row>
    <row r="11" spans="1:24" x14ac:dyDescent="0.25">
      <c r="A11">
        <v>40</v>
      </c>
      <c r="G11" t="s">
        <v>192</v>
      </c>
      <c r="H11" t="s">
        <v>760</v>
      </c>
      <c r="O11" t="s">
        <v>634</v>
      </c>
      <c r="P11">
        <f ca="1">char4FinalATK</f>
        <v>1881.2156</v>
      </c>
      <c r="S11">
        <f>char4FinalDEF</f>
        <v>831.78000000000009</v>
      </c>
      <c r="T11">
        <f>char4FinalHP</f>
        <v>15745.668799999999</v>
      </c>
    </row>
    <row r="12" spans="1:24" x14ac:dyDescent="0.25">
      <c r="A12" t="s">
        <v>416</v>
      </c>
      <c r="G12" t="s">
        <v>207</v>
      </c>
      <c r="H12" t="s">
        <v>207</v>
      </c>
    </row>
    <row r="13" spans="1:24" x14ac:dyDescent="0.25">
      <c r="A13">
        <v>50</v>
      </c>
      <c r="G13" t="s">
        <v>216</v>
      </c>
      <c r="H13" t="s">
        <v>760</v>
      </c>
      <c r="I13" t="s">
        <v>631</v>
      </c>
      <c r="J13" t="s">
        <v>11</v>
      </c>
      <c r="K13" t="s">
        <v>780</v>
      </c>
      <c r="L13" t="s">
        <v>126</v>
      </c>
      <c r="M13" t="s">
        <v>758</v>
      </c>
      <c r="O13" t="s">
        <v>807</v>
      </c>
    </row>
    <row r="14" spans="1:24" x14ac:dyDescent="0.25">
      <c r="A14" t="s">
        <v>417</v>
      </c>
      <c r="G14" t="s">
        <v>756</v>
      </c>
      <c r="H14" t="s">
        <v>699</v>
      </c>
      <c r="I14">
        <f>INDEX(char1Weapons, MATCH("Proc 1 Name",weaponsDB!$A$1:$A$66, 0), MATCH(char1WeaponName, weaponsDB!$A$1:$CS$1, 0))</f>
        <v>0</v>
      </c>
      <c r="J14">
        <f>INDEX(INDEX(char1Weapons, 0, MATCH(char1WeaponName, INDEX(char1Weapons, 1, 0), 0)), MATCH("Proc 1 Damage Type", INDEX(char1Weapons, 0, 1), 0), 1)</f>
        <v>0</v>
      </c>
      <c r="K14">
        <f>INDEX(INDEX(char1Weapons, 0, MATCH(char1WeaponName, INDEX(char1Weapons, 1, 0), 0)), MATCH("Proc 1 Talent%", INDEX(char1Weapons, 0, 1), 0), 1)</f>
        <v>0</v>
      </c>
      <c r="L14">
        <f>INDEX(INDEX(char1Weapons, 0, MATCH(char1WeaponName, INDEX(char1Weapons, 1, 0), 0)), MATCH("Proc 1 Scaling Stat", INDEX(char1Weapons, 0, 1), 0), 1)</f>
        <v>0</v>
      </c>
      <c r="M14">
        <f>INDEX(INDEX(char1Weapons, 0, MATCH(char1WeaponName, INDEX(char1Weapons, 1, 0), 0)), MATCH("Proc 1 Element", INDEX(char1Weapons, 0, 1), 0), 1)</f>
        <v>0</v>
      </c>
      <c r="O14" t="s">
        <v>631</v>
      </c>
      <c r="P14">
        <f>char1FinalDefMult</f>
        <v>0.48648648648648651</v>
      </c>
    </row>
    <row r="15" spans="1:24" x14ac:dyDescent="0.25">
      <c r="A15">
        <v>60</v>
      </c>
      <c r="G15" t="s">
        <v>228</v>
      </c>
      <c r="H15" t="s">
        <v>763</v>
      </c>
      <c r="I15">
        <f>INDEX(char1Weapons, MATCH("Proc 2 Name",weaponsDB!$A$1:$A$66, 0), MATCH(char1WeaponName, weaponsDB!$A$1:$CS$1, 0))</f>
        <v>0</v>
      </c>
      <c r="J15">
        <f>INDEX(INDEX(char1Weapons, 0, MATCH(char1WeaponName, INDEX(char1Weapons, 1, 0), 0)), MATCH("Proc 2 Damage Type", INDEX(char1Weapons, 0, 1), 0), 1)</f>
        <v>0</v>
      </c>
      <c r="K15">
        <f>INDEX(INDEX(char1Weapons, 0, MATCH(char1WeaponName, INDEX(char1Weapons, 1, 0), 0)), MATCH("Proc 2 Talent%", INDEX(char1Weapons, 0, 1), 0), 1)</f>
        <v>0</v>
      </c>
      <c r="L15">
        <f>INDEX(INDEX(char1Weapons, 0, MATCH(char1WeaponName, INDEX(char1Weapons, 1, 0), 0)), MATCH("Proc 2 Scaling Stat", INDEX(char1Weapons, 0, 1), 0), 1)</f>
        <v>0</v>
      </c>
      <c r="M15">
        <f>INDEX(INDEX(char1Weapons, 0, MATCH(char1WeaponName, INDEX(char1Weapons, 1, 0), 0)), MATCH("Proc 2 Element", INDEX(char1Weapons, 0, 1), 0), 1)</f>
        <v>0</v>
      </c>
      <c r="O15" t="s">
        <v>632</v>
      </c>
      <c r="P15">
        <f>char2FinalDefMult</f>
        <v>0.5</v>
      </c>
    </row>
    <row r="16" spans="1:24" x14ac:dyDescent="0.25">
      <c r="A16" t="s">
        <v>418</v>
      </c>
      <c r="G16" t="s">
        <v>232</v>
      </c>
      <c r="H16" t="s">
        <v>763</v>
      </c>
      <c r="I16">
        <f>INDEX(char1Weapons, MATCH("Proc 3 Name",weaponsDB!$A$1:$A$66, 0), MATCH(char1WeaponName, weaponsDB!$A$1:$CS$1, 0))</f>
        <v>0</v>
      </c>
      <c r="J16">
        <f>INDEX(INDEX(char1Weapons, 0, MATCH(char1WeaponName, INDEX(char1Weapons, 1, 0), 0)), MATCH("Proc 3 Damage Type", INDEX(char1Weapons, 0, 1), 0), 1)</f>
        <v>0</v>
      </c>
      <c r="K16">
        <f>INDEX(INDEX(char1Weapons, 0, MATCH(char1WeaponName, INDEX(char1Weapons, 1, 0), 0)), MATCH("Proc 3 Talent%", INDEX(char1Weapons, 0, 1), 0), 1)</f>
        <v>0</v>
      </c>
      <c r="L16">
        <f>INDEX(INDEX(char1Weapons, 0, MATCH(char1WeaponName, INDEX(char1Weapons, 1, 0), 0)), MATCH("Proc 3 Scaling Stat", INDEX(char1Weapons, 0, 1), 0), 1)</f>
        <v>0</v>
      </c>
      <c r="M16">
        <f>INDEX(INDEX(char1Weapons, 0, MATCH(char1WeaponName, INDEX(char1Weapons, 1, 0), 0)), MATCH("Proc 3 Element", INDEX(char1Weapons, 0, 1), 0), 1)</f>
        <v>0</v>
      </c>
      <c r="O16" t="s">
        <v>633</v>
      </c>
      <c r="P16">
        <f>char3FinalDefMult</f>
        <v>0.48648648648648651</v>
      </c>
    </row>
    <row r="17" spans="1:22" x14ac:dyDescent="0.25">
      <c r="A17">
        <v>70</v>
      </c>
      <c r="G17" t="s">
        <v>230</v>
      </c>
      <c r="H17" t="s">
        <v>760</v>
      </c>
      <c r="I17" t="s">
        <v>632</v>
      </c>
      <c r="J17" t="s">
        <v>11</v>
      </c>
      <c r="K17" t="s">
        <v>780</v>
      </c>
      <c r="L17" t="s">
        <v>126</v>
      </c>
      <c r="M17" t="s">
        <v>758</v>
      </c>
      <c r="O17" t="s">
        <v>634</v>
      </c>
      <c r="P17">
        <f>char4FinalDefMult</f>
        <v>0.48648648648648651</v>
      </c>
    </row>
    <row r="18" spans="1:22" x14ac:dyDescent="0.25">
      <c r="A18" t="s">
        <v>419</v>
      </c>
      <c r="G18" t="s">
        <v>12</v>
      </c>
      <c r="H18" t="s">
        <v>760</v>
      </c>
      <c r="I18">
        <f>INDEX(char2Weapons, MATCH("Proc 1 Name",weaponsDB!$A$68:$A$132, 0), MATCH(char2WeaponName, weaponsDB!$A$68:$CS$68, 0))</f>
        <v>0</v>
      </c>
      <c r="J18">
        <f>INDEX(INDEX(char2Weapons, 0, MATCH(char2WeaponName, INDEX(char2Weapons, 1, 0), 0)), MATCH("Proc 1 Damage Type", INDEX(char2Weapons, 0, 1), 0), 1)</f>
        <v>0</v>
      </c>
      <c r="K18">
        <f>INDEX(INDEX(char2Weapons, 0, MATCH(char2WeaponName, INDEX(char2Weapons, 1, 0), 0)), MATCH("Proc 1 Talent%", INDEX(char2Weapons, 0, 1), 0), 1)</f>
        <v>0</v>
      </c>
      <c r="L18">
        <f>INDEX(INDEX(char2Weapons, 0, MATCH(char2WeaponName, INDEX(char2Weapons, 1, 0), 0)), MATCH("Proc 1 Scaling Stat", INDEX(char2Weapons, 0, 1), 0), 1)</f>
        <v>0</v>
      </c>
      <c r="M18">
        <f>INDEX(INDEX(char2Weapons, 0, MATCH(char2WeaponName, INDEX(char2Weapons, 1, 0), 0)), MATCH("Proc 1 Element", INDEX(char2Weapons, 0, 1), 0), 1)</f>
        <v>0</v>
      </c>
    </row>
    <row r="19" spans="1:22" x14ac:dyDescent="0.25">
      <c r="A19">
        <v>80</v>
      </c>
      <c r="G19" t="s">
        <v>239</v>
      </c>
      <c r="H19" t="s">
        <v>762</v>
      </c>
      <c r="I19">
        <f>INDEX(char2Weapons, MATCH("Proc 2 Name",weaponsDB!$A$68:$A$132, 0), MATCH(char2WeaponName, weaponsDB!$A$68:$CS$68, 0))</f>
        <v>0</v>
      </c>
      <c r="J19">
        <f>INDEX(INDEX(char2Weapons, 0, MATCH(char2WeaponName, INDEX(char2Weapons, 1, 0), 0)), MATCH("Proc 2 Damage Type", INDEX(char2Weapons, 0, 1), 0), 1)</f>
        <v>0</v>
      </c>
      <c r="K19">
        <f>INDEX(INDEX(char2Weapons, 0, MATCH(char2WeaponName, INDEX(char2Weapons, 1, 0), 0)), MATCH("Proc 2 Talent%", INDEX(char2Weapons, 0, 1), 0), 1)</f>
        <v>0</v>
      </c>
      <c r="L19">
        <f>INDEX(INDEX(char2Weapons, 0, MATCH(char2WeaponName, INDEX(char2Weapons, 1, 0), 0)), MATCH("Proc 2 Scaling Stat", INDEX(char2Weapons, 0, 1), 0), 1)</f>
        <v>0</v>
      </c>
      <c r="M19">
        <f>INDEX(INDEX(char2Weapons, 0, MATCH(char2WeaponName, INDEX(char2Weapons, 1, 0), 0)), MATCH("Proc 2 Element", INDEX(char2Weapons, 0, 1), 0), 1)</f>
        <v>0</v>
      </c>
      <c r="O19" t="s">
        <v>816</v>
      </c>
    </row>
    <row r="20" spans="1:22" x14ac:dyDescent="0.25">
      <c r="A20" t="s">
        <v>420</v>
      </c>
      <c r="G20" t="s">
        <v>250</v>
      </c>
      <c r="H20" t="s">
        <v>699</v>
      </c>
      <c r="I20">
        <f>INDEX(char2Weapons, MATCH("Proc 3 Name",weaponsDB!$A$68:$A$132, 0), MATCH(char2WeaponName, weaponsDB!$A$68:$CS$68, 0))</f>
        <v>0</v>
      </c>
      <c r="J20">
        <f>INDEX(INDEX(char2Weapons, 0, MATCH(char2WeaponName, INDEX(char2Weapons, 1, 0), 0)), MATCH("Proc 3 Damage Type", INDEX(char2Weapons, 0, 1), 0), 1)</f>
        <v>0</v>
      </c>
      <c r="K20">
        <f>INDEX(INDEX(char2Weapons, 0, MATCH(char2WeaponName, INDEX(char2Weapons, 1, 0), 0)), MATCH("Proc 3 Talent%", INDEX(char2Weapons, 0, 1), 0), 1)</f>
        <v>0</v>
      </c>
      <c r="L20">
        <f>INDEX(INDEX(char2Weapons, 0, MATCH(char2WeaponName, INDEX(char2Weapons, 1, 0), 0)), MATCH("Proc 3 Scaling Stat", INDEX(char2Weapons, 0, 1), 0), 1)</f>
        <v>0</v>
      </c>
      <c r="M20">
        <f>INDEX(INDEX(char2Weapons, 0, MATCH(char2WeaponName, INDEX(char2Weapons, 1, 0), 0)), MATCH("Proc 3 Element", INDEX(char2Weapons, 0, 1), 0), 1)</f>
        <v>0</v>
      </c>
      <c r="O20" t="s">
        <v>631</v>
      </c>
      <c r="P20">
        <v>1</v>
      </c>
    </row>
    <row r="21" spans="1:22" x14ac:dyDescent="0.25">
      <c r="A21">
        <v>90</v>
      </c>
      <c r="G21" t="s">
        <v>306</v>
      </c>
      <c r="H21" t="s">
        <v>762</v>
      </c>
      <c r="I21" t="s">
        <v>633</v>
      </c>
      <c r="J21" t="s">
        <v>11</v>
      </c>
      <c r="K21" t="s">
        <v>780</v>
      </c>
      <c r="L21" t="s">
        <v>126</v>
      </c>
      <c r="M21" t="s">
        <v>758</v>
      </c>
      <c r="O21" t="s">
        <v>632</v>
      </c>
      <c r="P21">
        <v>5</v>
      </c>
    </row>
    <row r="22" spans="1:22" x14ac:dyDescent="0.25">
      <c r="G22" t="s">
        <v>258</v>
      </c>
      <c r="H22" t="s">
        <v>762</v>
      </c>
      <c r="I22">
        <f>INDEX(char3Weapons, MATCH("Proc 1 Name",weaponsDB!$A$134:$A$198, 0), MATCH(char3WeaponName, weaponsDB!$A$134:$CS$134, 0))</f>
        <v>0</v>
      </c>
      <c r="J22">
        <f>INDEX(INDEX(char3Weapons, 0, MATCH(char3WeaponName, INDEX(char3Weapons, 1, 0), 0)), MATCH("Proc 1 Damage Type", INDEX(char3Weapons, 0, 1), 0), 1)</f>
        <v>0</v>
      </c>
      <c r="K22">
        <f>INDEX(INDEX(char3Weapons, 0, MATCH(char3WeaponName, INDEX(char3Weapons, 1, 0), 0)), MATCH("Proc 1 Talent%", INDEX(char3Weapons, 0, 1), 0), 1)</f>
        <v>0</v>
      </c>
      <c r="L22">
        <f>INDEX(INDEX(char3Weapons, 0, MATCH(char3WeaponName, INDEX(char3Weapons, 1, 0), 0)), MATCH("Proc 1 Scaling Stat", INDEX(char3Weapons, 0, 1), 0), 1)</f>
        <v>0</v>
      </c>
      <c r="M22">
        <f>INDEX(INDEX(char3Weapons, 0, MATCH(char3WeaponName, INDEX(char3Weapons, 1, 0), 0)), MATCH("Proc 1 Element", INDEX(char3Weapons, 0, 1), 0), 1)</f>
        <v>0</v>
      </c>
      <c r="O22" t="s">
        <v>633</v>
      </c>
      <c r="P22">
        <v>9</v>
      </c>
    </row>
    <row r="23" spans="1:22" x14ac:dyDescent="0.25">
      <c r="G23" t="s">
        <v>264</v>
      </c>
      <c r="H23" t="s">
        <v>761</v>
      </c>
      <c r="I23">
        <f>INDEX(char3Weapons, MATCH("Proc 2 Name",weaponsDB!$A$134:$A$198, 0), MATCH(char3WeaponName, weaponsDB!$A$134:$CS$134, 0))</f>
        <v>0</v>
      </c>
      <c r="J23">
        <f>INDEX(INDEX(char3Weapons, 0, MATCH(char3WeaponName, INDEX(char3Weapons, 1, 0), 0)), MATCH("Proc 2 Damage Type", INDEX(char3Weapons, 0, 1), 0), 1)</f>
        <v>0</v>
      </c>
      <c r="K23">
        <f>INDEX(INDEX(char3Weapons, 0, MATCH(char3WeaponName, INDEX(char3Weapons, 1, 0), 0)), MATCH("Proc 2 Talent%", INDEX(char3Weapons, 0, 1), 0), 1)</f>
        <v>0</v>
      </c>
      <c r="L23">
        <f>INDEX(INDEX(char3Weapons, 0, MATCH(char3WeaponName, INDEX(char3Weapons, 1, 0), 0)), MATCH("Proc 2 Scaling Stat", INDEX(char3Weapons, 0, 1), 0), 1)</f>
        <v>0</v>
      </c>
      <c r="M23">
        <f>INDEX(INDEX(char3Weapons, 0, MATCH(char3WeaponName, INDEX(char3Weapons, 1, 0), 0)), MATCH("Proc 2 Element", INDEX(char3Weapons, 0, 1), 0), 1)</f>
        <v>0</v>
      </c>
      <c r="O23" t="s">
        <v>634</v>
      </c>
      <c r="P23">
        <v>13</v>
      </c>
    </row>
    <row r="24" spans="1:22" x14ac:dyDescent="0.25">
      <c r="G24" t="s">
        <v>270</v>
      </c>
      <c r="H24" t="s">
        <v>759</v>
      </c>
      <c r="I24">
        <f>INDEX(char3Weapons, MATCH("Proc 3 Name",weaponsDB!$A$134:$A$198, 0), MATCH(char3WeaponName, weaponsDB!$A$134:$CS$134, 0))</f>
        <v>0</v>
      </c>
      <c r="J24">
        <f>INDEX(INDEX(char3Weapons, 0, MATCH(char3WeaponName, INDEX(char3Weapons, 1, 0), 0)), MATCH("Proc 3 Damage Type", INDEX(char3Weapons, 0, 1), 0), 1)</f>
        <v>0</v>
      </c>
      <c r="K24">
        <f>INDEX(INDEX(char3Weapons, 0, MATCH(char3WeaponName, INDEX(char3Weapons, 1, 0), 0)), MATCH("Proc 3 Talent%", INDEX(char3Weapons, 0, 1), 0), 1)</f>
        <v>0</v>
      </c>
      <c r="L24">
        <f>INDEX(INDEX(char3Weapons, 0, MATCH(char3WeaponName, INDEX(char3Weapons, 1, 0), 0)), MATCH("Proc 3 Scaling Stat", INDEX(char3Weapons, 0, 1), 0), 1)</f>
        <v>0</v>
      </c>
      <c r="M24">
        <f>INDEX(INDEX(char3Weapons, 0, MATCH(char3WeaponName, INDEX(char3Weapons, 1, 0), 0)), MATCH("Proc 3 Element", INDEX(char3Weapons, 0, 1), 0), 1)</f>
        <v>0</v>
      </c>
    </row>
    <row r="25" spans="1:22" x14ac:dyDescent="0.25">
      <c r="G25" t="s">
        <v>272</v>
      </c>
      <c r="H25" t="s">
        <v>759</v>
      </c>
      <c r="I25" t="s">
        <v>634</v>
      </c>
      <c r="J25" t="s">
        <v>11</v>
      </c>
      <c r="K25" t="s">
        <v>780</v>
      </c>
      <c r="L25" t="s">
        <v>126</v>
      </c>
      <c r="M25" t="s">
        <v>758</v>
      </c>
    </row>
    <row r="26" spans="1:22" x14ac:dyDescent="0.25">
      <c r="G26" t="s">
        <v>276</v>
      </c>
      <c r="H26" t="s">
        <v>760</v>
      </c>
      <c r="I26">
        <f>INDEX(char4Weapons, MATCH("Proc 1 Name",weaponsDB!$A$200:$A$264, 0), MATCH(char4WeaponName, weaponsDB!$A$200:$CS$200, 0))</f>
        <v>0</v>
      </c>
      <c r="J26">
        <f>INDEX(INDEX(char4Weapons, 0, MATCH(char4WeaponName, INDEX(char4Weapons, 1, 0), 0)), MATCH("Proc 1 Damage Type", INDEX(char4Weapons, 0, 1), 0), 1)</f>
        <v>0</v>
      </c>
      <c r="K26">
        <f>INDEX(INDEX(char4Weapons, 0, MATCH(char4WeaponName, INDEX(char4Weapons, 1, 0), 0)), MATCH("Proc 1 Talent%", INDEX(char4Weapons, 0, 1), 0), 1)</f>
        <v>0</v>
      </c>
      <c r="L26">
        <f>INDEX(INDEX(char4Weapons, 0, MATCH(char4WeaponName, INDEX(char4Weapons, 1, 0), 0)), MATCH("Proc 1 Scaling Stat", INDEX(char4Weapons, 0, 1), 0), 1)</f>
        <v>0</v>
      </c>
      <c r="M26">
        <f>INDEX(INDEX(char4Weapons, 0, MATCH(char4WeaponName, INDEX(char4Weapons, 1, 0), 0)), MATCH("Proc 1 Element", INDEX(char4Weapons, 0, 1), 0), 1)</f>
        <v>0</v>
      </c>
    </row>
    <row r="27" spans="1:22" x14ac:dyDescent="0.25">
      <c r="G27" t="s">
        <v>284</v>
      </c>
      <c r="H27" t="s">
        <v>762</v>
      </c>
      <c r="I27">
        <f>INDEX(char4Weapons, MATCH("Proc 2 Name",weaponsDB!$A$200:$A$264, 0), MATCH(char4WeaponName, weaponsDB!$A$200:$CS$200, 0))</f>
        <v>0</v>
      </c>
      <c r="J27">
        <f>INDEX(INDEX(char4Weapons, 0, MATCH(char4WeaponName, INDEX(char4Weapons, 1, 0), 0)), MATCH("Proc 2 Damage Type", INDEX(char4Weapons, 0, 1), 0), 1)</f>
        <v>0</v>
      </c>
      <c r="K27">
        <f>INDEX(INDEX(char4Weapons, 0, MATCH(char4WeaponName, INDEX(char4Weapons, 1, 0), 0)), MATCH("Proc 2 Talent%", INDEX(char4Weapons, 0, 1), 0), 1)</f>
        <v>0</v>
      </c>
      <c r="L27">
        <f>INDEX(INDEX(char4Weapons, 0, MATCH(char4WeaponName, INDEX(char4Weapons, 1, 0), 0)), MATCH("Proc 2 Scaling Stat", INDEX(char4Weapons, 0, 1), 0), 1)</f>
        <v>0</v>
      </c>
      <c r="M27">
        <f>INDEX(INDEX(char4Weapons, 0, MATCH(char4WeaponName, INDEX(char4Weapons, 1, 0), 0)), MATCH("Proc 2 Element", INDEX(char4Weapons, 0, 1), 0), 1)</f>
        <v>0</v>
      </c>
    </row>
    <row r="28" spans="1:22" x14ac:dyDescent="0.25">
      <c r="G28" t="s">
        <v>282</v>
      </c>
      <c r="H28" t="s">
        <v>762</v>
      </c>
      <c r="I28">
        <f>INDEX(char4Weapons, MATCH("Proc 3 Name",weaponsDB!$A$200:$A$264, 0), MATCH(char4WeaponName, weaponsDB!$A$200:$CS$200, 0))</f>
        <v>0</v>
      </c>
      <c r="J28">
        <f>INDEX(INDEX(char4Weapons, 0, MATCH(char4WeaponName, INDEX(char4Weapons, 1, 0), 0)), MATCH("Proc 3 Damage Type", INDEX(char4Weapons, 0, 1), 0), 1)</f>
        <v>0</v>
      </c>
      <c r="K28">
        <f>INDEX(INDEX(char4Weapons, 0, MATCH(char4WeaponName, INDEX(char4Weapons, 1, 0), 0)), MATCH("Proc 3 Talent%", INDEX(char4Weapons, 0, 1), 0), 1)</f>
        <v>0</v>
      </c>
      <c r="L28">
        <f>INDEX(INDEX(char4Weapons, 0, MATCH(char4WeaponName, INDEX(char4Weapons, 1, 0), 0)), MATCH("Proc 3 Scaling Stat", INDEX(char4Weapons, 0, 1), 0), 1)</f>
        <v>0</v>
      </c>
      <c r="M28">
        <f>INDEX(INDEX(char4Weapons, 0, MATCH(char4WeaponName, INDEX(char4Weapons, 1, 0), 0)), MATCH("Proc 3 Element", INDEX(char4Weapons, 0, 1), 0), 1)</f>
        <v>0</v>
      </c>
    </row>
    <row r="29" spans="1:22" x14ac:dyDescent="0.25">
      <c r="G29" t="s">
        <v>300</v>
      </c>
      <c r="H29" t="s">
        <v>760</v>
      </c>
      <c r="O29" t="s">
        <v>812</v>
      </c>
      <c r="P29" t="s">
        <v>6</v>
      </c>
      <c r="Q29" t="s">
        <v>5</v>
      </c>
      <c r="R29" t="s">
        <v>3</v>
      </c>
      <c r="S29" t="s">
        <v>19</v>
      </c>
      <c r="T29" t="s">
        <v>0</v>
      </c>
      <c r="U29" t="s">
        <v>23</v>
      </c>
      <c r="V29" t="s">
        <v>24</v>
      </c>
    </row>
    <row r="30" spans="1:22" x14ac:dyDescent="0.25">
      <c r="G30" t="s">
        <v>257</v>
      </c>
      <c r="H30" t="s">
        <v>761</v>
      </c>
      <c r="I30" t="s">
        <v>811</v>
      </c>
      <c r="J30" t="s">
        <v>631</v>
      </c>
      <c r="K30" t="s">
        <v>632</v>
      </c>
      <c r="L30" t="s">
        <v>633</v>
      </c>
      <c r="M30" t="s">
        <v>634</v>
      </c>
      <c r="O30" t="s">
        <v>631</v>
      </c>
      <c r="P30">
        <f>char1NATalentLevel</f>
        <v>1</v>
      </c>
      <c r="Q30">
        <f>char1NATalentLevel</f>
        <v>1</v>
      </c>
      <c r="R30">
        <f>char1NATalentLevel</f>
        <v>1</v>
      </c>
      <c r="S30">
        <f>char1SkillTalentLevel</f>
        <v>9</v>
      </c>
      <c r="T30">
        <f>char1BurstTalentLevel</f>
        <v>9</v>
      </c>
      <c r="U30">
        <f>INDEX($O$29:$T$33, MATCH($O30, $O$29:$O$33, 0), MATCH($J$31, $O$29:$T$29, 0))</f>
        <v>9</v>
      </c>
      <c r="V30">
        <f>INDEX($O$29:$T$33, MATCH($O30, $O$29:$O$33, 0), MATCH($J$32, $O$29:$T$29, 0))</f>
        <v>9</v>
      </c>
    </row>
    <row r="31" spans="1:22" x14ac:dyDescent="0.25">
      <c r="G31" t="s">
        <v>311</v>
      </c>
      <c r="H31" t="s">
        <v>763</v>
      </c>
      <c r="I31" t="s">
        <v>23</v>
      </c>
      <c r="J31" t="str">
        <f>char1SkillEchoDMGType</f>
        <v>Skill</v>
      </c>
      <c r="K31" t="str">
        <f>char2SkillEchoDamageType</f>
        <v>Skill</v>
      </c>
      <c r="L31" t="str">
        <f>char3SkillEchoDamageType</f>
        <v>skill</v>
      </c>
      <c r="M31" t="str">
        <f>char4SkillEchoDamageType</f>
        <v>skill</v>
      </c>
      <c r="O31" t="s">
        <v>632</v>
      </c>
      <c r="P31">
        <f>char2NATalentLevel</f>
        <v>6</v>
      </c>
      <c r="Q31">
        <f>char2NATalentLevel</f>
        <v>6</v>
      </c>
      <c r="R31">
        <f>char2NATalentLevel</f>
        <v>6</v>
      </c>
      <c r="S31">
        <f>char2SkillTalentLevel</f>
        <v>10</v>
      </c>
      <c r="T31">
        <f>char2BurstTalentLevel</f>
        <v>12</v>
      </c>
      <c r="U31">
        <f>INDEX($O$29:$T$33, MATCH($O31, $O$29:$O$33, 0), MATCH($K$31, $O$29:$T$29, 0))</f>
        <v>10</v>
      </c>
      <c r="V31">
        <f>INDEX($O$29:$T$33, MATCH($O31, $O$29:$O$33, 0), MATCH($K$32, $O$29:$T$29, 0))</f>
        <v>12</v>
      </c>
    </row>
    <row r="32" spans="1:22" x14ac:dyDescent="0.25">
      <c r="G32" t="s">
        <v>319</v>
      </c>
      <c r="H32" t="s">
        <v>763</v>
      </c>
      <c r="I32" t="s">
        <v>24</v>
      </c>
      <c r="J32" t="str">
        <f>char1BurstEchoDMGType</f>
        <v>Burst</v>
      </c>
      <c r="K32" t="str" cm="1">
        <f t="array" ref="K32">char2BurstEchoDMGType</f>
        <v>Burst</v>
      </c>
      <c r="L32" t="str" cm="1">
        <f t="array" ref="L32">char3BurstEchoDMGType</f>
        <v>burst</v>
      </c>
      <c r="M32" t="str" cm="1">
        <f t="array" ref="M32">char4BurstEchoDMGType</f>
        <v>burst</v>
      </c>
      <c r="O32" t="s">
        <v>633</v>
      </c>
      <c r="P32">
        <f>char3NATalentLevel</f>
        <v>6</v>
      </c>
      <c r="Q32">
        <f>char3NATalentLevel</f>
        <v>6</v>
      </c>
      <c r="R32">
        <f>char3NATalentLevel</f>
        <v>6</v>
      </c>
      <c r="S32">
        <f>char3SkillTalentLevel</f>
        <v>12</v>
      </c>
      <c r="T32">
        <f>char3BurstTalentLevel</f>
        <v>12</v>
      </c>
      <c r="U32">
        <f>INDEX($O$29:$T$33, MATCH($O32, $O$29:$O$33, 0), MATCH($L$31, $O$29:$T$29, 0))</f>
        <v>12</v>
      </c>
      <c r="V32">
        <f>INDEX($O$29:$T$33, MATCH($O32, $O$29:$O$33, 0), MATCH($L$32, $O$29:$T$29, 0))</f>
        <v>12</v>
      </c>
    </row>
    <row r="33" spans="7:22" x14ac:dyDescent="0.25">
      <c r="G33" t="s">
        <v>321</v>
      </c>
      <c r="H33" t="s">
        <v>761</v>
      </c>
      <c r="O33" t="s">
        <v>634</v>
      </c>
      <c r="P33">
        <f>char4NATalentLevel</f>
        <v>6</v>
      </c>
      <c r="Q33">
        <f>char4NATalentLevel</f>
        <v>6</v>
      </c>
      <c r="R33">
        <f>char4NATalentLevel</f>
        <v>6</v>
      </c>
      <c r="S33">
        <f>char4SkillTalentLevel</f>
        <v>12</v>
      </c>
      <c r="T33">
        <f>char4BurstTalentLevel</f>
        <v>12</v>
      </c>
      <c r="U33">
        <f>INDEX($O$29:$T$33, MATCH($O33, $O$29:$O$33, 0), MATCH($M$31, $O$29:$T$29, 0))</f>
        <v>12</v>
      </c>
      <c r="V33">
        <f>INDEX($O$29:$T$33, MATCH($O33, $O$29:$O$33, 0), MATCH($M$32, $O$29:$T$29, 0))</f>
        <v>12</v>
      </c>
    </row>
    <row r="34" spans="7:22" x14ac:dyDescent="0.25">
      <c r="G34" t="s">
        <v>757</v>
      </c>
      <c r="H34" t="s">
        <v>699</v>
      </c>
    </row>
    <row r="35" spans="7:22" x14ac:dyDescent="0.25">
      <c r="G35" t="s">
        <v>430</v>
      </c>
      <c r="H35" t="s">
        <v>759</v>
      </c>
      <c r="O35" t="s">
        <v>958</v>
      </c>
      <c r="P35" t="s">
        <v>959</v>
      </c>
      <c r="Q35" t="s">
        <v>960</v>
      </c>
    </row>
    <row r="36" spans="7:22" x14ac:dyDescent="0.25">
      <c r="G36" t="s">
        <v>431</v>
      </c>
      <c r="H36" t="s">
        <v>763</v>
      </c>
      <c r="O36" t="str">
        <f>char1Name</f>
        <v>Raiden</v>
      </c>
      <c r="P36">
        <f>char1FinalHealingBonus</f>
        <v>0</v>
      </c>
      <c r="Q36">
        <f>char1FinalHealingReceived</f>
        <v>0</v>
      </c>
    </row>
    <row r="37" spans="7:22" x14ac:dyDescent="0.25">
      <c r="G37" t="s">
        <v>432</v>
      </c>
      <c r="H37" t="s">
        <v>762</v>
      </c>
      <c r="I37" t="s">
        <v>810</v>
      </c>
      <c r="J37" t="s">
        <v>631</v>
      </c>
      <c r="K37" t="s">
        <v>632</v>
      </c>
      <c r="L37" t="s">
        <v>633</v>
      </c>
      <c r="M37" t="s">
        <v>634</v>
      </c>
      <c r="O37" t="str">
        <f>char2Name</f>
        <v>Xiangling</v>
      </c>
      <c r="P37">
        <f>char2FinalHealingBonus</f>
        <v>0</v>
      </c>
      <c r="Q37">
        <f>char2FinalHealingReceived</f>
        <v>0</v>
      </c>
    </row>
    <row r="38" spans="7:22" x14ac:dyDescent="0.25">
      <c r="G38" t="s">
        <v>336</v>
      </c>
      <c r="H38" t="s">
        <v>763</v>
      </c>
      <c r="I38" t="s">
        <v>23</v>
      </c>
      <c r="J38">
        <f>INDEX($O$29:$T$33, MATCH(J$37, $O$29:$O$33, 0), MATCH(J31, $O$29:$T$29, 0))</f>
        <v>9</v>
      </c>
      <c r="K38">
        <f t="shared" ref="K38:M38" si="0">INDEX($O$29:$T$33, MATCH(K$37, $O$29:$O$33, 0), MATCH(K31, $O$29:$T$29, 0))</f>
        <v>10</v>
      </c>
      <c r="L38">
        <f t="shared" si="0"/>
        <v>12</v>
      </c>
      <c r="M38">
        <f t="shared" si="0"/>
        <v>12</v>
      </c>
      <c r="O38" t="str">
        <f>char3Name</f>
        <v>Bennett</v>
      </c>
      <c r="P38">
        <f>char3FinalHealingBonus</f>
        <v>0</v>
      </c>
      <c r="Q38">
        <f>char3FinalHealingReceived</f>
        <v>0</v>
      </c>
    </row>
    <row r="39" spans="7:22" x14ac:dyDescent="0.25">
      <c r="G39" t="s">
        <v>340</v>
      </c>
      <c r="H39" t="s">
        <v>699</v>
      </c>
      <c r="I39" t="s">
        <v>24</v>
      </c>
      <c r="J39">
        <f>INDEX($O$29:$T$33, MATCH(J$37, $O$29:$O$33, 0), MATCH(J32, $O$29:$T$29, 0))</f>
        <v>9</v>
      </c>
      <c r="K39">
        <f t="shared" ref="K39:M39" si="1">INDEX($O$29:$T$33, MATCH(K$37, $O$29:$O$33, 0), MATCH(K32, $O$29:$T$29, 0))</f>
        <v>12</v>
      </c>
      <c r="L39">
        <f t="shared" si="1"/>
        <v>12</v>
      </c>
      <c r="M39">
        <f t="shared" si="1"/>
        <v>12</v>
      </c>
      <c r="O39" t="str">
        <f>char4Name</f>
        <v>Xingqiu</v>
      </c>
      <c r="P39">
        <f>char4FinalHealingBonus</f>
        <v>0</v>
      </c>
      <c r="Q39">
        <f>char4FinalHealingReceived</f>
        <v>0</v>
      </c>
    </row>
    <row r="40" spans="7:22" x14ac:dyDescent="0.25">
      <c r="G40" t="s">
        <v>347</v>
      </c>
      <c r="H40" t="s">
        <v>763</v>
      </c>
    </row>
    <row r="41" spans="7:22" x14ac:dyDescent="0.25">
      <c r="G41" t="s">
        <v>349</v>
      </c>
      <c r="H41" t="s">
        <v>761</v>
      </c>
    </row>
    <row r="42" spans="7:22" x14ac:dyDescent="0.25">
      <c r="G42" t="s">
        <v>352</v>
      </c>
      <c r="H42" t="s">
        <v>699</v>
      </c>
      <c r="I42" t="s">
        <v>813</v>
      </c>
    </row>
    <row r="43" spans="7:22" x14ac:dyDescent="0.25">
      <c r="G43" t="s">
        <v>356</v>
      </c>
      <c r="H43" t="s">
        <v>699</v>
      </c>
      <c r="I43" t="s">
        <v>631</v>
      </c>
      <c r="J43">
        <f>char1TransformativeMult</f>
        <v>539.67999999999984</v>
      </c>
    </row>
    <row r="44" spans="7:22" x14ac:dyDescent="0.25">
      <c r="G44" t="s">
        <v>363</v>
      </c>
      <c r="H44" t="s">
        <v>699</v>
      </c>
      <c r="I44" t="s">
        <v>632</v>
      </c>
      <c r="J44">
        <f>char2TransformativeMult</f>
        <v>725.3599999999999</v>
      </c>
    </row>
    <row r="45" spans="7:22" x14ac:dyDescent="0.25">
      <c r="G45" t="s">
        <v>366</v>
      </c>
      <c r="H45" t="s">
        <v>759</v>
      </c>
      <c r="I45" t="s">
        <v>633</v>
      </c>
      <c r="J45">
        <f>char3TransformativeMult</f>
        <v>539.67999999999984</v>
      </c>
    </row>
    <row r="46" spans="7:22" x14ac:dyDescent="0.25">
      <c r="G46" t="s">
        <v>434</v>
      </c>
      <c r="H46" t="s">
        <v>759</v>
      </c>
      <c r="I46" t="s">
        <v>634</v>
      </c>
      <c r="J46">
        <f>char4TransformativeMult</f>
        <v>539.67999999999984</v>
      </c>
    </row>
    <row r="47" spans="7:22" x14ac:dyDescent="0.25">
      <c r="G47" t="s">
        <v>817</v>
      </c>
      <c r="H47" t="s">
        <v>759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67A950-F428-42D4-BE39-F9B969C03E73}">
  <dimension ref="A1:BT273"/>
  <sheetViews>
    <sheetView tabSelected="1" workbookViewId="0">
      <pane xSplit="1" topLeftCell="B1" activePane="topRight" state="frozen"/>
      <selection activeCell="A102" sqref="A102"/>
      <selection pane="topRight" activeCell="D265" sqref="D265"/>
    </sheetView>
  </sheetViews>
  <sheetFormatPr defaultColWidth="20.7109375" defaultRowHeight="15" outlineLevelRow="1" x14ac:dyDescent="0.25"/>
  <cols>
    <col min="1" max="1" width="31.42578125" style="7" customWidth="1"/>
    <col min="2" max="16384" width="20.7109375" style="7"/>
  </cols>
  <sheetData>
    <row r="1" spans="1:42" s="14" customFormat="1" x14ac:dyDescent="0.25">
      <c r="A1" s="42" t="s">
        <v>125</v>
      </c>
      <c r="B1" s="210" t="s">
        <v>284</v>
      </c>
      <c r="C1" s="210" t="s">
        <v>284</v>
      </c>
      <c r="D1" s="210" t="s">
        <v>284</v>
      </c>
      <c r="E1" s="210" t="s">
        <v>284</v>
      </c>
      <c r="F1" s="210" t="s">
        <v>349</v>
      </c>
      <c r="G1" s="210" t="s">
        <v>349</v>
      </c>
      <c r="H1" s="210" t="s">
        <v>349</v>
      </c>
      <c r="I1" s="210" t="s">
        <v>349</v>
      </c>
      <c r="J1" s="210" t="s">
        <v>165</v>
      </c>
      <c r="K1" s="210" t="s">
        <v>165</v>
      </c>
      <c r="L1" s="210" t="s">
        <v>165</v>
      </c>
      <c r="M1" s="210" t="s">
        <v>340</v>
      </c>
      <c r="N1" s="210" t="s">
        <v>340</v>
      </c>
      <c r="O1" s="210" t="s">
        <v>340</v>
      </c>
      <c r="P1" s="210" t="s">
        <v>340</v>
      </c>
      <c r="Q1" s="210" t="s">
        <v>340</v>
      </c>
      <c r="R1" s="210" t="s">
        <v>340</v>
      </c>
      <c r="S1" s="210" t="s">
        <v>340</v>
      </c>
      <c r="T1" s="210" t="s">
        <v>340</v>
      </c>
      <c r="U1" s="210" t="s">
        <v>340</v>
      </c>
      <c r="V1" s="210" t="s">
        <v>340</v>
      </c>
      <c r="W1" s="210" t="s">
        <v>340</v>
      </c>
      <c r="X1" s="210" t="s">
        <v>284</v>
      </c>
      <c r="Y1" s="210" t="s">
        <v>284</v>
      </c>
      <c r="Z1" s="210" t="s">
        <v>284</v>
      </c>
      <c r="AA1" s="210" t="s">
        <v>284</v>
      </c>
      <c r="AB1" s="210" t="s">
        <v>284</v>
      </c>
      <c r="AC1" s="210" t="s">
        <v>284</v>
      </c>
      <c r="AD1" s="210" t="s">
        <v>284</v>
      </c>
      <c r="AE1" s="210" t="s">
        <v>284</v>
      </c>
      <c r="AF1" s="210" t="s">
        <v>284</v>
      </c>
      <c r="AG1" s="210" t="s">
        <v>340</v>
      </c>
      <c r="AH1" s="210" t="s">
        <v>340</v>
      </c>
      <c r="AI1" s="210" t="s">
        <v>165</v>
      </c>
      <c r="AJ1" s="210" t="s">
        <v>165</v>
      </c>
      <c r="AK1" s="210"/>
      <c r="AL1" s="210"/>
      <c r="AM1" s="210"/>
      <c r="AN1" s="210"/>
      <c r="AO1" s="210"/>
      <c r="AP1" s="210"/>
    </row>
    <row r="2" spans="1:42" s="31" customFormat="1" ht="30" customHeight="1" x14ac:dyDescent="0.25">
      <c r="A2" s="43" t="s">
        <v>122</v>
      </c>
      <c r="B2" s="31" t="s">
        <v>4</v>
      </c>
      <c r="C2" s="31" t="s">
        <v>285</v>
      </c>
      <c r="D2" s="31" t="s">
        <v>285</v>
      </c>
      <c r="E2" s="31" t="s">
        <v>390</v>
      </c>
      <c r="F2" s="31" t="s">
        <v>969</v>
      </c>
      <c r="G2" s="31" t="s">
        <v>970</v>
      </c>
      <c r="H2" s="31" t="s">
        <v>351</v>
      </c>
      <c r="I2" s="31" t="s">
        <v>393</v>
      </c>
      <c r="J2" s="31" t="s">
        <v>173</v>
      </c>
      <c r="K2" s="31" t="s">
        <v>390</v>
      </c>
      <c r="L2" s="31" t="s">
        <v>166</v>
      </c>
      <c r="M2" s="31" t="s">
        <v>342</v>
      </c>
      <c r="N2" s="31" t="s">
        <v>342</v>
      </c>
      <c r="O2" s="31" t="s">
        <v>390</v>
      </c>
      <c r="P2" s="31" t="s">
        <v>344</v>
      </c>
      <c r="Q2" s="31" t="s">
        <v>345</v>
      </c>
      <c r="R2" s="31" t="s">
        <v>346</v>
      </c>
      <c r="S2" s="31" t="s">
        <v>343</v>
      </c>
      <c r="T2" s="31" t="s">
        <v>343</v>
      </c>
      <c r="U2" s="31" t="s">
        <v>343</v>
      </c>
      <c r="V2" s="31" t="s">
        <v>343</v>
      </c>
      <c r="W2" s="31" t="s">
        <v>390</v>
      </c>
      <c r="X2" s="31" t="s">
        <v>286</v>
      </c>
      <c r="Y2" s="31" t="s">
        <v>287</v>
      </c>
      <c r="Z2" s="31" t="s">
        <v>289</v>
      </c>
      <c r="AA2" s="31" t="s">
        <v>290</v>
      </c>
      <c r="AB2" s="31" t="s">
        <v>291</v>
      </c>
      <c r="AC2" s="31" t="s">
        <v>296</v>
      </c>
      <c r="AD2" s="31" t="s">
        <v>297</v>
      </c>
      <c r="AE2" s="31" t="s">
        <v>289</v>
      </c>
      <c r="AF2" s="31" t="s">
        <v>288</v>
      </c>
      <c r="AG2" s="31" t="s">
        <v>343</v>
      </c>
      <c r="AH2" s="31" t="s">
        <v>342</v>
      </c>
      <c r="AI2" s="31" t="s">
        <v>918</v>
      </c>
      <c r="AJ2" s="31" t="s">
        <v>917</v>
      </c>
    </row>
    <row r="3" spans="1:42" s="211" customFormat="1" x14ac:dyDescent="0.25">
      <c r="A3" s="42" t="s">
        <v>11</v>
      </c>
      <c r="B3" s="211" t="str">
        <f>INDEX(INDEX(MVs!$B:$B, INDEX(MVs!$U$2:$Y$4, 2, MATCH(B$21, MVs!$U$2:$Y$2, 0))):INDEX(MVs!$T:$T, INDEX(mvLookupTable, 3, MATCH(B$21, MVs!$U$2:$Y$2, 0))), MATCH(B$2, INDEX(MVs!$B:$B, INDEX(MVs!$U$2:$Y$4, 2, MATCH(B$21, MVs!$U$2:$Y$2, 0))):INDEX(MVs!$B:$B, INDEX(MVs!$U$2:$Y$4, 3, MATCH(B$21, MVs!$U$2:$Y$2, 0))), 0), 17)</f>
        <v>Skill</v>
      </c>
      <c r="C3" s="211" t="str">
        <f>INDEX(INDEX(MVs!$B:$B, INDEX(MVs!$U$2:$Y$4, 2, MATCH(C$21, MVs!$U$2:$Y$2, 0))):INDEX(MVs!$T:$T, INDEX(mvLookupTable, 3, MATCH(C$21, MVs!$U$2:$Y$2, 0))), MATCH(C$2, INDEX(MVs!$B:$B, INDEX(MVs!$U$2:$Y$4, 2, MATCH(C$21, MVs!$U$2:$Y$2, 0))):INDEX(MVs!$B:$B, INDEX(MVs!$U$2:$Y$4, 3, MATCH(C$21, MVs!$U$2:$Y$2, 0))), 0), 17)</f>
        <v>Skill</v>
      </c>
      <c r="D3" s="211" t="str">
        <f>INDEX(INDEX(MVs!$B:$B, INDEX(MVs!$U$2:$Y$4, 2, MATCH(D$21, MVs!$U$2:$Y$2, 0))):INDEX(MVs!$T:$T, INDEX(mvLookupTable, 3, MATCH(D$21, MVs!$U$2:$Y$2, 0))), MATCH(D$2, INDEX(MVs!$B:$B, INDEX(MVs!$U$2:$Y$4, 2, MATCH(D$21, MVs!$U$2:$Y$2, 0))):INDEX(MVs!$B:$B, INDEX(MVs!$U$2:$Y$4, 3, MATCH(D$21, MVs!$U$2:$Y$2, 0))), 0), 17)</f>
        <v>Skill</v>
      </c>
      <c r="E3" s="211" t="str">
        <f>INDEX(INDEX(MVs!$B:$B, INDEX(MVs!$U$2:$Y$4, 2, MATCH(E$21, MVs!$U$2:$Y$2, 0))):INDEX(MVs!$T:$T, INDEX(mvLookupTable, 3, MATCH(E$21, MVs!$U$2:$Y$2, 0))), MATCH(E$2, INDEX(MVs!$B:$B, INDEX(MVs!$U$2:$Y$4, 2, MATCH(E$21, MVs!$U$2:$Y$2, 0))):INDEX(MVs!$B:$B, INDEX(MVs!$U$2:$Y$4, 3, MATCH(E$21, MVs!$U$2:$Y$2, 0))), 0), 17)</f>
        <v>Transformative</v>
      </c>
      <c r="F3" s="211" t="str">
        <f>INDEX(INDEX(MVs!$B:$B, INDEX(MVs!$U$2:$Y$4, 2, MATCH(F$21, MVs!$U$2:$Y$2, 0))):INDEX(MVs!$T:$T, INDEX(mvLookupTable, 3, MATCH(F$21, MVs!$U$2:$Y$2, 0))), MATCH(F$2, INDEX(MVs!$B:$B, INDEX(MVs!$U$2:$Y$4, 2, MATCH(F$21, MVs!$U$2:$Y$2, 0))):INDEX(MVs!$B:$B, INDEX(MVs!$U$2:$Y$4, 3, MATCH(F$21, MVs!$U$2:$Y$2, 0))), 0), 17)</f>
        <v>Skill</v>
      </c>
      <c r="G3" s="211" t="str">
        <f>INDEX(INDEX(MVs!$B:$B, INDEX(MVs!$U$2:$Y$4, 2, MATCH(G$21, MVs!$U$2:$Y$2, 0))):INDEX(MVs!$T:$T, INDEX(mvLookupTable, 3, MATCH(G$21, MVs!$U$2:$Y$2, 0))), MATCH(G$2, INDEX(MVs!$B:$B, INDEX(MVs!$U$2:$Y$4, 2, MATCH(G$21, MVs!$U$2:$Y$2, 0))):INDEX(MVs!$B:$B, INDEX(MVs!$U$2:$Y$4, 3, MATCH(G$21, MVs!$U$2:$Y$2, 0))), 0), 17)</f>
        <v>Skill</v>
      </c>
      <c r="H3" s="211" t="str">
        <f>INDEX(INDEX(MVs!$B:$B, INDEX(MVs!$U$2:$Y$4, 2, MATCH(H$21, MVs!$U$2:$Y$2, 0))):INDEX(MVs!$T:$T, INDEX(mvLookupTable, 3, MATCH(H$21, MVs!$U$2:$Y$2, 0))), MATCH(H$2, INDEX(MVs!$B:$B, INDEX(MVs!$U$2:$Y$4, 2, MATCH(H$21, MVs!$U$2:$Y$2, 0))):INDEX(MVs!$B:$B, INDEX(MVs!$U$2:$Y$4, 3, MATCH(H$21, MVs!$U$2:$Y$2, 0))), 0), 17)</f>
        <v>Burst</v>
      </c>
      <c r="I3" s="211" t="str">
        <f>INDEX(INDEX(MVs!$B:$B, INDEX(MVs!$U$2:$Y$4, 2, MATCH(I$21, MVs!$U$2:$Y$2, 0))):INDEX(MVs!$T:$T, INDEX(mvLookupTable, 3, MATCH(I$21, MVs!$U$2:$Y$2, 0))), MATCH(I$2, INDEX(MVs!$B:$B, INDEX(MVs!$U$2:$Y$4, 2, MATCH(I$21, MVs!$U$2:$Y$2, 0))):INDEX(MVs!$B:$B, INDEX(MVs!$U$2:$Y$4, 3, MATCH(I$21, MVs!$U$2:$Y$2, 0))), 0), 17)</f>
        <v>Transformative</v>
      </c>
      <c r="J3" s="211" t="str">
        <f>INDEX(INDEX(MVs!$B:$B, INDEX(MVs!$U$2:$Y$4, 2, MATCH(J$21, MVs!$U$2:$Y$2, 0))):INDEX(MVs!$T:$T, INDEX(mvLookupTable, 3, MATCH(J$21, MVs!$U$2:$Y$2, 0))), MATCH(J$2, INDEX(MVs!$B:$B, INDEX(MVs!$U$2:$Y$4, 2, MATCH(J$21, MVs!$U$2:$Y$2, 0))):INDEX(MVs!$B:$B, INDEX(MVs!$U$2:$Y$4, 3, MATCH(J$21, MVs!$U$2:$Y$2, 0))), 0), 17)</f>
        <v>Burst</v>
      </c>
      <c r="K3" s="211" t="str">
        <f>INDEX(INDEX(MVs!$B:$B, INDEX(MVs!$U$2:$Y$4, 2, MATCH(K$21, MVs!$U$2:$Y$2, 0))):INDEX(MVs!$T:$T, INDEX(mvLookupTable, 3, MATCH(K$21, MVs!$U$2:$Y$2, 0))), MATCH(K$2, INDEX(MVs!$B:$B, INDEX(MVs!$U$2:$Y$4, 2, MATCH(K$21, MVs!$U$2:$Y$2, 0))):INDEX(MVs!$B:$B, INDEX(MVs!$U$2:$Y$4, 3, MATCH(K$21, MVs!$U$2:$Y$2, 0))), 0), 17)</f>
        <v>Transformative</v>
      </c>
      <c r="L3" s="211" t="str">
        <f>INDEX(INDEX(MVs!$B:$B, INDEX(MVs!$U$2:$Y$4, 2, MATCH(L$21, MVs!$U$2:$Y$2, 0))):INDEX(MVs!$T:$T, INDEX(mvLookupTable, 3, MATCH(L$21, MVs!$U$2:$Y$2, 0))), MATCH(L$2, INDEX(MVs!$B:$B, INDEX(MVs!$U$2:$Y$4, 2, MATCH(L$21, MVs!$U$2:$Y$2, 0))):INDEX(MVs!$B:$B, INDEX(MVs!$U$2:$Y$4, 3, MATCH(L$21, MVs!$U$2:$Y$2, 0))), 0), 17)</f>
        <v>Skill</v>
      </c>
      <c r="M3" s="211" t="str">
        <f>INDEX(INDEX(MVs!$B:$B, INDEX(MVs!$U$2:$Y$4, 2, MATCH(M$21, MVs!$U$2:$Y$2, 0))):INDEX(MVs!$T:$T, INDEX(mvLookupTable, 3, MATCH(M$21, MVs!$U$2:$Y$2, 0))), MATCH(M$2, INDEX(MVs!$B:$B, INDEX(MVs!$U$2:$Y$4, 2, MATCH(M$21, MVs!$U$2:$Y$2, 0))):INDEX(MVs!$B:$B, INDEX(MVs!$U$2:$Y$4, 3, MATCH(M$21, MVs!$U$2:$Y$2, 0))), 0), 17)</f>
        <v>Skill</v>
      </c>
      <c r="N3" s="211" t="str">
        <f>INDEX(INDEX(MVs!$B:$B, INDEX(MVs!$U$2:$Y$4, 2, MATCH(N$21, MVs!$U$2:$Y$2, 0))):INDEX(MVs!$T:$T, INDEX(mvLookupTable, 3, MATCH(N$21, MVs!$U$2:$Y$2, 0))), MATCH(N$2, INDEX(MVs!$B:$B, INDEX(MVs!$U$2:$Y$4, 2, MATCH(N$21, MVs!$U$2:$Y$2, 0))):INDEX(MVs!$B:$B, INDEX(MVs!$U$2:$Y$4, 3, MATCH(N$21, MVs!$U$2:$Y$2, 0))), 0), 17)</f>
        <v>Skill</v>
      </c>
      <c r="O3" s="211" t="str">
        <f>INDEX(INDEX(MVs!$B:$B, INDEX(MVs!$U$2:$Y$4, 2, MATCH(O$21, MVs!$U$2:$Y$2, 0))):INDEX(MVs!$T:$T, INDEX(mvLookupTable, 3, MATCH(O$21, MVs!$U$2:$Y$2, 0))), MATCH(O$2, INDEX(MVs!$B:$B, INDEX(MVs!$U$2:$Y$4, 2, MATCH(O$21, MVs!$U$2:$Y$2, 0))):INDEX(MVs!$B:$B, INDEX(MVs!$U$2:$Y$4, 3, MATCH(O$21, MVs!$U$2:$Y$2, 0))), 0), 17)</f>
        <v>Transformative</v>
      </c>
      <c r="P3" s="211" t="str">
        <f>INDEX(INDEX(MVs!$B:$B, INDEX(MVs!$U$2:$Y$4, 2, MATCH(P$21, MVs!$U$2:$Y$2, 0))):INDEX(MVs!$T:$T, INDEX(mvLookupTable, 3, MATCH(P$21, MVs!$U$2:$Y$2, 0))), MATCH(P$2, INDEX(MVs!$B:$B, INDEX(MVs!$U$2:$Y$4, 2, MATCH(P$21, MVs!$U$2:$Y$2, 0))):INDEX(MVs!$B:$B, INDEX(MVs!$U$2:$Y$4, 3, MATCH(P$21, MVs!$U$2:$Y$2, 0))), 0), 17)</f>
        <v>Burst</v>
      </c>
      <c r="Q3" s="211" t="str">
        <f>INDEX(INDEX(MVs!$B:$B, INDEX(MVs!$U$2:$Y$4, 2, MATCH(Q$21, MVs!$U$2:$Y$2, 0))):INDEX(MVs!$T:$T, INDEX(mvLookupTable, 3, MATCH(Q$21, MVs!$U$2:$Y$2, 0))), MATCH(Q$2, INDEX(MVs!$B:$B, INDEX(MVs!$U$2:$Y$4, 2, MATCH(Q$21, MVs!$U$2:$Y$2, 0))):INDEX(MVs!$B:$B, INDEX(MVs!$U$2:$Y$4, 3, MATCH(Q$21, MVs!$U$2:$Y$2, 0))), 0), 17)</f>
        <v>Burst</v>
      </c>
      <c r="R3" s="211" t="str">
        <f>INDEX(INDEX(MVs!$B:$B, INDEX(MVs!$U$2:$Y$4, 2, MATCH(R$21, MVs!$U$2:$Y$2, 0))):INDEX(MVs!$T:$T, INDEX(mvLookupTable, 3, MATCH(R$21, MVs!$U$2:$Y$2, 0))), MATCH(R$2, INDEX(MVs!$B:$B, INDEX(MVs!$U$2:$Y$4, 2, MATCH(R$21, MVs!$U$2:$Y$2, 0))):INDEX(MVs!$B:$B, INDEX(MVs!$U$2:$Y$4, 3, MATCH(R$21, MVs!$U$2:$Y$2, 0))), 0), 17)</f>
        <v>Burst</v>
      </c>
      <c r="S3" s="211" t="str">
        <f>INDEX(INDEX(MVs!$B:$B, INDEX(MVs!$U$2:$Y$4, 2, MATCH(S$21, MVs!$U$2:$Y$2, 0))):INDEX(MVs!$T:$T, INDEX(mvLookupTable, 3, MATCH(S$21, MVs!$U$2:$Y$2, 0))), MATCH(S$2, INDEX(MVs!$B:$B, INDEX(MVs!$U$2:$Y$4, 2, MATCH(S$21, MVs!$U$2:$Y$2, 0))):INDEX(MVs!$B:$B, INDEX(MVs!$U$2:$Y$4, 3, MATCH(S$21, MVs!$U$2:$Y$2, 0))), 0), 17)</f>
        <v>Burst</v>
      </c>
      <c r="T3" s="211" t="str">
        <f>INDEX(INDEX(MVs!$B:$B, INDEX(MVs!$U$2:$Y$4, 2, MATCH(T$21, MVs!$U$2:$Y$2, 0))):INDEX(MVs!$T:$T, INDEX(mvLookupTable, 3, MATCH(T$21, MVs!$U$2:$Y$2, 0))), MATCH(T$2, INDEX(MVs!$B:$B, INDEX(MVs!$U$2:$Y$4, 2, MATCH(T$21, MVs!$U$2:$Y$2, 0))):INDEX(MVs!$B:$B, INDEX(MVs!$U$2:$Y$4, 3, MATCH(T$21, MVs!$U$2:$Y$2, 0))), 0), 17)</f>
        <v>Burst</v>
      </c>
      <c r="U3" s="211" t="str">
        <f>INDEX(INDEX(MVs!$B:$B, INDEX(MVs!$U$2:$Y$4, 2, MATCH(U$21, MVs!$U$2:$Y$2, 0))):INDEX(MVs!$T:$T, INDEX(mvLookupTable, 3, MATCH(U$21, MVs!$U$2:$Y$2, 0))), MATCH(U$2, INDEX(MVs!$B:$B, INDEX(MVs!$U$2:$Y$4, 2, MATCH(U$21, MVs!$U$2:$Y$2, 0))):INDEX(MVs!$B:$B, INDEX(MVs!$U$2:$Y$4, 3, MATCH(U$21, MVs!$U$2:$Y$2, 0))), 0), 17)</f>
        <v>Burst</v>
      </c>
      <c r="V3" s="211" t="str">
        <f>INDEX(INDEX(MVs!$B:$B, INDEX(MVs!$U$2:$Y$4, 2, MATCH(V$21, MVs!$U$2:$Y$2, 0))):INDEX(MVs!$T:$T, INDEX(mvLookupTable, 3, MATCH(V$21, MVs!$U$2:$Y$2, 0))), MATCH(V$2, INDEX(MVs!$B:$B, INDEX(MVs!$U$2:$Y$4, 2, MATCH(V$21, MVs!$U$2:$Y$2, 0))):INDEX(MVs!$B:$B, INDEX(MVs!$U$2:$Y$4, 3, MATCH(V$21, MVs!$U$2:$Y$2, 0))), 0), 17)</f>
        <v>Burst</v>
      </c>
      <c r="W3" s="211" t="str">
        <f>INDEX(INDEX(MVs!$B:$B, INDEX(MVs!$U$2:$Y$4, 2, MATCH(W$21, MVs!$U$2:$Y$2, 0))):INDEX(MVs!$T:$T, INDEX(mvLookupTable, 3, MATCH(W$21, MVs!$U$2:$Y$2, 0))), MATCH(W$2, INDEX(MVs!$B:$B, INDEX(MVs!$U$2:$Y$4, 2, MATCH(W$21, MVs!$U$2:$Y$2, 0))):INDEX(MVs!$B:$B, INDEX(MVs!$U$2:$Y$4, 3, MATCH(W$21, MVs!$U$2:$Y$2, 0))), 0), 17)</f>
        <v>Transformative</v>
      </c>
      <c r="X3" s="211" t="str">
        <f>INDEX(INDEX(MVs!$B:$B, INDEX(MVs!$U$2:$Y$4, 2, MATCH(X$21, MVs!$U$2:$Y$2, 0))):INDEX(MVs!$T:$T, INDEX(mvLookupTable, 3, MATCH(X$21, MVs!$U$2:$Y$2, 0))), MATCH(X$2, INDEX(MVs!$B:$B, INDEX(MVs!$U$2:$Y$4, 2, MATCH(X$21, MVs!$U$2:$Y$2, 0))):INDEX(MVs!$B:$B, INDEX(MVs!$U$2:$Y$4, 3, MATCH(X$21, MVs!$U$2:$Y$2, 0))), 0), 17)</f>
        <v>Burst</v>
      </c>
      <c r="Y3" s="211" t="str">
        <f>INDEX(INDEX(MVs!$B:$B, INDEX(MVs!$U$2:$Y$4, 2, MATCH(Y$21, MVs!$U$2:$Y$2, 0))):INDEX(MVs!$T:$T, INDEX(mvLookupTable, 3, MATCH(Y$21, MVs!$U$2:$Y$2, 0))), MATCH(Y$2, INDEX(MVs!$B:$B, INDEX(MVs!$U$2:$Y$4, 2, MATCH(Y$21, MVs!$U$2:$Y$2, 0))):INDEX(MVs!$B:$B, INDEX(MVs!$U$2:$Y$4, 3, MATCH(Y$21, MVs!$U$2:$Y$2, 0))), 0), 17)</f>
        <v>Burst</v>
      </c>
      <c r="Z3" s="211" t="str">
        <f>INDEX(INDEX(MVs!$B:$B, INDEX(MVs!$U$2:$Y$4, 2, MATCH(Z$21, MVs!$U$2:$Y$2, 0))):INDEX(MVs!$T:$T, INDEX(mvLookupTable, 3, MATCH(Z$21, MVs!$U$2:$Y$2, 0))), MATCH(Z$2, INDEX(MVs!$B:$B, INDEX(MVs!$U$2:$Y$4, 2, MATCH(Z$21, MVs!$U$2:$Y$2, 0))):INDEX(MVs!$B:$B, INDEX(MVs!$U$2:$Y$4, 3, MATCH(Z$21, MVs!$U$2:$Y$2, 0))), 0), 17)</f>
        <v>Burst</v>
      </c>
      <c r="AA3" s="211" t="str">
        <f>INDEX(INDEX(MVs!$B:$B, INDEX(MVs!$U$2:$Y$4, 2, MATCH(AA$21, MVs!$U$2:$Y$2, 0))):INDEX(MVs!$T:$T, INDEX(mvLookupTable, 3, MATCH(AA$21, MVs!$U$2:$Y$2, 0))), MATCH(AA$2, INDEX(MVs!$B:$B, INDEX(MVs!$U$2:$Y$4, 2, MATCH(AA$21, MVs!$U$2:$Y$2, 0))):INDEX(MVs!$B:$B, INDEX(MVs!$U$2:$Y$4, 3, MATCH(AA$21, MVs!$U$2:$Y$2, 0))), 0), 17)</f>
        <v>Burst</v>
      </c>
      <c r="AB3" s="211" t="str">
        <f>INDEX(INDEX(MVs!$B:$B, INDEX(MVs!$U$2:$Y$4, 2, MATCH(AB$21, MVs!$U$2:$Y$2, 0))):INDEX(MVs!$T:$T, INDEX(mvLookupTable, 3, MATCH(AB$21, MVs!$U$2:$Y$2, 0))), MATCH(AB$2, INDEX(MVs!$B:$B, INDEX(MVs!$U$2:$Y$4, 2, MATCH(AB$21, MVs!$U$2:$Y$2, 0))):INDEX(MVs!$B:$B, INDEX(MVs!$U$2:$Y$4, 3, MATCH(AB$21, MVs!$U$2:$Y$2, 0))), 0), 17)</f>
        <v>Burst</v>
      </c>
      <c r="AC3" s="211" t="str">
        <f>INDEX(INDEX(MVs!$B:$B, INDEX(MVs!$U$2:$Y$4, 2, MATCH(AC$21, MVs!$U$2:$Y$2, 0))):INDEX(MVs!$T:$T, INDEX(mvLookupTable, 3, MATCH(AC$21, MVs!$U$2:$Y$2, 0))), MATCH(AC$2, INDEX(MVs!$B:$B, INDEX(MVs!$U$2:$Y$4, 2, MATCH(AC$21, MVs!$U$2:$Y$2, 0))):INDEX(MVs!$B:$B, INDEX(MVs!$U$2:$Y$4, 3, MATCH(AC$21, MVs!$U$2:$Y$2, 0))), 0), 17)</f>
        <v>Burst</v>
      </c>
      <c r="AD3" s="211" t="str">
        <f>INDEX(INDEX(MVs!$B:$B, INDEX(MVs!$U$2:$Y$4, 2, MATCH(AD$21, MVs!$U$2:$Y$2, 0))):INDEX(MVs!$T:$T, INDEX(mvLookupTable, 3, MATCH(AD$21, MVs!$U$2:$Y$2, 0))), MATCH(AD$2, INDEX(MVs!$B:$B, INDEX(MVs!$U$2:$Y$4, 2, MATCH(AD$21, MVs!$U$2:$Y$2, 0))):INDEX(MVs!$B:$B, INDEX(MVs!$U$2:$Y$4, 3, MATCH(AD$21, MVs!$U$2:$Y$2, 0))), 0), 17)</f>
        <v>Burst</v>
      </c>
      <c r="AE3" s="211" t="str">
        <f>INDEX(INDEX(MVs!$B:$B, INDEX(MVs!$U$2:$Y$4, 2, MATCH(AE$21, MVs!$U$2:$Y$2, 0))):INDEX(MVs!$T:$T, INDEX(mvLookupTable, 3, MATCH(AE$21, MVs!$U$2:$Y$2, 0))), MATCH(AE$2, INDEX(MVs!$B:$B, INDEX(MVs!$U$2:$Y$4, 2, MATCH(AE$21, MVs!$U$2:$Y$2, 0))):INDEX(MVs!$B:$B, INDEX(MVs!$U$2:$Y$4, 3, MATCH(AE$21, MVs!$U$2:$Y$2, 0))), 0), 17)</f>
        <v>Burst</v>
      </c>
      <c r="AF3" s="211" t="str">
        <f>INDEX(INDEX(MVs!$B:$B, INDEX(MVs!$U$2:$Y$4, 2, MATCH(AF$21, MVs!$U$2:$Y$2, 0))):INDEX(MVs!$T:$T, INDEX(mvLookupTable, 3, MATCH(AF$21, MVs!$U$2:$Y$2, 0))), MATCH(AF$2, INDEX(MVs!$B:$B, INDEX(MVs!$U$2:$Y$4, 2, MATCH(AF$21, MVs!$U$2:$Y$2, 0))):INDEX(MVs!$B:$B, INDEX(MVs!$U$2:$Y$4, 3, MATCH(AF$21, MVs!$U$2:$Y$2, 0))), 0), 17)</f>
        <v>Burst</v>
      </c>
      <c r="AG3" s="211" t="str">
        <f>INDEX(INDEX(MVs!$B:$B, INDEX(MVs!$U$2:$Y$4, 2, MATCH(AG$21, MVs!$U$2:$Y$2, 0))):INDEX(MVs!$T:$T, INDEX(mvLookupTable, 3, MATCH(AG$21, MVs!$U$2:$Y$2, 0))), MATCH(AG$2, INDEX(MVs!$B:$B, INDEX(MVs!$U$2:$Y$4, 2, MATCH(AG$21, MVs!$U$2:$Y$2, 0))):INDEX(MVs!$B:$B, INDEX(MVs!$U$2:$Y$4, 3, MATCH(AG$21, MVs!$U$2:$Y$2, 0))), 0), 17)</f>
        <v>Burst</v>
      </c>
      <c r="AH3" s="211" t="str">
        <f>INDEX(INDEX(MVs!$B:$B, INDEX(MVs!$U$2:$Y$4, 2, MATCH(AH$21, MVs!$U$2:$Y$2, 0))):INDEX(MVs!$T:$T, INDEX(mvLookupTable, 3, MATCH(AH$21, MVs!$U$2:$Y$2, 0))), MATCH(AH$2, INDEX(MVs!$B:$B, INDEX(MVs!$U$2:$Y$4, 2, MATCH(AH$21, MVs!$U$2:$Y$2, 0))):INDEX(MVs!$B:$B, INDEX(MVs!$U$2:$Y$4, 3, MATCH(AH$21, MVs!$U$2:$Y$2, 0))), 0), 17)</f>
        <v>Skill</v>
      </c>
      <c r="AI3" s="211" t="str">
        <f>INDEX(INDEX(MVs!$B:$B, INDEX(MVs!$U$2:$Y$4, 2, MATCH(AI$21, MVs!$U$2:$Y$2, 0))):INDEX(MVs!$T:$T, INDEX(mvLookupTable, 3, MATCH(AI$21, MVs!$U$2:$Y$2, 0))), MATCH(AI$2, INDEX(MVs!$B:$B, INDEX(MVs!$U$2:$Y$4, 2, MATCH(AI$21, MVs!$U$2:$Y$2, 0))):INDEX(MVs!$B:$B, INDEX(MVs!$U$2:$Y$4, 3, MATCH(AI$21, MVs!$U$2:$Y$2, 0))), 0), 17)</f>
        <v>Burst</v>
      </c>
      <c r="AJ3" s="211" t="str">
        <f>INDEX(INDEX(MVs!$B:$B, INDEX(MVs!$U$2:$Y$4, 2, MATCH(AJ$21, MVs!$U$2:$Y$2, 0))):INDEX(MVs!$T:$T, INDEX(mvLookupTable, 3, MATCH(AJ$21, MVs!$U$2:$Y$2, 0))), MATCH(AJ$2, INDEX(MVs!$B:$B, INDEX(MVs!$U$2:$Y$4, 2, MATCH(AJ$21, MVs!$U$2:$Y$2, 0))):INDEX(MVs!$B:$B, INDEX(MVs!$U$2:$Y$4, 3, MATCH(AJ$21, MVs!$U$2:$Y$2, 0))), 0), 17)</f>
        <v>Burst</v>
      </c>
    </row>
    <row r="4" spans="1:42" s="211" customFormat="1" x14ac:dyDescent="0.25">
      <c r="A4" s="42" t="s">
        <v>126</v>
      </c>
      <c r="B4" s="211" t="str">
        <f>INDEX(INDEX(MVs!$B:$B, INDEX(MVs!$U$2:$Y$4, 2, MATCH(B$21, MVs!$U$2:$Y$2, 0))):INDEX(MVs!$T:$T, INDEX(mvLookupTable, 3, MATCH(B$21, MVs!$U$2:$Y$2, 0))), MATCH(B$2, INDEX(MVs!$B:$B, INDEX(MVs!$U$2:$Y$4, 2, MATCH(B$21, MVs!$U$2:$Y$2, 0))):INDEX(MVs!$B:$B, INDEX(MVs!$U$2:$Y$4, 3, MATCH(B$21, MVs!$U$2:$Y$2, 0))), 0), 18)</f>
        <v>ATK</v>
      </c>
      <c r="C4" s="211" t="str">
        <f>INDEX(INDEX(MVs!$B:$B, INDEX(MVs!$U$2:$Y$4, 2, MATCH(C$21, MVs!$U$2:$Y$2, 0))):INDEX(MVs!$T:$T, INDEX(mvLookupTable, 3, MATCH(C$21, MVs!$U$2:$Y$2, 0))), MATCH(C$2, INDEX(MVs!$B:$B, INDEX(MVs!$U$2:$Y$4, 2, MATCH(C$21, MVs!$U$2:$Y$2, 0))):INDEX(MVs!$B:$B, INDEX(MVs!$U$2:$Y$4, 3, MATCH(C$21, MVs!$U$2:$Y$2, 0))), 0), 18)</f>
        <v>ATK</v>
      </c>
      <c r="D4" s="211" t="str">
        <f>INDEX(INDEX(MVs!$B:$B, INDEX(MVs!$U$2:$Y$4, 2, MATCH(D$21, MVs!$U$2:$Y$2, 0))):INDEX(MVs!$T:$T, INDEX(mvLookupTable, 3, MATCH(D$21, MVs!$U$2:$Y$2, 0))), MATCH(D$2, INDEX(MVs!$B:$B, INDEX(MVs!$U$2:$Y$4, 2, MATCH(D$21, MVs!$U$2:$Y$2, 0))):INDEX(MVs!$B:$B, INDEX(MVs!$U$2:$Y$4, 3, MATCH(D$21, MVs!$U$2:$Y$2, 0))), 0), 18)</f>
        <v>ATK</v>
      </c>
      <c r="E4" s="211" t="str">
        <f>INDEX(INDEX(MVs!$B:$B, INDEX(MVs!$U$2:$Y$4, 2, MATCH(E$21, MVs!$U$2:$Y$2, 0))):INDEX(MVs!$T:$T, INDEX(mvLookupTable, 3, MATCH(E$21, MVs!$U$2:$Y$2, 0))), MATCH(E$2, INDEX(MVs!$B:$B, INDEX(MVs!$U$2:$Y$4, 2, MATCH(E$21, MVs!$U$2:$Y$2, 0))):INDEX(MVs!$B:$B, INDEX(MVs!$U$2:$Y$4, 3, MATCH(E$21, MVs!$U$2:$Y$2, 0))), 0), 18)</f>
        <v>EM</v>
      </c>
      <c r="F4" s="211" t="str">
        <f>INDEX(INDEX(MVs!$B:$B, INDEX(MVs!$U$2:$Y$4, 2, MATCH(F$21, MVs!$U$2:$Y$2, 0))):INDEX(MVs!$T:$T, INDEX(mvLookupTable, 3, MATCH(F$21, MVs!$U$2:$Y$2, 0))), MATCH(F$2, INDEX(MVs!$B:$B, INDEX(MVs!$U$2:$Y$4, 2, MATCH(F$21, MVs!$U$2:$Y$2, 0))):INDEX(MVs!$B:$B, INDEX(MVs!$U$2:$Y$4, 3, MATCH(F$21, MVs!$U$2:$Y$2, 0))), 0), 18)</f>
        <v>ATK</v>
      </c>
      <c r="G4" s="211" t="str">
        <f>INDEX(INDEX(MVs!$B:$B, INDEX(MVs!$U$2:$Y$4, 2, MATCH(G$21, MVs!$U$2:$Y$2, 0))):INDEX(MVs!$T:$T, INDEX(mvLookupTable, 3, MATCH(G$21, MVs!$U$2:$Y$2, 0))), MATCH(G$2, INDEX(MVs!$B:$B, INDEX(MVs!$U$2:$Y$4, 2, MATCH(G$21, MVs!$U$2:$Y$2, 0))):INDEX(MVs!$B:$B, INDEX(MVs!$U$2:$Y$4, 3, MATCH(G$21, MVs!$U$2:$Y$2, 0))), 0), 18)</f>
        <v>ATK</v>
      </c>
      <c r="H4" s="211" t="str">
        <f>INDEX(INDEX(MVs!$B:$B, INDEX(MVs!$U$2:$Y$4, 2, MATCH(H$21, MVs!$U$2:$Y$2, 0))):INDEX(MVs!$T:$T, INDEX(mvLookupTable, 3, MATCH(H$21, MVs!$U$2:$Y$2, 0))), MATCH(H$2, INDEX(MVs!$B:$B, INDEX(MVs!$U$2:$Y$4, 2, MATCH(H$21, MVs!$U$2:$Y$2, 0))):INDEX(MVs!$B:$B, INDEX(MVs!$U$2:$Y$4, 3, MATCH(H$21, MVs!$U$2:$Y$2, 0))), 0), 18)</f>
        <v>ATK</v>
      </c>
      <c r="I4" s="211" t="str">
        <f>INDEX(INDEX(MVs!$B:$B, INDEX(MVs!$U$2:$Y$4, 2, MATCH(I$21, MVs!$U$2:$Y$2, 0))):INDEX(MVs!$T:$T, INDEX(mvLookupTable, 3, MATCH(I$21, MVs!$U$2:$Y$2, 0))), MATCH(I$2, INDEX(MVs!$B:$B, INDEX(MVs!$U$2:$Y$4, 2, MATCH(I$21, MVs!$U$2:$Y$2, 0))):INDEX(MVs!$B:$B, INDEX(MVs!$U$2:$Y$4, 3, MATCH(I$21, MVs!$U$2:$Y$2, 0))), 0), 18)</f>
        <v>EM</v>
      </c>
      <c r="J4" s="211" t="str">
        <f>INDEX(INDEX(MVs!$B:$B, INDEX(MVs!$U$2:$Y$4, 2, MATCH(J$21, MVs!$U$2:$Y$2, 0))):INDEX(MVs!$T:$T, INDEX(mvLookupTable, 3, MATCH(J$21, MVs!$U$2:$Y$2, 0))), MATCH(J$2, INDEX(MVs!$B:$B, INDEX(MVs!$U$2:$Y$4, 2, MATCH(J$21, MVs!$U$2:$Y$2, 0))):INDEX(MVs!$B:$B, INDEX(MVs!$U$2:$Y$4, 3, MATCH(J$21, MVs!$U$2:$Y$2, 0))), 0), 18)</f>
        <v>ATK</v>
      </c>
      <c r="K4" s="211" t="str">
        <f>INDEX(INDEX(MVs!$B:$B, INDEX(MVs!$U$2:$Y$4, 2, MATCH(K$21, MVs!$U$2:$Y$2, 0))):INDEX(MVs!$T:$T, INDEX(mvLookupTable, 3, MATCH(K$21, MVs!$U$2:$Y$2, 0))), MATCH(K$2, INDEX(MVs!$B:$B, INDEX(MVs!$U$2:$Y$4, 2, MATCH(K$21, MVs!$U$2:$Y$2, 0))):INDEX(MVs!$B:$B, INDEX(MVs!$U$2:$Y$4, 3, MATCH(K$21, MVs!$U$2:$Y$2, 0))), 0), 18)</f>
        <v>EM</v>
      </c>
      <c r="L4" s="211" t="str">
        <f>INDEX(INDEX(MVs!$B:$B, INDEX(MVs!$U$2:$Y$4, 2, MATCH(L$21, MVs!$U$2:$Y$2, 0))):INDEX(MVs!$T:$T, INDEX(mvLookupTable, 3, MATCH(L$21, MVs!$U$2:$Y$2, 0))), MATCH(L$2, INDEX(MVs!$B:$B, INDEX(MVs!$U$2:$Y$4, 2, MATCH(L$21, MVs!$U$2:$Y$2, 0))):INDEX(MVs!$B:$B, INDEX(MVs!$U$2:$Y$4, 3, MATCH(L$21, MVs!$U$2:$Y$2, 0))), 0), 18)</f>
        <v>ATK</v>
      </c>
      <c r="M4" s="211" t="str">
        <f>INDEX(INDEX(MVs!$B:$B, INDEX(MVs!$U$2:$Y$4, 2, MATCH(M$21, MVs!$U$2:$Y$2, 0))):INDEX(MVs!$T:$T, INDEX(mvLookupTable, 3, MATCH(M$21, MVs!$U$2:$Y$2, 0))), MATCH(M$2, INDEX(MVs!$B:$B, INDEX(MVs!$U$2:$Y$4, 2, MATCH(M$21, MVs!$U$2:$Y$2, 0))):INDEX(MVs!$B:$B, INDEX(MVs!$U$2:$Y$4, 3, MATCH(M$21, MVs!$U$2:$Y$2, 0))), 0), 18)</f>
        <v>ATK</v>
      </c>
      <c r="N4" s="211" t="str">
        <f>INDEX(INDEX(MVs!$B:$B, INDEX(MVs!$U$2:$Y$4, 2, MATCH(N$21, MVs!$U$2:$Y$2, 0))):INDEX(MVs!$T:$T, INDEX(mvLookupTable, 3, MATCH(N$21, MVs!$U$2:$Y$2, 0))), MATCH(N$2, INDEX(MVs!$B:$B, INDEX(MVs!$U$2:$Y$4, 2, MATCH(N$21, MVs!$U$2:$Y$2, 0))):INDEX(MVs!$B:$B, INDEX(MVs!$U$2:$Y$4, 3, MATCH(N$21, MVs!$U$2:$Y$2, 0))), 0), 18)</f>
        <v>ATK</v>
      </c>
      <c r="O4" s="211" t="str">
        <f>INDEX(INDEX(MVs!$B:$B, INDEX(MVs!$U$2:$Y$4, 2, MATCH(O$21, MVs!$U$2:$Y$2, 0))):INDEX(MVs!$T:$T, INDEX(mvLookupTable, 3, MATCH(O$21, MVs!$U$2:$Y$2, 0))), MATCH(O$2, INDEX(MVs!$B:$B, INDEX(MVs!$U$2:$Y$4, 2, MATCH(O$21, MVs!$U$2:$Y$2, 0))):INDEX(MVs!$B:$B, INDEX(MVs!$U$2:$Y$4, 3, MATCH(O$21, MVs!$U$2:$Y$2, 0))), 0), 18)</f>
        <v>EM</v>
      </c>
      <c r="P4" s="211" t="str">
        <f>INDEX(INDEX(MVs!$B:$B, INDEX(MVs!$U$2:$Y$4, 2, MATCH(P$21, MVs!$U$2:$Y$2, 0))):INDEX(MVs!$T:$T, INDEX(mvLookupTable, 3, MATCH(P$21, MVs!$U$2:$Y$2, 0))), MATCH(P$2, INDEX(MVs!$B:$B, INDEX(MVs!$U$2:$Y$4, 2, MATCH(P$21, MVs!$U$2:$Y$2, 0))):INDEX(MVs!$B:$B, INDEX(MVs!$U$2:$Y$4, 3, MATCH(P$21, MVs!$U$2:$Y$2, 0))), 0), 18)</f>
        <v>ATK</v>
      </c>
      <c r="Q4" s="211" t="str">
        <f>INDEX(INDEX(MVs!$B:$B, INDEX(MVs!$U$2:$Y$4, 2, MATCH(Q$21, MVs!$U$2:$Y$2, 0))):INDEX(MVs!$T:$T, INDEX(mvLookupTable, 3, MATCH(Q$21, MVs!$U$2:$Y$2, 0))), MATCH(Q$2, INDEX(MVs!$B:$B, INDEX(MVs!$U$2:$Y$4, 2, MATCH(Q$21, MVs!$U$2:$Y$2, 0))):INDEX(MVs!$B:$B, INDEX(MVs!$U$2:$Y$4, 3, MATCH(Q$21, MVs!$U$2:$Y$2, 0))), 0), 18)</f>
        <v>ATK</v>
      </c>
      <c r="R4" s="211" t="str">
        <f>INDEX(INDEX(MVs!$B:$B, INDEX(MVs!$U$2:$Y$4, 2, MATCH(R$21, MVs!$U$2:$Y$2, 0))):INDEX(MVs!$T:$T, INDEX(mvLookupTable, 3, MATCH(R$21, MVs!$U$2:$Y$2, 0))), MATCH(R$2, INDEX(MVs!$B:$B, INDEX(MVs!$U$2:$Y$4, 2, MATCH(R$21, MVs!$U$2:$Y$2, 0))):INDEX(MVs!$B:$B, INDEX(MVs!$U$2:$Y$4, 3, MATCH(R$21, MVs!$U$2:$Y$2, 0))), 0), 18)</f>
        <v>ATK</v>
      </c>
      <c r="S4" s="211" t="str">
        <f>INDEX(INDEX(MVs!$B:$B, INDEX(MVs!$U$2:$Y$4, 2, MATCH(S$21, MVs!$U$2:$Y$2, 0))):INDEX(MVs!$T:$T, INDEX(mvLookupTable, 3, MATCH(S$21, MVs!$U$2:$Y$2, 0))), MATCH(S$2, INDEX(MVs!$B:$B, INDEX(MVs!$U$2:$Y$4, 2, MATCH(S$21, MVs!$U$2:$Y$2, 0))):INDEX(MVs!$B:$B, INDEX(MVs!$U$2:$Y$4, 3, MATCH(S$21, MVs!$U$2:$Y$2, 0))), 0), 18)</f>
        <v>ATK</v>
      </c>
      <c r="T4" s="211" t="str">
        <f>INDEX(INDEX(MVs!$B:$B, INDEX(MVs!$U$2:$Y$4, 2, MATCH(T$21, MVs!$U$2:$Y$2, 0))):INDEX(MVs!$T:$T, INDEX(mvLookupTable, 3, MATCH(T$21, MVs!$U$2:$Y$2, 0))), MATCH(T$2, INDEX(MVs!$B:$B, INDEX(MVs!$U$2:$Y$4, 2, MATCH(T$21, MVs!$U$2:$Y$2, 0))):INDEX(MVs!$B:$B, INDEX(MVs!$U$2:$Y$4, 3, MATCH(T$21, MVs!$U$2:$Y$2, 0))), 0), 18)</f>
        <v>ATK</v>
      </c>
      <c r="U4" s="211" t="str">
        <f>INDEX(INDEX(MVs!$B:$B, INDEX(MVs!$U$2:$Y$4, 2, MATCH(U$21, MVs!$U$2:$Y$2, 0))):INDEX(MVs!$T:$T, INDEX(mvLookupTable, 3, MATCH(U$21, MVs!$U$2:$Y$2, 0))), MATCH(U$2, INDEX(MVs!$B:$B, INDEX(MVs!$U$2:$Y$4, 2, MATCH(U$21, MVs!$U$2:$Y$2, 0))):INDEX(MVs!$B:$B, INDEX(MVs!$U$2:$Y$4, 3, MATCH(U$21, MVs!$U$2:$Y$2, 0))), 0), 18)</f>
        <v>ATK</v>
      </c>
      <c r="V4" s="211" t="str">
        <f>INDEX(INDEX(MVs!$B:$B, INDEX(MVs!$U$2:$Y$4, 2, MATCH(V$21, MVs!$U$2:$Y$2, 0))):INDEX(MVs!$T:$T, INDEX(mvLookupTable, 3, MATCH(V$21, MVs!$U$2:$Y$2, 0))), MATCH(V$2, INDEX(MVs!$B:$B, INDEX(MVs!$U$2:$Y$4, 2, MATCH(V$21, MVs!$U$2:$Y$2, 0))):INDEX(MVs!$B:$B, INDEX(MVs!$U$2:$Y$4, 3, MATCH(V$21, MVs!$U$2:$Y$2, 0))), 0), 18)</f>
        <v>ATK</v>
      </c>
      <c r="W4" s="211" t="str">
        <f>INDEX(INDEX(MVs!$B:$B, INDEX(MVs!$U$2:$Y$4, 2, MATCH(W$21, MVs!$U$2:$Y$2, 0))):INDEX(MVs!$T:$T, INDEX(mvLookupTable, 3, MATCH(W$21, MVs!$U$2:$Y$2, 0))), MATCH(W$2, INDEX(MVs!$B:$B, INDEX(MVs!$U$2:$Y$4, 2, MATCH(W$21, MVs!$U$2:$Y$2, 0))):INDEX(MVs!$B:$B, INDEX(MVs!$U$2:$Y$4, 3, MATCH(W$21, MVs!$U$2:$Y$2, 0))), 0), 18)</f>
        <v>EM</v>
      </c>
      <c r="X4" s="211" t="str">
        <f>INDEX(INDEX(MVs!$B:$B, INDEX(MVs!$U$2:$Y$4, 2, MATCH(X$21, MVs!$U$2:$Y$2, 0))):INDEX(MVs!$T:$T, INDEX(mvLookupTable, 3, MATCH(X$21, MVs!$U$2:$Y$2, 0))), MATCH(X$2, INDEX(MVs!$B:$B, INDEX(MVs!$U$2:$Y$4, 2, MATCH(X$21, MVs!$U$2:$Y$2, 0))):INDEX(MVs!$B:$B, INDEX(MVs!$U$2:$Y$4, 3, MATCH(X$21, MVs!$U$2:$Y$2, 0))), 0), 18)</f>
        <v>ATK</v>
      </c>
      <c r="Y4" s="211" t="str">
        <f>INDEX(INDEX(MVs!$B:$B, INDEX(MVs!$U$2:$Y$4, 2, MATCH(Y$21, MVs!$U$2:$Y$2, 0))):INDEX(MVs!$T:$T, INDEX(mvLookupTable, 3, MATCH(Y$21, MVs!$U$2:$Y$2, 0))), MATCH(Y$2, INDEX(MVs!$B:$B, INDEX(MVs!$U$2:$Y$4, 2, MATCH(Y$21, MVs!$U$2:$Y$2, 0))):INDEX(MVs!$B:$B, INDEX(MVs!$U$2:$Y$4, 3, MATCH(Y$21, MVs!$U$2:$Y$2, 0))), 0), 18)</f>
        <v>ATK</v>
      </c>
      <c r="Z4" s="211" t="str">
        <f>INDEX(INDEX(MVs!$B:$B, INDEX(MVs!$U$2:$Y$4, 2, MATCH(Z$21, MVs!$U$2:$Y$2, 0))):INDEX(MVs!$T:$T, INDEX(mvLookupTable, 3, MATCH(Z$21, MVs!$U$2:$Y$2, 0))), MATCH(Z$2, INDEX(MVs!$B:$B, INDEX(MVs!$U$2:$Y$4, 2, MATCH(Z$21, MVs!$U$2:$Y$2, 0))):INDEX(MVs!$B:$B, INDEX(MVs!$U$2:$Y$4, 3, MATCH(Z$21, MVs!$U$2:$Y$2, 0))), 0), 18)</f>
        <v>ATK</v>
      </c>
      <c r="AA4" s="211" t="str">
        <f>INDEX(INDEX(MVs!$B:$B, INDEX(MVs!$U$2:$Y$4, 2, MATCH(AA$21, MVs!$U$2:$Y$2, 0))):INDEX(MVs!$T:$T, INDEX(mvLookupTable, 3, MATCH(AA$21, MVs!$U$2:$Y$2, 0))), MATCH(AA$2, INDEX(MVs!$B:$B, INDEX(MVs!$U$2:$Y$4, 2, MATCH(AA$21, MVs!$U$2:$Y$2, 0))):INDEX(MVs!$B:$B, INDEX(MVs!$U$2:$Y$4, 3, MATCH(AA$21, MVs!$U$2:$Y$2, 0))), 0), 18)</f>
        <v>ATK</v>
      </c>
      <c r="AB4" s="211" t="str">
        <f>INDEX(INDEX(MVs!$B:$B, INDEX(MVs!$U$2:$Y$4, 2, MATCH(AB$21, MVs!$U$2:$Y$2, 0))):INDEX(MVs!$T:$T, INDEX(mvLookupTable, 3, MATCH(AB$21, MVs!$U$2:$Y$2, 0))), MATCH(AB$2, INDEX(MVs!$B:$B, INDEX(MVs!$U$2:$Y$4, 2, MATCH(AB$21, MVs!$U$2:$Y$2, 0))):INDEX(MVs!$B:$B, INDEX(MVs!$U$2:$Y$4, 3, MATCH(AB$21, MVs!$U$2:$Y$2, 0))), 0), 18)</f>
        <v>ATK</v>
      </c>
      <c r="AC4" s="211" t="str">
        <f>INDEX(INDEX(MVs!$B:$B, INDEX(MVs!$U$2:$Y$4, 2, MATCH(AC$21, MVs!$U$2:$Y$2, 0))):INDEX(MVs!$T:$T, INDEX(mvLookupTable, 3, MATCH(AC$21, MVs!$U$2:$Y$2, 0))), MATCH(AC$2, INDEX(MVs!$B:$B, INDEX(MVs!$U$2:$Y$4, 2, MATCH(AC$21, MVs!$U$2:$Y$2, 0))):INDEX(MVs!$B:$B, INDEX(MVs!$U$2:$Y$4, 3, MATCH(AC$21, MVs!$U$2:$Y$2, 0))), 0), 18)</f>
        <v>ATK</v>
      </c>
      <c r="AD4" s="211" t="str">
        <f>INDEX(INDEX(MVs!$B:$B, INDEX(MVs!$U$2:$Y$4, 2, MATCH(AD$21, MVs!$U$2:$Y$2, 0))):INDEX(MVs!$T:$T, INDEX(mvLookupTable, 3, MATCH(AD$21, MVs!$U$2:$Y$2, 0))), MATCH(AD$2, INDEX(MVs!$B:$B, INDEX(MVs!$U$2:$Y$4, 2, MATCH(AD$21, MVs!$U$2:$Y$2, 0))):INDEX(MVs!$B:$B, INDEX(MVs!$U$2:$Y$4, 3, MATCH(AD$21, MVs!$U$2:$Y$2, 0))), 0), 18)</f>
        <v>ATK</v>
      </c>
      <c r="AE4" s="211" t="str">
        <f>INDEX(INDEX(MVs!$B:$B, INDEX(MVs!$U$2:$Y$4, 2, MATCH(AE$21, MVs!$U$2:$Y$2, 0))):INDEX(MVs!$T:$T, INDEX(mvLookupTable, 3, MATCH(AE$21, MVs!$U$2:$Y$2, 0))), MATCH(AE$2, INDEX(MVs!$B:$B, INDEX(MVs!$U$2:$Y$4, 2, MATCH(AE$21, MVs!$U$2:$Y$2, 0))):INDEX(MVs!$B:$B, INDEX(MVs!$U$2:$Y$4, 3, MATCH(AE$21, MVs!$U$2:$Y$2, 0))), 0), 18)</f>
        <v>ATK</v>
      </c>
      <c r="AF4" s="211" t="str">
        <f>INDEX(INDEX(MVs!$B:$B, INDEX(MVs!$U$2:$Y$4, 2, MATCH(AF$21, MVs!$U$2:$Y$2, 0))):INDEX(MVs!$T:$T, INDEX(mvLookupTable, 3, MATCH(AF$21, MVs!$U$2:$Y$2, 0))), MATCH(AF$2, INDEX(MVs!$B:$B, INDEX(MVs!$U$2:$Y$4, 2, MATCH(AF$21, MVs!$U$2:$Y$2, 0))):INDEX(MVs!$B:$B, INDEX(MVs!$U$2:$Y$4, 3, MATCH(AF$21, MVs!$U$2:$Y$2, 0))), 0), 18)</f>
        <v>ATK</v>
      </c>
      <c r="AG4" s="211" t="str">
        <f>INDEX(INDEX(MVs!$B:$B, INDEX(MVs!$U$2:$Y$4, 2, MATCH(AG$21, MVs!$U$2:$Y$2, 0))):INDEX(MVs!$T:$T, INDEX(mvLookupTable, 3, MATCH(AG$21, MVs!$U$2:$Y$2, 0))), MATCH(AG$2, INDEX(MVs!$B:$B, INDEX(MVs!$U$2:$Y$4, 2, MATCH(AG$21, MVs!$U$2:$Y$2, 0))):INDEX(MVs!$B:$B, INDEX(MVs!$U$2:$Y$4, 3, MATCH(AG$21, MVs!$U$2:$Y$2, 0))), 0), 18)</f>
        <v>ATK</v>
      </c>
      <c r="AH4" s="211" t="str">
        <f>INDEX(INDEX(MVs!$B:$B, INDEX(MVs!$U$2:$Y$4, 2, MATCH(AH$21, MVs!$U$2:$Y$2, 0))):INDEX(MVs!$T:$T, INDEX(mvLookupTable, 3, MATCH(AH$21, MVs!$U$2:$Y$2, 0))), MATCH(AH$2, INDEX(MVs!$B:$B, INDEX(MVs!$U$2:$Y$4, 2, MATCH(AH$21, MVs!$U$2:$Y$2, 0))):INDEX(MVs!$B:$B, INDEX(MVs!$U$2:$Y$4, 3, MATCH(AH$21, MVs!$U$2:$Y$2, 0))), 0), 18)</f>
        <v>ATK</v>
      </c>
      <c r="AI4" s="211" t="str">
        <f>INDEX(INDEX(MVs!$B:$B, INDEX(MVs!$U$2:$Y$4, 2, MATCH(AI$21, MVs!$U$2:$Y$2, 0))):INDEX(MVs!$T:$T, INDEX(mvLookupTable, 3, MATCH(AI$21, MVs!$U$2:$Y$2, 0))), MATCH(AI$2, INDEX(MVs!$B:$B, INDEX(MVs!$U$2:$Y$4, 2, MATCH(AI$21, MVs!$U$2:$Y$2, 0))):INDEX(MVs!$B:$B, INDEX(MVs!$U$2:$Y$4, 3, MATCH(AI$21, MVs!$U$2:$Y$2, 0))), 0), 18)</f>
        <v>HP</v>
      </c>
      <c r="AJ4" s="211" t="str">
        <f>INDEX(INDEX(MVs!$B:$B, INDEX(MVs!$U$2:$Y$4, 2, MATCH(AJ$21, MVs!$U$2:$Y$2, 0))):INDEX(MVs!$T:$T, INDEX(mvLookupTable, 3, MATCH(AJ$21, MVs!$U$2:$Y$2, 0))), MATCH(AJ$2, INDEX(MVs!$B:$B, INDEX(MVs!$U$2:$Y$4, 2, MATCH(AJ$21, MVs!$U$2:$Y$2, 0))):INDEX(MVs!$B:$B, INDEX(MVs!$U$2:$Y$4, 3, MATCH(AJ$21, MVs!$U$2:$Y$2, 0))), 0), 18)</f>
        <v>HP</v>
      </c>
    </row>
    <row r="5" spans="1:42" s="211" customFormat="1" x14ac:dyDescent="0.25">
      <c r="A5" s="42" t="s">
        <v>429</v>
      </c>
      <c r="B5" s="211" t="s">
        <v>249</v>
      </c>
      <c r="C5" s="211" t="s">
        <v>249</v>
      </c>
      <c r="D5" s="211" t="s">
        <v>249</v>
      </c>
      <c r="E5" s="211" t="s">
        <v>249</v>
      </c>
      <c r="F5" s="211" t="s">
        <v>249</v>
      </c>
      <c r="G5" s="211" t="s">
        <v>249</v>
      </c>
      <c r="H5" s="211" t="s">
        <v>249</v>
      </c>
      <c r="I5" s="211" t="s">
        <v>249</v>
      </c>
      <c r="J5" s="211" t="s">
        <v>689</v>
      </c>
      <c r="K5" s="211" t="s">
        <v>249</v>
      </c>
      <c r="L5" s="211" t="s">
        <v>689</v>
      </c>
      <c r="M5" s="211" t="s">
        <v>689</v>
      </c>
      <c r="N5" s="211" t="s">
        <v>249</v>
      </c>
      <c r="O5" s="211" t="s">
        <v>249</v>
      </c>
      <c r="P5" s="211" t="s">
        <v>249</v>
      </c>
      <c r="Q5" s="211" t="s">
        <v>249</v>
      </c>
      <c r="R5" s="211" t="s">
        <v>249</v>
      </c>
      <c r="S5" s="211" t="s">
        <v>689</v>
      </c>
      <c r="T5" s="211" t="s">
        <v>249</v>
      </c>
      <c r="U5" s="211" t="s">
        <v>249</v>
      </c>
      <c r="V5" s="211" t="s">
        <v>689</v>
      </c>
      <c r="W5" s="211" t="s">
        <v>249</v>
      </c>
      <c r="X5" s="211" t="s">
        <v>249</v>
      </c>
      <c r="Y5" s="211" t="s">
        <v>249</v>
      </c>
      <c r="Z5" s="211" t="s">
        <v>249</v>
      </c>
      <c r="AA5" s="211" t="s">
        <v>249</v>
      </c>
      <c r="AB5" s="211" t="s">
        <v>249</v>
      </c>
      <c r="AC5" s="211" t="s">
        <v>249</v>
      </c>
      <c r="AD5" s="211" t="s">
        <v>249</v>
      </c>
      <c r="AE5" s="211" t="s">
        <v>249</v>
      </c>
      <c r="AF5" s="211" t="s">
        <v>249</v>
      </c>
      <c r="AG5" s="211" t="s">
        <v>249</v>
      </c>
      <c r="AH5" s="211" t="s">
        <v>249</v>
      </c>
      <c r="AI5" s="211" t="s">
        <v>249</v>
      </c>
      <c r="AJ5" s="211" t="s">
        <v>249</v>
      </c>
    </row>
    <row r="6" spans="1:42" s="211" customFormat="1" hidden="1" outlineLevel="1" x14ac:dyDescent="0.25">
      <c r="A6" s="212" t="s">
        <v>961</v>
      </c>
      <c r="B6" s="211" t="s">
        <v>207</v>
      </c>
      <c r="C6" s="211" t="s">
        <v>207</v>
      </c>
      <c r="D6" s="211" t="s">
        <v>207</v>
      </c>
      <c r="E6" s="211" t="s">
        <v>207</v>
      </c>
      <c r="F6" s="211" t="s">
        <v>207</v>
      </c>
      <c r="G6" s="211" t="s">
        <v>207</v>
      </c>
      <c r="H6" s="211" t="s">
        <v>207</v>
      </c>
      <c r="I6" s="211" t="s">
        <v>207</v>
      </c>
      <c r="J6" s="211" t="s">
        <v>207</v>
      </c>
      <c r="K6" s="211" t="s">
        <v>207</v>
      </c>
      <c r="L6" s="211" t="s">
        <v>207</v>
      </c>
      <c r="M6" s="211" t="s">
        <v>207</v>
      </c>
      <c r="N6" s="211" t="s">
        <v>207</v>
      </c>
      <c r="O6" s="211" t="s">
        <v>207</v>
      </c>
      <c r="P6" s="211" t="s">
        <v>207</v>
      </c>
      <c r="Q6" s="211" t="s">
        <v>207</v>
      </c>
      <c r="R6" s="211" t="s">
        <v>207</v>
      </c>
      <c r="S6" s="211" t="s">
        <v>207</v>
      </c>
      <c r="T6" s="211" t="s">
        <v>207</v>
      </c>
      <c r="U6" s="211" t="s">
        <v>207</v>
      </c>
      <c r="V6" s="211" t="s">
        <v>207</v>
      </c>
      <c r="W6" s="211" t="s">
        <v>207</v>
      </c>
      <c r="X6" s="211" t="s">
        <v>207</v>
      </c>
      <c r="Y6" s="211" t="s">
        <v>207</v>
      </c>
      <c r="Z6" s="211" t="s">
        <v>207</v>
      </c>
      <c r="AA6" s="211" t="s">
        <v>207</v>
      </c>
      <c r="AB6" s="211" t="s">
        <v>207</v>
      </c>
      <c r="AC6" s="211" t="s">
        <v>207</v>
      </c>
      <c r="AD6" s="211" t="s">
        <v>207</v>
      </c>
      <c r="AE6" s="211" t="s">
        <v>207</v>
      </c>
      <c r="AF6" s="211" t="s">
        <v>207</v>
      </c>
      <c r="AG6" s="211" t="s">
        <v>207</v>
      </c>
      <c r="AH6" s="211" t="s">
        <v>207</v>
      </c>
      <c r="AI6" s="211" t="s">
        <v>284</v>
      </c>
      <c r="AJ6" s="211" t="s">
        <v>284</v>
      </c>
    </row>
    <row r="7" spans="1:42" s="211" customFormat="1" hidden="1" outlineLevel="1" x14ac:dyDescent="0.25">
      <c r="A7" s="212" t="s">
        <v>957</v>
      </c>
      <c r="B7" s="211" t="b">
        <f>IF(ISBLANK(INDEX(INDEX(MVs!$B:$B, INDEX(MVs!$U$2:$Y$4, 2, MATCH(B$21, MVs!$U$2:$Y$2, 0))):INDEX(MVs!$T:$T, INDEX(mvLookupTable, 3, MATCH(B$21, MVs!$U$2:$Y$2, 0))), MATCH(B$2, INDEX(MVs!$B:$B, INDEX(MVs!$U$2:$Y$4, 2, MATCH(B$21, MVs!$U$2:$Y$2, 0))):INDEX(MVs!$B:$B, INDEX(MVs!$U$2:$Y$4, 3, MATCH(B$21, MVs!$U$2:$Y$2, 0))), 0),19)), FALSE, TRUE)</f>
        <v>0</v>
      </c>
      <c r="C7" s="211" t="b">
        <f>IF(ISBLANK(INDEX(INDEX(MVs!$B:$B, INDEX(MVs!$U$2:$Y$4, 2, MATCH(C$21, MVs!$U$2:$Y$2, 0))):INDEX(MVs!$T:$T, INDEX(mvLookupTable, 3, MATCH(C$21, MVs!$U$2:$Y$2, 0))), MATCH(C$2, INDEX(MVs!$B:$B, INDEX(MVs!$U$2:$Y$4, 2, MATCH(C$21, MVs!$U$2:$Y$2, 0))):INDEX(MVs!$B:$B, INDEX(MVs!$U$2:$Y$4, 3, MATCH(C$21, MVs!$U$2:$Y$2, 0))), 0),19)), FALSE, TRUE)</f>
        <v>0</v>
      </c>
      <c r="D7" s="211" t="b">
        <f>IF(ISBLANK(INDEX(INDEX(MVs!$B:$B, INDEX(MVs!$U$2:$Y$4, 2, MATCH(D$21, MVs!$U$2:$Y$2, 0))):INDEX(MVs!$T:$T, INDEX(mvLookupTable, 3, MATCH(D$21, MVs!$U$2:$Y$2, 0))), MATCH(D$2, INDEX(MVs!$B:$B, INDEX(MVs!$U$2:$Y$4, 2, MATCH(D$21, MVs!$U$2:$Y$2, 0))):INDEX(MVs!$B:$B, INDEX(MVs!$U$2:$Y$4, 3, MATCH(D$21, MVs!$U$2:$Y$2, 0))), 0),19)), FALSE, TRUE)</f>
        <v>0</v>
      </c>
      <c r="E7" s="211" t="b">
        <f>IF(ISBLANK(INDEX(INDEX(MVs!$B:$B, INDEX(MVs!$U$2:$Y$4, 2, MATCH(E$21, MVs!$U$2:$Y$2, 0))):INDEX(MVs!$T:$T, INDEX(mvLookupTable, 3, MATCH(E$21, MVs!$U$2:$Y$2, 0))), MATCH(E$2, INDEX(MVs!$B:$B, INDEX(MVs!$U$2:$Y$4, 2, MATCH(E$21, MVs!$U$2:$Y$2, 0))):INDEX(MVs!$B:$B, INDEX(MVs!$U$2:$Y$4, 3, MATCH(E$21, MVs!$U$2:$Y$2, 0))), 0),19)), FALSE, TRUE)</f>
        <v>0</v>
      </c>
      <c r="F7" s="211" t="b">
        <f>IF(ISBLANK(INDEX(INDEX(MVs!$B:$B, INDEX(MVs!$U$2:$Y$4, 2, MATCH(F$21, MVs!$U$2:$Y$2, 0))):INDEX(MVs!$T:$T, INDEX(mvLookupTable, 3, MATCH(F$21, MVs!$U$2:$Y$2, 0))), MATCH(F$2, INDEX(MVs!$B:$B, INDEX(MVs!$U$2:$Y$4, 2, MATCH(F$21, MVs!$U$2:$Y$2, 0))):INDEX(MVs!$B:$B, INDEX(MVs!$U$2:$Y$4, 3, MATCH(F$21, MVs!$U$2:$Y$2, 0))), 0),19)), FALSE, TRUE)</f>
        <v>0</v>
      </c>
      <c r="G7" s="211" t="b">
        <f>IF(ISBLANK(INDEX(INDEX(MVs!$B:$B, INDEX(MVs!$U$2:$Y$4, 2, MATCH(G$21, MVs!$U$2:$Y$2, 0))):INDEX(MVs!$T:$T, INDEX(mvLookupTable, 3, MATCH(G$21, MVs!$U$2:$Y$2, 0))), MATCH(G$2, INDEX(MVs!$B:$B, INDEX(MVs!$U$2:$Y$4, 2, MATCH(G$21, MVs!$U$2:$Y$2, 0))):INDEX(MVs!$B:$B, INDEX(MVs!$U$2:$Y$4, 3, MATCH(G$21, MVs!$U$2:$Y$2, 0))), 0),19)), FALSE, TRUE)</f>
        <v>0</v>
      </c>
      <c r="H7" s="211" t="b">
        <f>IF(ISBLANK(INDEX(INDEX(MVs!$B:$B, INDEX(MVs!$U$2:$Y$4, 2, MATCH(H$21, MVs!$U$2:$Y$2, 0))):INDEX(MVs!$T:$T, INDEX(mvLookupTable, 3, MATCH(H$21, MVs!$U$2:$Y$2, 0))), MATCH(H$2, INDEX(MVs!$B:$B, INDEX(MVs!$U$2:$Y$4, 2, MATCH(H$21, MVs!$U$2:$Y$2, 0))):INDEX(MVs!$B:$B, INDEX(MVs!$U$2:$Y$4, 3, MATCH(H$21, MVs!$U$2:$Y$2, 0))), 0),19)), FALSE, TRUE)</f>
        <v>0</v>
      </c>
      <c r="I7" s="211" t="b">
        <f>IF(ISBLANK(INDEX(INDEX(MVs!$B:$B, INDEX(MVs!$U$2:$Y$4, 2, MATCH(I$21, MVs!$U$2:$Y$2, 0))):INDEX(MVs!$T:$T, INDEX(mvLookupTable, 3, MATCH(I$21, MVs!$U$2:$Y$2, 0))), MATCH(I$2, INDEX(MVs!$B:$B, INDEX(MVs!$U$2:$Y$4, 2, MATCH(I$21, MVs!$U$2:$Y$2, 0))):INDEX(MVs!$B:$B, INDEX(MVs!$U$2:$Y$4, 3, MATCH(I$21, MVs!$U$2:$Y$2, 0))), 0),19)), FALSE, TRUE)</f>
        <v>0</v>
      </c>
      <c r="J7" s="211" t="b">
        <f>IF(ISBLANK(INDEX(INDEX(MVs!$B:$B, INDEX(MVs!$U$2:$Y$4, 2, MATCH(J$21, MVs!$U$2:$Y$2, 0))):INDEX(MVs!$T:$T, INDEX(mvLookupTable, 3, MATCH(J$21, MVs!$U$2:$Y$2, 0))), MATCH(J$2, INDEX(MVs!$B:$B, INDEX(MVs!$U$2:$Y$4, 2, MATCH(J$21, MVs!$U$2:$Y$2, 0))):INDEX(MVs!$B:$B, INDEX(MVs!$U$2:$Y$4, 3, MATCH(J$21, MVs!$U$2:$Y$2, 0))), 0),19)), FALSE, TRUE)</f>
        <v>0</v>
      </c>
      <c r="K7" s="211" t="b">
        <f>IF(ISBLANK(INDEX(INDEX(MVs!$B:$B, INDEX(MVs!$U$2:$Y$4, 2, MATCH(K$21, MVs!$U$2:$Y$2, 0))):INDEX(MVs!$T:$T, INDEX(mvLookupTable, 3, MATCH(K$21, MVs!$U$2:$Y$2, 0))), MATCH(K$2, INDEX(MVs!$B:$B, INDEX(MVs!$U$2:$Y$4, 2, MATCH(K$21, MVs!$U$2:$Y$2, 0))):INDEX(MVs!$B:$B, INDEX(MVs!$U$2:$Y$4, 3, MATCH(K$21, MVs!$U$2:$Y$2, 0))), 0),19)), FALSE, TRUE)</f>
        <v>0</v>
      </c>
      <c r="L7" s="211" t="b">
        <f>IF(ISBLANK(INDEX(INDEX(MVs!$B:$B, INDEX(MVs!$U$2:$Y$4, 2, MATCH(L$21, MVs!$U$2:$Y$2, 0))):INDEX(MVs!$T:$T, INDEX(mvLookupTable, 3, MATCH(L$21, MVs!$U$2:$Y$2, 0))), MATCH(L$2, INDEX(MVs!$B:$B, INDEX(MVs!$U$2:$Y$4, 2, MATCH(L$21, MVs!$U$2:$Y$2, 0))):INDEX(MVs!$B:$B, INDEX(MVs!$U$2:$Y$4, 3, MATCH(L$21, MVs!$U$2:$Y$2, 0))), 0),19)), FALSE, TRUE)</f>
        <v>0</v>
      </c>
      <c r="M7" s="211" t="b">
        <f>IF(ISBLANK(INDEX(INDEX(MVs!$B:$B, INDEX(MVs!$U$2:$Y$4, 2, MATCH(M$21, MVs!$U$2:$Y$2, 0))):INDEX(MVs!$T:$T, INDEX(mvLookupTable, 3, MATCH(M$21, MVs!$U$2:$Y$2, 0))), MATCH(M$2, INDEX(MVs!$B:$B, INDEX(MVs!$U$2:$Y$4, 2, MATCH(M$21, MVs!$U$2:$Y$2, 0))):INDEX(MVs!$B:$B, INDEX(MVs!$U$2:$Y$4, 3, MATCH(M$21, MVs!$U$2:$Y$2, 0))), 0),19)), FALSE, TRUE)</f>
        <v>0</v>
      </c>
      <c r="N7" s="211" t="b">
        <f>IF(ISBLANK(INDEX(INDEX(MVs!$B:$B, INDEX(MVs!$U$2:$Y$4, 2, MATCH(N$21, MVs!$U$2:$Y$2, 0))):INDEX(MVs!$T:$T, INDEX(mvLookupTable, 3, MATCH(N$21, MVs!$U$2:$Y$2, 0))), MATCH(N$2, INDEX(MVs!$B:$B, INDEX(MVs!$U$2:$Y$4, 2, MATCH(N$21, MVs!$U$2:$Y$2, 0))):INDEX(MVs!$B:$B, INDEX(MVs!$U$2:$Y$4, 3, MATCH(N$21, MVs!$U$2:$Y$2, 0))), 0),19)), FALSE, TRUE)</f>
        <v>0</v>
      </c>
      <c r="O7" s="211" t="b">
        <f>IF(ISBLANK(INDEX(INDEX(MVs!$B:$B, INDEX(MVs!$U$2:$Y$4, 2, MATCH(O$21, MVs!$U$2:$Y$2, 0))):INDEX(MVs!$T:$T, INDEX(mvLookupTable, 3, MATCH(O$21, MVs!$U$2:$Y$2, 0))), MATCH(O$2, INDEX(MVs!$B:$B, INDEX(MVs!$U$2:$Y$4, 2, MATCH(O$21, MVs!$U$2:$Y$2, 0))):INDEX(MVs!$B:$B, INDEX(MVs!$U$2:$Y$4, 3, MATCH(O$21, MVs!$U$2:$Y$2, 0))), 0),19)), FALSE, TRUE)</f>
        <v>0</v>
      </c>
      <c r="P7" s="211" t="b">
        <f>IF(ISBLANK(INDEX(INDEX(MVs!$B:$B, INDEX(MVs!$U$2:$Y$4, 2, MATCH(P$21, MVs!$U$2:$Y$2, 0))):INDEX(MVs!$T:$T, INDEX(mvLookupTable, 3, MATCH(P$21, MVs!$U$2:$Y$2, 0))), MATCH(P$2, INDEX(MVs!$B:$B, INDEX(MVs!$U$2:$Y$4, 2, MATCH(P$21, MVs!$U$2:$Y$2, 0))):INDEX(MVs!$B:$B, INDEX(MVs!$U$2:$Y$4, 3, MATCH(P$21, MVs!$U$2:$Y$2, 0))), 0),19)), FALSE, TRUE)</f>
        <v>0</v>
      </c>
      <c r="Q7" s="211" t="b">
        <f>IF(ISBLANK(INDEX(INDEX(MVs!$B:$B, INDEX(MVs!$U$2:$Y$4, 2, MATCH(Q$21, MVs!$U$2:$Y$2, 0))):INDEX(MVs!$T:$T, INDEX(mvLookupTable, 3, MATCH(Q$21, MVs!$U$2:$Y$2, 0))), MATCH(Q$2, INDEX(MVs!$B:$B, INDEX(MVs!$U$2:$Y$4, 2, MATCH(Q$21, MVs!$U$2:$Y$2, 0))):INDEX(MVs!$B:$B, INDEX(MVs!$U$2:$Y$4, 3, MATCH(Q$21, MVs!$U$2:$Y$2, 0))), 0),19)), FALSE, TRUE)</f>
        <v>0</v>
      </c>
      <c r="R7" s="211" t="b">
        <f>IF(ISBLANK(INDEX(INDEX(MVs!$B:$B, INDEX(MVs!$U$2:$Y$4, 2, MATCH(R$21, MVs!$U$2:$Y$2, 0))):INDEX(MVs!$T:$T, INDEX(mvLookupTable, 3, MATCH(R$21, MVs!$U$2:$Y$2, 0))), MATCH(R$2, INDEX(MVs!$B:$B, INDEX(MVs!$U$2:$Y$4, 2, MATCH(R$21, MVs!$U$2:$Y$2, 0))):INDEX(MVs!$B:$B, INDEX(MVs!$U$2:$Y$4, 3, MATCH(R$21, MVs!$U$2:$Y$2, 0))), 0),19)), FALSE, TRUE)</f>
        <v>0</v>
      </c>
      <c r="S7" s="211" t="b">
        <f>IF(ISBLANK(INDEX(INDEX(MVs!$B:$B, INDEX(MVs!$U$2:$Y$4, 2, MATCH(S$21, MVs!$U$2:$Y$2, 0))):INDEX(MVs!$T:$T, INDEX(mvLookupTable, 3, MATCH(S$21, MVs!$U$2:$Y$2, 0))), MATCH(S$2, INDEX(MVs!$B:$B, INDEX(MVs!$U$2:$Y$4, 2, MATCH(S$21, MVs!$U$2:$Y$2, 0))):INDEX(MVs!$B:$B, INDEX(MVs!$U$2:$Y$4, 3, MATCH(S$21, MVs!$U$2:$Y$2, 0))), 0),19)), FALSE, TRUE)</f>
        <v>0</v>
      </c>
      <c r="T7" s="211" t="b">
        <f>IF(ISBLANK(INDEX(INDEX(MVs!$B:$B, INDEX(MVs!$U$2:$Y$4, 2, MATCH(T$21, MVs!$U$2:$Y$2, 0))):INDEX(MVs!$T:$T, INDEX(mvLookupTable, 3, MATCH(T$21, MVs!$U$2:$Y$2, 0))), MATCH(T$2, INDEX(MVs!$B:$B, INDEX(MVs!$U$2:$Y$4, 2, MATCH(T$21, MVs!$U$2:$Y$2, 0))):INDEX(MVs!$B:$B, INDEX(MVs!$U$2:$Y$4, 3, MATCH(T$21, MVs!$U$2:$Y$2, 0))), 0),19)), FALSE, TRUE)</f>
        <v>0</v>
      </c>
      <c r="U7" s="211" t="b">
        <f>IF(ISBLANK(INDEX(INDEX(MVs!$B:$B, INDEX(MVs!$U$2:$Y$4, 2, MATCH(U$21, MVs!$U$2:$Y$2, 0))):INDEX(MVs!$T:$T, INDEX(mvLookupTable, 3, MATCH(U$21, MVs!$U$2:$Y$2, 0))), MATCH(U$2, INDEX(MVs!$B:$B, INDEX(MVs!$U$2:$Y$4, 2, MATCH(U$21, MVs!$U$2:$Y$2, 0))):INDEX(MVs!$B:$B, INDEX(MVs!$U$2:$Y$4, 3, MATCH(U$21, MVs!$U$2:$Y$2, 0))), 0),19)), FALSE, TRUE)</f>
        <v>0</v>
      </c>
      <c r="V7" s="211" t="b">
        <f>IF(ISBLANK(INDEX(INDEX(MVs!$B:$B, INDEX(MVs!$U$2:$Y$4, 2, MATCH(V$21, MVs!$U$2:$Y$2, 0))):INDEX(MVs!$T:$T, INDEX(mvLookupTable, 3, MATCH(V$21, MVs!$U$2:$Y$2, 0))), MATCH(V$2, INDEX(MVs!$B:$B, INDEX(MVs!$U$2:$Y$4, 2, MATCH(V$21, MVs!$U$2:$Y$2, 0))):INDEX(MVs!$B:$B, INDEX(MVs!$U$2:$Y$4, 3, MATCH(V$21, MVs!$U$2:$Y$2, 0))), 0),19)), FALSE, TRUE)</f>
        <v>0</v>
      </c>
      <c r="W7" s="211" t="b">
        <f>IF(ISBLANK(INDEX(INDEX(MVs!$B:$B, INDEX(MVs!$U$2:$Y$4, 2, MATCH(W$21, MVs!$U$2:$Y$2, 0))):INDEX(MVs!$T:$T, INDEX(mvLookupTable, 3, MATCH(W$21, MVs!$U$2:$Y$2, 0))), MATCH(W$2, INDEX(MVs!$B:$B, INDEX(MVs!$U$2:$Y$4, 2, MATCH(W$21, MVs!$U$2:$Y$2, 0))):INDEX(MVs!$B:$B, INDEX(MVs!$U$2:$Y$4, 3, MATCH(W$21, MVs!$U$2:$Y$2, 0))), 0),19)), FALSE, TRUE)</f>
        <v>0</v>
      </c>
      <c r="X7" s="211" t="b">
        <f>IF(ISBLANK(INDEX(INDEX(MVs!$B:$B, INDEX(MVs!$U$2:$Y$4, 2, MATCH(X$21, MVs!$U$2:$Y$2, 0))):INDEX(MVs!$T:$T, INDEX(mvLookupTable, 3, MATCH(X$21, MVs!$U$2:$Y$2, 0))), MATCH(X$2, INDEX(MVs!$B:$B, INDEX(MVs!$U$2:$Y$4, 2, MATCH(X$21, MVs!$U$2:$Y$2, 0))):INDEX(MVs!$B:$B, INDEX(MVs!$U$2:$Y$4, 3, MATCH(X$21, MVs!$U$2:$Y$2, 0))), 0),19)), FALSE, TRUE)</f>
        <v>0</v>
      </c>
      <c r="Y7" s="211" t="b">
        <f>IF(ISBLANK(INDEX(INDEX(MVs!$B:$B, INDEX(MVs!$U$2:$Y$4, 2, MATCH(Y$21, MVs!$U$2:$Y$2, 0))):INDEX(MVs!$T:$T, INDEX(mvLookupTable, 3, MATCH(Y$21, MVs!$U$2:$Y$2, 0))), MATCH(Y$2, INDEX(MVs!$B:$B, INDEX(MVs!$U$2:$Y$4, 2, MATCH(Y$21, MVs!$U$2:$Y$2, 0))):INDEX(MVs!$B:$B, INDEX(MVs!$U$2:$Y$4, 3, MATCH(Y$21, MVs!$U$2:$Y$2, 0))), 0),19)), FALSE, TRUE)</f>
        <v>0</v>
      </c>
      <c r="Z7" s="211" t="b">
        <f>IF(ISBLANK(INDEX(INDEX(MVs!$B:$B, INDEX(MVs!$U$2:$Y$4, 2, MATCH(Z$21, MVs!$U$2:$Y$2, 0))):INDEX(MVs!$T:$T, INDEX(mvLookupTable, 3, MATCH(Z$21, MVs!$U$2:$Y$2, 0))), MATCH(Z$2, INDEX(MVs!$B:$B, INDEX(MVs!$U$2:$Y$4, 2, MATCH(Z$21, MVs!$U$2:$Y$2, 0))):INDEX(MVs!$B:$B, INDEX(MVs!$U$2:$Y$4, 3, MATCH(Z$21, MVs!$U$2:$Y$2, 0))), 0),19)), FALSE, TRUE)</f>
        <v>0</v>
      </c>
      <c r="AA7" s="211" t="b">
        <f>IF(ISBLANK(INDEX(INDEX(MVs!$B:$B, INDEX(MVs!$U$2:$Y$4, 2, MATCH(AA$21, MVs!$U$2:$Y$2, 0))):INDEX(MVs!$T:$T, INDEX(mvLookupTable, 3, MATCH(AA$21, MVs!$U$2:$Y$2, 0))), MATCH(AA$2, INDEX(MVs!$B:$B, INDEX(MVs!$U$2:$Y$4, 2, MATCH(AA$21, MVs!$U$2:$Y$2, 0))):INDEX(MVs!$B:$B, INDEX(MVs!$U$2:$Y$4, 3, MATCH(AA$21, MVs!$U$2:$Y$2, 0))), 0),19)), FALSE, TRUE)</f>
        <v>0</v>
      </c>
      <c r="AB7" s="211" t="b">
        <f>IF(ISBLANK(INDEX(INDEX(MVs!$B:$B, INDEX(MVs!$U$2:$Y$4, 2, MATCH(AB$21, MVs!$U$2:$Y$2, 0))):INDEX(MVs!$T:$T, INDEX(mvLookupTable, 3, MATCH(AB$21, MVs!$U$2:$Y$2, 0))), MATCH(AB$2, INDEX(MVs!$B:$B, INDEX(MVs!$U$2:$Y$4, 2, MATCH(AB$21, MVs!$U$2:$Y$2, 0))):INDEX(MVs!$B:$B, INDEX(MVs!$U$2:$Y$4, 3, MATCH(AB$21, MVs!$U$2:$Y$2, 0))), 0),19)), FALSE, TRUE)</f>
        <v>0</v>
      </c>
      <c r="AC7" s="211" t="b">
        <f>IF(ISBLANK(INDEX(INDEX(MVs!$B:$B, INDEX(MVs!$U$2:$Y$4, 2, MATCH(AC$21, MVs!$U$2:$Y$2, 0))):INDEX(MVs!$T:$T, INDEX(mvLookupTable, 3, MATCH(AC$21, MVs!$U$2:$Y$2, 0))), MATCH(AC$2, INDEX(MVs!$B:$B, INDEX(MVs!$U$2:$Y$4, 2, MATCH(AC$21, MVs!$U$2:$Y$2, 0))):INDEX(MVs!$B:$B, INDEX(MVs!$U$2:$Y$4, 3, MATCH(AC$21, MVs!$U$2:$Y$2, 0))), 0),19)), FALSE, TRUE)</f>
        <v>0</v>
      </c>
      <c r="AD7" s="211" t="b">
        <f>IF(ISBLANK(INDEX(INDEX(MVs!$B:$B, INDEX(MVs!$U$2:$Y$4, 2, MATCH(AD$21, MVs!$U$2:$Y$2, 0))):INDEX(MVs!$T:$T, INDEX(mvLookupTable, 3, MATCH(AD$21, MVs!$U$2:$Y$2, 0))), MATCH(AD$2, INDEX(MVs!$B:$B, INDEX(MVs!$U$2:$Y$4, 2, MATCH(AD$21, MVs!$U$2:$Y$2, 0))):INDEX(MVs!$B:$B, INDEX(MVs!$U$2:$Y$4, 3, MATCH(AD$21, MVs!$U$2:$Y$2, 0))), 0),19)), FALSE, TRUE)</f>
        <v>0</v>
      </c>
      <c r="AE7" s="211" t="b">
        <f>IF(ISBLANK(INDEX(INDEX(MVs!$B:$B, INDEX(MVs!$U$2:$Y$4, 2, MATCH(AE$21, MVs!$U$2:$Y$2, 0))):INDEX(MVs!$T:$T, INDEX(mvLookupTable, 3, MATCH(AE$21, MVs!$U$2:$Y$2, 0))), MATCH(AE$2, INDEX(MVs!$B:$B, INDEX(MVs!$U$2:$Y$4, 2, MATCH(AE$21, MVs!$U$2:$Y$2, 0))):INDEX(MVs!$B:$B, INDEX(MVs!$U$2:$Y$4, 3, MATCH(AE$21, MVs!$U$2:$Y$2, 0))), 0),19)), FALSE, TRUE)</f>
        <v>0</v>
      </c>
      <c r="AF7" s="211" t="b">
        <f>IF(ISBLANK(INDEX(INDEX(MVs!$B:$B, INDEX(MVs!$U$2:$Y$4, 2, MATCH(AF$21, MVs!$U$2:$Y$2, 0))):INDEX(MVs!$T:$T, INDEX(mvLookupTable, 3, MATCH(AF$21, MVs!$U$2:$Y$2, 0))), MATCH(AF$2, INDEX(MVs!$B:$B, INDEX(MVs!$U$2:$Y$4, 2, MATCH(AF$21, MVs!$U$2:$Y$2, 0))):INDEX(MVs!$B:$B, INDEX(MVs!$U$2:$Y$4, 3, MATCH(AF$21, MVs!$U$2:$Y$2, 0))), 0),19)), FALSE, TRUE)</f>
        <v>0</v>
      </c>
      <c r="AG7" s="211" t="b">
        <f>IF(ISBLANK(INDEX(INDEX(MVs!$B:$B, INDEX(MVs!$U$2:$Y$4, 2, MATCH(AG$21, MVs!$U$2:$Y$2, 0))):INDEX(MVs!$T:$T, INDEX(mvLookupTable, 3, MATCH(AG$21, MVs!$U$2:$Y$2, 0))), MATCH(AG$2, INDEX(MVs!$B:$B, INDEX(MVs!$U$2:$Y$4, 2, MATCH(AG$21, MVs!$U$2:$Y$2, 0))):INDEX(MVs!$B:$B, INDEX(MVs!$U$2:$Y$4, 3, MATCH(AG$21, MVs!$U$2:$Y$2, 0))), 0),19)), FALSE, TRUE)</f>
        <v>0</v>
      </c>
      <c r="AH7" s="211" t="b">
        <f>IF(ISBLANK(INDEX(INDEX(MVs!$B:$B, INDEX(MVs!$U$2:$Y$4, 2, MATCH(AH$21, MVs!$U$2:$Y$2, 0))):INDEX(MVs!$T:$T, INDEX(mvLookupTable, 3, MATCH(AH$21, MVs!$U$2:$Y$2, 0))), MATCH(AH$2, INDEX(MVs!$B:$B, INDEX(MVs!$U$2:$Y$4, 2, MATCH(AH$21, MVs!$U$2:$Y$2, 0))):INDEX(MVs!$B:$B, INDEX(MVs!$U$2:$Y$4, 3, MATCH(AH$21, MVs!$U$2:$Y$2, 0))), 0),19)), FALSE, TRUE)</f>
        <v>0</v>
      </c>
      <c r="AI7" s="211" t="b">
        <f>IF(ISBLANK(INDEX(INDEX(MVs!$B:$B, INDEX(MVs!$U$2:$Y$4, 2, MATCH(AI$21, MVs!$U$2:$Y$2, 0))):INDEX(MVs!$T:$T, INDEX(mvLookupTable, 3, MATCH(AI$21, MVs!$U$2:$Y$2, 0))), MATCH(AI$2, INDEX(MVs!$B:$B, INDEX(MVs!$U$2:$Y$4, 2, MATCH(AI$21, MVs!$U$2:$Y$2, 0))):INDEX(MVs!$B:$B, INDEX(MVs!$U$2:$Y$4, 3, MATCH(AI$21, MVs!$U$2:$Y$2, 0))), 0),19)), FALSE, TRUE)</f>
        <v>1</v>
      </c>
      <c r="AJ7" s="211" t="b">
        <f>IF(ISBLANK(INDEX(INDEX(MVs!$B:$B, INDEX(MVs!$U$2:$Y$4, 2, MATCH(AJ$21, MVs!$U$2:$Y$2, 0))):INDEX(MVs!$T:$T, INDEX(mvLookupTable, 3, MATCH(AJ$21, MVs!$U$2:$Y$2, 0))), MATCH(AJ$2, INDEX(MVs!$B:$B, INDEX(MVs!$U$2:$Y$4, 2, MATCH(AJ$21, MVs!$U$2:$Y$2, 0))):INDEX(MVs!$B:$B, INDEX(MVs!$U$2:$Y$4, 3, MATCH(AJ$21, MVs!$U$2:$Y$2, 0))), 0),19)), FALSE, TRUE)</f>
        <v>1</v>
      </c>
    </row>
    <row r="8" spans="1:42" s="211" customFormat="1" hidden="1" outlineLevel="1" x14ac:dyDescent="0.25">
      <c r="A8" s="212" t="s">
        <v>954</v>
      </c>
      <c r="B8" s="211">
        <f>INDEX(INDEX(MVs!$B:$B, INDEX(MVs!$U$2:$Y$4, 2, MATCH(B$21, MVs!$U$2:$Y$2, 0))):INDEX(MVs!$T:$T, INDEX(mvLookupTable, 3, MATCH(B$21, MVs!$U$2:$Y$2, 0))), MATCH(B$2, INDEX(MVs!$B:$B, INDEX(MVs!$U$2:$Y$4, 2, MATCH(B$21, MVs!$U$2:$Y$2, 0))):INDEX(MVs!$B:$B, INDEX(MVs!$U$2:$Y$4, 3, MATCH(B$21, MVs!$U$2:$Y$2, 0))), 0),19)</f>
        <v>0</v>
      </c>
      <c r="C8" s="211">
        <f>INDEX(INDEX(MVs!$B:$B, INDEX(MVs!$U$2:$Y$4, 2, MATCH(C$21, MVs!$U$2:$Y$2, 0))):INDEX(MVs!$T:$T, INDEX(mvLookupTable, 3, MATCH(C$21, MVs!$U$2:$Y$2, 0))), MATCH(C$2, INDEX(MVs!$B:$B, INDEX(MVs!$U$2:$Y$4, 2, MATCH(C$21, MVs!$U$2:$Y$2, 0))):INDEX(MVs!$B:$B, INDEX(MVs!$U$2:$Y$4, 3, MATCH(C$21, MVs!$U$2:$Y$2, 0))), 0),19)</f>
        <v>0</v>
      </c>
      <c r="D8" s="211">
        <f>INDEX(INDEX(MVs!$B:$B, INDEX(MVs!$U$2:$Y$4, 2, MATCH(D$21, MVs!$U$2:$Y$2, 0))):INDEX(MVs!$T:$T, INDEX(mvLookupTable, 3, MATCH(D$21, MVs!$U$2:$Y$2, 0))), MATCH(D$2, INDEX(MVs!$B:$B, INDEX(MVs!$U$2:$Y$4, 2, MATCH(D$21, MVs!$U$2:$Y$2, 0))):INDEX(MVs!$B:$B, INDEX(MVs!$U$2:$Y$4, 3, MATCH(D$21, MVs!$U$2:$Y$2, 0))), 0),19)</f>
        <v>0</v>
      </c>
      <c r="E8" s="211">
        <f>INDEX(INDEX(MVs!$B:$B, INDEX(MVs!$U$2:$Y$4, 2, MATCH(E$21, MVs!$U$2:$Y$2, 0))):INDEX(MVs!$T:$T, INDEX(mvLookupTable, 3, MATCH(E$21, MVs!$U$2:$Y$2, 0))), MATCH(E$2, INDEX(MVs!$B:$B, INDEX(MVs!$U$2:$Y$4, 2, MATCH(E$21, MVs!$U$2:$Y$2, 0))):INDEX(MVs!$B:$B, INDEX(MVs!$U$2:$Y$4, 3, MATCH(E$21, MVs!$U$2:$Y$2, 0))), 0),19)</f>
        <v>0</v>
      </c>
      <c r="F8" s="211">
        <f>INDEX(INDEX(MVs!$B:$B, INDEX(MVs!$U$2:$Y$4, 2, MATCH(F$21, MVs!$U$2:$Y$2, 0))):INDEX(MVs!$T:$T, INDEX(mvLookupTable, 3, MATCH(F$21, MVs!$U$2:$Y$2, 0))), MATCH(F$2, INDEX(MVs!$B:$B, INDEX(MVs!$U$2:$Y$4, 2, MATCH(F$21, MVs!$U$2:$Y$2, 0))):INDEX(MVs!$B:$B, INDEX(MVs!$U$2:$Y$4, 3, MATCH(F$21, MVs!$U$2:$Y$2, 0))), 0),19)</f>
        <v>0</v>
      </c>
      <c r="G8" s="211">
        <f>INDEX(INDEX(MVs!$B:$B, INDEX(MVs!$U$2:$Y$4, 2, MATCH(G$21, MVs!$U$2:$Y$2, 0))):INDEX(MVs!$T:$T, INDEX(mvLookupTable, 3, MATCH(G$21, MVs!$U$2:$Y$2, 0))), MATCH(G$2, INDEX(MVs!$B:$B, INDEX(MVs!$U$2:$Y$4, 2, MATCH(G$21, MVs!$U$2:$Y$2, 0))):INDEX(MVs!$B:$B, INDEX(MVs!$U$2:$Y$4, 3, MATCH(G$21, MVs!$U$2:$Y$2, 0))), 0),19)</f>
        <v>0</v>
      </c>
      <c r="H8" s="211">
        <f>INDEX(INDEX(MVs!$B:$B, INDEX(MVs!$U$2:$Y$4, 2, MATCH(H$21, MVs!$U$2:$Y$2, 0))):INDEX(MVs!$T:$T, INDEX(mvLookupTable, 3, MATCH(H$21, MVs!$U$2:$Y$2, 0))), MATCH(H$2, INDEX(MVs!$B:$B, INDEX(MVs!$U$2:$Y$4, 2, MATCH(H$21, MVs!$U$2:$Y$2, 0))):INDEX(MVs!$B:$B, INDEX(MVs!$U$2:$Y$4, 3, MATCH(H$21, MVs!$U$2:$Y$2, 0))), 0),19)</f>
        <v>0</v>
      </c>
      <c r="I8" s="211">
        <f>INDEX(INDEX(MVs!$B:$B, INDEX(MVs!$U$2:$Y$4, 2, MATCH(I$21, MVs!$U$2:$Y$2, 0))):INDEX(MVs!$T:$T, INDEX(mvLookupTable, 3, MATCH(I$21, MVs!$U$2:$Y$2, 0))), MATCH(I$2, INDEX(MVs!$B:$B, INDEX(MVs!$U$2:$Y$4, 2, MATCH(I$21, MVs!$U$2:$Y$2, 0))):INDEX(MVs!$B:$B, INDEX(MVs!$U$2:$Y$4, 3, MATCH(I$21, MVs!$U$2:$Y$2, 0))), 0),19)</f>
        <v>0</v>
      </c>
      <c r="J8" s="211">
        <f>INDEX(INDEX(MVs!$B:$B, INDEX(MVs!$U$2:$Y$4, 2, MATCH(J$21, MVs!$U$2:$Y$2, 0))):INDEX(MVs!$T:$T, INDEX(mvLookupTable, 3, MATCH(J$21, MVs!$U$2:$Y$2, 0))), MATCH(J$2, INDEX(MVs!$B:$B, INDEX(MVs!$U$2:$Y$4, 2, MATCH(J$21, MVs!$U$2:$Y$2, 0))):INDEX(MVs!$B:$B, INDEX(MVs!$U$2:$Y$4, 3, MATCH(J$21, MVs!$U$2:$Y$2, 0))), 0),19)</f>
        <v>0</v>
      </c>
      <c r="K8" s="211">
        <f>INDEX(INDEX(MVs!$B:$B, INDEX(MVs!$U$2:$Y$4, 2, MATCH(K$21, MVs!$U$2:$Y$2, 0))):INDEX(MVs!$T:$T, INDEX(mvLookupTable, 3, MATCH(K$21, MVs!$U$2:$Y$2, 0))), MATCH(K$2, INDEX(MVs!$B:$B, INDEX(MVs!$U$2:$Y$4, 2, MATCH(K$21, MVs!$U$2:$Y$2, 0))):INDEX(MVs!$B:$B, INDEX(MVs!$U$2:$Y$4, 3, MATCH(K$21, MVs!$U$2:$Y$2, 0))), 0),19)</f>
        <v>0</v>
      </c>
      <c r="L8" s="211">
        <f>INDEX(INDEX(MVs!$B:$B, INDEX(MVs!$U$2:$Y$4, 2, MATCH(L$21, MVs!$U$2:$Y$2, 0))):INDEX(MVs!$T:$T, INDEX(mvLookupTable, 3, MATCH(L$21, MVs!$U$2:$Y$2, 0))), MATCH(L$2, INDEX(MVs!$B:$B, INDEX(MVs!$U$2:$Y$4, 2, MATCH(L$21, MVs!$U$2:$Y$2, 0))):INDEX(MVs!$B:$B, INDEX(MVs!$U$2:$Y$4, 3, MATCH(L$21, MVs!$U$2:$Y$2, 0))), 0),19)</f>
        <v>0</v>
      </c>
      <c r="M8" s="211">
        <f>INDEX(INDEX(MVs!$B:$B, INDEX(MVs!$U$2:$Y$4, 2, MATCH(M$21, MVs!$U$2:$Y$2, 0))):INDEX(MVs!$T:$T, INDEX(mvLookupTable, 3, MATCH(M$21, MVs!$U$2:$Y$2, 0))), MATCH(M$2, INDEX(MVs!$B:$B, INDEX(MVs!$U$2:$Y$4, 2, MATCH(M$21, MVs!$U$2:$Y$2, 0))):INDEX(MVs!$B:$B, INDEX(MVs!$U$2:$Y$4, 3, MATCH(M$21, MVs!$U$2:$Y$2, 0))), 0),19)</f>
        <v>0</v>
      </c>
      <c r="N8" s="211">
        <f>INDEX(INDEX(MVs!$B:$B, INDEX(MVs!$U$2:$Y$4, 2, MATCH(N$21, MVs!$U$2:$Y$2, 0))):INDEX(MVs!$T:$T, INDEX(mvLookupTable, 3, MATCH(N$21, MVs!$U$2:$Y$2, 0))), MATCH(N$2, INDEX(MVs!$B:$B, INDEX(MVs!$U$2:$Y$4, 2, MATCH(N$21, MVs!$U$2:$Y$2, 0))):INDEX(MVs!$B:$B, INDEX(MVs!$U$2:$Y$4, 3, MATCH(N$21, MVs!$U$2:$Y$2, 0))), 0),19)</f>
        <v>0</v>
      </c>
      <c r="O8" s="211">
        <f>INDEX(INDEX(MVs!$B:$B, INDEX(MVs!$U$2:$Y$4, 2, MATCH(O$21, MVs!$U$2:$Y$2, 0))):INDEX(MVs!$T:$T, INDEX(mvLookupTable, 3, MATCH(O$21, MVs!$U$2:$Y$2, 0))), MATCH(O$2, INDEX(MVs!$B:$B, INDEX(MVs!$U$2:$Y$4, 2, MATCH(O$21, MVs!$U$2:$Y$2, 0))):INDEX(MVs!$B:$B, INDEX(MVs!$U$2:$Y$4, 3, MATCH(O$21, MVs!$U$2:$Y$2, 0))), 0),19)</f>
        <v>0</v>
      </c>
      <c r="P8" s="211">
        <f>INDEX(INDEX(MVs!$B:$B, INDEX(MVs!$U$2:$Y$4, 2, MATCH(P$21, MVs!$U$2:$Y$2, 0))):INDEX(MVs!$T:$T, INDEX(mvLookupTable, 3, MATCH(P$21, MVs!$U$2:$Y$2, 0))), MATCH(P$2, INDEX(MVs!$B:$B, INDEX(MVs!$U$2:$Y$4, 2, MATCH(P$21, MVs!$U$2:$Y$2, 0))):INDEX(MVs!$B:$B, INDEX(MVs!$U$2:$Y$4, 3, MATCH(P$21, MVs!$U$2:$Y$2, 0))), 0),19)</f>
        <v>0</v>
      </c>
      <c r="Q8" s="211">
        <f>INDEX(INDEX(MVs!$B:$B, INDEX(MVs!$U$2:$Y$4, 2, MATCH(Q$21, MVs!$U$2:$Y$2, 0))):INDEX(MVs!$T:$T, INDEX(mvLookupTable, 3, MATCH(Q$21, MVs!$U$2:$Y$2, 0))), MATCH(Q$2, INDEX(MVs!$B:$B, INDEX(MVs!$U$2:$Y$4, 2, MATCH(Q$21, MVs!$U$2:$Y$2, 0))):INDEX(MVs!$B:$B, INDEX(MVs!$U$2:$Y$4, 3, MATCH(Q$21, MVs!$U$2:$Y$2, 0))), 0),19)</f>
        <v>0</v>
      </c>
      <c r="R8" s="211">
        <f>INDEX(INDEX(MVs!$B:$B, INDEX(MVs!$U$2:$Y$4, 2, MATCH(R$21, MVs!$U$2:$Y$2, 0))):INDEX(MVs!$T:$T, INDEX(mvLookupTable, 3, MATCH(R$21, MVs!$U$2:$Y$2, 0))), MATCH(R$2, INDEX(MVs!$B:$B, INDEX(MVs!$U$2:$Y$4, 2, MATCH(R$21, MVs!$U$2:$Y$2, 0))):INDEX(MVs!$B:$B, INDEX(MVs!$U$2:$Y$4, 3, MATCH(R$21, MVs!$U$2:$Y$2, 0))), 0),19)</f>
        <v>0</v>
      </c>
      <c r="S8" s="211">
        <f>INDEX(INDEX(MVs!$B:$B, INDEX(MVs!$U$2:$Y$4, 2, MATCH(S$21, MVs!$U$2:$Y$2, 0))):INDEX(MVs!$T:$T, INDEX(mvLookupTable, 3, MATCH(S$21, MVs!$U$2:$Y$2, 0))), MATCH(S$2, INDEX(MVs!$B:$B, INDEX(MVs!$U$2:$Y$4, 2, MATCH(S$21, MVs!$U$2:$Y$2, 0))):INDEX(MVs!$B:$B, INDEX(MVs!$U$2:$Y$4, 3, MATCH(S$21, MVs!$U$2:$Y$2, 0))), 0),19)</f>
        <v>0</v>
      </c>
      <c r="T8" s="211">
        <f>INDEX(INDEX(MVs!$B:$B, INDEX(MVs!$U$2:$Y$4, 2, MATCH(T$21, MVs!$U$2:$Y$2, 0))):INDEX(MVs!$T:$T, INDEX(mvLookupTable, 3, MATCH(T$21, MVs!$U$2:$Y$2, 0))), MATCH(T$2, INDEX(MVs!$B:$B, INDEX(MVs!$U$2:$Y$4, 2, MATCH(T$21, MVs!$U$2:$Y$2, 0))):INDEX(MVs!$B:$B, INDEX(MVs!$U$2:$Y$4, 3, MATCH(T$21, MVs!$U$2:$Y$2, 0))), 0),19)</f>
        <v>0</v>
      </c>
      <c r="U8" s="211">
        <f>INDEX(INDEX(MVs!$B:$B, INDEX(MVs!$U$2:$Y$4, 2, MATCH(U$21, MVs!$U$2:$Y$2, 0))):INDEX(MVs!$T:$T, INDEX(mvLookupTable, 3, MATCH(U$21, MVs!$U$2:$Y$2, 0))), MATCH(U$2, INDEX(MVs!$B:$B, INDEX(MVs!$U$2:$Y$4, 2, MATCH(U$21, MVs!$U$2:$Y$2, 0))):INDEX(MVs!$B:$B, INDEX(MVs!$U$2:$Y$4, 3, MATCH(U$21, MVs!$U$2:$Y$2, 0))), 0),19)</f>
        <v>0</v>
      </c>
      <c r="V8" s="211">
        <f>INDEX(INDEX(MVs!$B:$B, INDEX(MVs!$U$2:$Y$4, 2, MATCH(V$21, MVs!$U$2:$Y$2, 0))):INDEX(MVs!$T:$T, INDEX(mvLookupTable, 3, MATCH(V$21, MVs!$U$2:$Y$2, 0))), MATCH(V$2, INDEX(MVs!$B:$B, INDEX(MVs!$U$2:$Y$4, 2, MATCH(V$21, MVs!$U$2:$Y$2, 0))):INDEX(MVs!$B:$B, INDEX(MVs!$U$2:$Y$4, 3, MATCH(V$21, MVs!$U$2:$Y$2, 0))), 0),19)</f>
        <v>0</v>
      </c>
      <c r="W8" s="211">
        <f>INDEX(INDEX(MVs!$B:$B, INDEX(MVs!$U$2:$Y$4, 2, MATCH(W$21, MVs!$U$2:$Y$2, 0))):INDEX(MVs!$T:$T, INDEX(mvLookupTable, 3, MATCH(W$21, MVs!$U$2:$Y$2, 0))), MATCH(W$2, INDEX(MVs!$B:$B, INDEX(MVs!$U$2:$Y$4, 2, MATCH(W$21, MVs!$U$2:$Y$2, 0))):INDEX(MVs!$B:$B, INDEX(MVs!$U$2:$Y$4, 3, MATCH(W$21, MVs!$U$2:$Y$2, 0))), 0),19)</f>
        <v>0</v>
      </c>
      <c r="X8" s="211">
        <f>INDEX(INDEX(MVs!$B:$B, INDEX(MVs!$U$2:$Y$4, 2, MATCH(X$21, MVs!$U$2:$Y$2, 0))):INDEX(MVs!$T:$T, INDEX(mvLookupTable, 3, MATCH(X$21, MVs!$U$2:$Y$2, 0))), MATCH(X$2, INDEX(MVs!$B:$B, INDEX(MVs!$U$2:$Y$4, 2, MATCH(X$21, MVs!$U$2:$Y$2, 0))):INDEX(MVs!$B:$B, INDEX(MVs!$U$2:$Y$4, 3, MATCH(X$21, MVs!$U$2:$Y$2, 0))), 0),19)</f>
        <v>0</v>
      </c>
      <c r="Y8" s="211">
        <f>INDEX(INDEX(MVs!$B:$B, INDEX(MVs!$U$2:$Y$4, 2, MATCH(Y$21, MVs!$U$2:$Y$2, 0))):INDEX(MVs!$T:$T, INDEX(mvLookupTable, 3, MATCH(Y$21, MVs!$U$2:$Y$2, 0))), MATCH(Y$2, INDEX(MVs!$B:$B, INDEX(MVs!$U$2:$Y$4, 2, MATCH(Y$21, MVs!$U$2:$Y$2, 0))):INDEX(MVs!$B:$B, INDEX(MVs!$U$2:$Y$4, 3, MATCH(Y$21, MVs!$U$2:$Y$2, 0))), 0),19)</f>
        <v>0</v>
      </c>
      <c r="Z8" s="211">
        <f>INDEX(INDEX(MVs!$B:$B, INDEX(MVs!$U$2:$Y$4, 2, MATCH(Z$21, MVs!$U$2:$Y$2, 0))):INDEX(MVs!$T:$T, INDEX(mvLookupTable, 3, MATCH(Z$21, MVs!$U$2:$Y$2, 0))), MATCH(Z$2, INDEX(MVs!$B:$B, INDEX(MVs!$U$2:$Y$4, 2, MATCH(Z$21, MVs!$U$2:$Y$2, 0))):INDEX(MVs!$B:$B, INDEX(MVs!$U$2:$Y$4, 3, MATCH(Z$21, MVs!$U$2:$Y$2, 0))), 0),19)</f>
        <v>0</v>
      </c>
      <c r="AA8" s="211">
        <f>INDEX(INDEX(MVs!$B:$B, INDEX(MVs!$U$2:$Y$4, 2, MATCH(AA$21, MVs!$U$2:$Y$2, 0))):INDEX(MVs!$T:$T, INDEX(mvLookupTable, 3, MATCH(AA$21, MVs!$U$2:$Y$2, 0))), MATCH(AA$2, INDEX(MVs!$B:$B, INDEX(MVs!$U$2:$Y$4, 2, MATCH(AA$21, MVs!$U$2:$Y$2, 0))):INDEX(MVs!$B:$B, INDEX(MVs!$U$2:$Y$4, 3, MATCH(AA$21, MVs!$U$2:$Y$2, 0))), 0),19)</f>
        <v>0</v>
      </c>
      <c r="AB8" s="211">
        <f>INDEX(INDEX(MVs!$B:$B, INDEX(MVs!$U$2:$Y$4, 2, MATCH(AB$21, MVs!$U$2:$Y$2, 0))):INDEX(MVs!$T:$T, INDEX(mvLookupTable, 3, MATCH(AB$21, MVs!$U$2:$Y$2, 0))), MATCH(AB$2, INDEX(MVs!$B:$B, INDEX(MVs!$U$2:$Y$4, 2, MATCH(AB$21, MVs!$U$2:$Y$2, 0))):INDEX(MVs!$B:$B, INDEX(MVs!$U$2:$Y$4, 3, MATCH(AB$21, MVs!$U$2:$Y$2, 0))), 0),19)</f>
        <v>0</v>
      </c>
      <c r="AC8" s="211">
        <f>INDEX(INDEX(MVs!$B:$B, INDEX(MVs!$U$2:$Y$4, 2, MATCH(AC$21, MVs!$U$2:$Y$2, 0))):INDEX(MVs!$T:$T, INDEX(mvLookupTable, 3, MATCH(AC$21, MVs!$U$2:$Y$2, 0))), MATCH(AC$2, INDEX(MVs!$B:$B, INDEX(MVs!$U$2:$Y$4, 2, MATCH(AC$21, MVs!$U$2:$Y$2, 0))):INDEX(MVs!$B:$B, INDEX(MVs!$U$2:$Y$4, 3, MATCH(AC$21, MVs!$U$2:$Y$2, 0))), 0),19)</f>
        <v>0</v>
      </c>
      <c r="AD8" s="211">
        <f>INDEX(INDEX(MVs!$B:$B, INDEX(MVs!$U$2:$Y$4, 2, MATCH(AD$21, MVs!$U$2:$Y$2, 0))):INDEX(MVs!$T:$T, INDEX(mvLookupTable, 3, MATCH(AD$21, MVs!$U$2:$Y$2, 0))), MATCH(AD$2, INDEX(MVs!$B:$B, INDEX(MVs!$U$2:$Y$4, 2, MATCH(AD$21, MVs!$U$2:$Y$2, 0))):INDEX(MVs!$B:$B, INDEX(MVs!$U$2:$Y$4, 3, MATCH(AD$21, MVs!$U$2:$Y$2, 0))), 0),19)</f>
        <v>0</v>
      </c>
      <c r="AE8" s="211">
        <f>INDEX(INDEX(MVs!$B:$B, INDEX(MVs!$U$2:$Y$4, 2, MATCH(AE$21, MVs!$U$2:$Y$2, 0))):INDEX(MVs!$T:$T, INDEX(mvLookupTable, 3, MATCH(AE$21, MVs!$U$2:$Y$2, 0))), MATCH(AE$2, INDEX(MVs!$B:$B, INDEX(MVs!$U$2:$Y$4, 2, MATCH(AE$21, MVs!$U$2:$Y$2, 0))):INDEX(MVs!$B:$B, INDEX(MVs!$U$2:$Y$4, 3, MATCH(AE$21, MVs!$U$2:$Y$2, 0))), 0),19)</f>
        <v>0</v>
      </c>
      <c r="AF8" s="211">
        <f>INDEX(INDEX(MVs!$B:$B, INDEX(MVs!$U$2:$Y$4, 2, MATCH(AF$21, MVs!$U$2:$Y$2, 0))):INDEX(MVs!$T:$T, INDEX(mvLookupTable, 3, MATCH(AF$21, MVs!$U$2:$Y$2, 0))), MATCH(AF$2, INDEX(MVs!$B:$B, INDEX(MVs!$U$2:$Y$4, 2, MATCH(AF$21, MVs!$U$2:$Y$2, 0))):INDEX(MVs!$B:$B, INDEX(MVs!$U$2:$Y$4, 3, MATCH(AF$21, MVs!$U$2:$Y$2, 0))), 0),19)</f>
        <v>0</v>
      </c>
      <c r="AG8" s="211">
        <f>INDEX(INDEX(MVs!$B:$B, INDEX(MVs!$U$2:$Y$4, 2, MATCH(AG$21, MVs!$U$2:$Y$2, 0))):INDEX(MVs!$T:$T, INDEX(mvLookupTable, 3, MATCH(AG$21, MVs!$U$2:$Y$2, 0))), MATCH(AG$2, INDEX(MVs!$B:$B, INDEX(MVs!$U$2:$Y$4, 2, MATCH(AG$21, MVs!$U$2:$Y$2, 0))):INDEX(MVs!$B:$B, INDEX(MVs!$U$2:$Y$4, 3, MATCH(AG$21, MVs!$U$2:$Y$2, 0))), 0),19)</f>
        <v>0</v>
      </c>
      <c r="AH8" s="211">
        <f>INDEX(INDEX(MVs!$B:$B, INDEX(MVs!$U$2:$Y$4, 2, MATCH(AH$21, MVs!$U$2:$Y$2, 0))):INDEX(MVs!$T:$T, INDEX(mvLookupTable, 3, MATCH(AH$21, MVs!$U$2:$Y$2, 0))), MATCH(AH$2, INDEX(MVs!$B:$B, INDEX(MVs!$U$2:$Y$4, 2, MATCH(AH$21, MVs!$U$2:$Y$2, 0))):INDEX(MVs!$B:$B, INDEX(MVs!$U$2:$Y$4, 3, MATCH(AH$21, MVs!$U$2:$Y$2, 0))), 0),19)</f>
        <v>0</v>
      </c>
      <c r="AI8" s="211" t="str">
        <f>INDEX(INDEX(MVs!$B:$B, INDEX(MVs!$U$2:$Y$4, 2, MATCH(AI$21, MVs!$U$2:$Y$2, 0))):INDEX(MVs!$T:$T, INDEX(mvLookupTable, 3, MATCH(AI$21, MVs!$U$2:$Y$2, 0))), MATCH(AI$2, INDEX(MVs!$B:$B, INDEX(MVs!$U$2:$Y$4, 2, MATCH(AI$21, MVs!$U$2:$Y$2, 0))):INDEX(MVs!$B:$B, INDEX(MVs!$U$2:$Y$4, 3, MATCH(AI$21, MVs!$U$2:$Y$2, 0))), 0),19)</f>
        <v>Percentage</v>
      </c>
      <c r="AJ8" s="211" t="str">
        <f>INDEX(INDEX(MVs!$B:$B, INDEX(MVs!$U$2:$Y$4, 2, MATCH(AJ$21, MVs!$U$2:$Y$2, 0))):INDEX(MVs!$T:$T, INDEX(mvLookupTable, 3, MATCH(AJ$21, MVs!$U$2:$Y$2, 0))), MATCH(AJ$2, INDEX(MVs!$B:$B, INDEX(MVs!$U$2:$Y$4, 2, MATCH(AJ$21, MVs!$U$2:$Y$2, 0))):INDEX(MVs!$B:$B, INDEX(MVs!$U$2:$Y$4, 3, MATCH(AJ$21, MVs!$U$2:$Y$2, 0))), 0),19)</f>
        <v>Flat</v>
      </c>
    </row>
    <row r="9" spans="1:42" s="211" customFormat="1" collapsed="1" x14ac:dyDescent="0.25">
      <c r="A9" s="42" t="s">
        <v>625</v>
      </c>
      <c r="B9" s="211">
        <f>IFERROR(INDEX('Data Val'!$O$29:$V$33, MATCH('Rotation Assembler'!B$21, 'Data Val'!$O$29:$O$33, 0), MATCH('Rotation Assembler'!B3, 'Data Val'!$O$29:$V$29, 0)),0)</f>
        <v>9</v>
      </c>
      <c r="C9" s="211">
        <f>IFERROR(INDEX('Data Val'!$O$29:$V$33, MATCH('Rotation Assembler'!C$21, 'Data Val'!$O$29:$O$33, 0), MATCH('Rotation Assembler'!C3, 'Data Val'!$O$29:$V$29, 0)),0)</f>
        <v>9</v>
      </c>
      <c r="D9" s="211">
        <f>IFERROR(INDEX('Data Val'!$O$29:$V$33, MATCH('Rotation Assembler'!D$21, 'Data Val'!$O$29:$O$33, 0), MATCH('Rotation Assembler'!D3, 'Data Val'!$O$29:$V$29, 0)),0)</f>
        <v>9</v>
      </c>
      <c r="E9" s="211">
        <f>IFERROR(INDEX('Data Val'!$O$29:$V$33, MATCH('Rotation Assembler'!E$21, 'Data Val'!$O$29:$O$33, 0), MATCH('Rotation Assembler'!E3, 'Data Val'!$O$29:$V$29, 0)),0)</f>
        <v>0</v>
      </c>
      <c r="F9" s="211">
        <f>IFERROR(INDEX('Data Val'!$O$29:$V$33, MATCH('Rotation Assembler'!F$21, 'Data Val'!$O$29:$O$33, 0), MATCH('Rotation Assembler'!F3, 'Data Val'!$O$29:$V$29, 0)),0)</f>
        <v>12</v>
      </c>
      <c r="G9" s="211">
        <f>IFERROR(INDEX('Data Val'!$O$29:$V$33, MATCH('Rotation Assembler'!G$21, 'Data Val'!$O$29:$O$33, 0), MATCH('Rotation Assembler'!G3, 'Data Val'!$O$29:$V$29, 0)),0)</f>
        <v>12</v>
      </c>
      <c r="H9" s="211">
        <f>IFERROR(INDEX('Data Val'!$O$29:$V$33, MATCH('Rotation Assembler'!H$21, 'Data Val'!$O$29:$O$33, 0), MATCH('Rotation Assembler'!H3, 'Data Val'!$O$29:$V$29, 0)),0)</f>
        <v>12</v>
      </c>
      <c r="I9" s="211">
        <f>IFERROR(INDEX('Data Val'!$O$29:$V$33, MATCH('Rotation Assembler'!I$21, 'Data Val'!$O$29:$O$33, 0), MATCH('Rotation Assembler'!I3, 'Data Val'!$O$29:$V$29, 0)),0)</f>
        <v>0</v>
      </c>
      <c r="J9" s="211">
        <f>IFERROR(INDEX('Data Val'!$O$29:$V$33, MATCH('Rotation Assembler'!J$21, 'Data Val'!$O$29:$O$33, 0), MATCH('Rotation Assembler'!J3, 'Data Val'!$O$29:$V$29, 0)),0)</f>
        <v>12</v>
      </c>
      <c r="K9" s="211">
        <f>IFERROR(INDEX('Data Val'!$O$29:$V$33, MATCH('Rotation Assembler'!K$21, 'Data Val'!$O$29:$O$33, 0), MATCH('Rotation Assembler'!K3, 'Data Val'!$O$29:$V$29, 0)),0)</f>
        <v>0</v>
      </c>
      <c r="L9" s="211">
        <f>IFERROR(INDEX('Data Val'!$O$29:$V$33, MATCH('Rotation Assembler'!L$21, 'Data Val'!$O$29:$O$33, 0), MATCH('Rotation Assembler'!L3, 'Data Val'!$O$29:$V$29, 0)),0)</f>
        <v>12</v>
      </c>
      <c r="M9" s="211">
        <f>IFERROR(INDEX('Data Val'!$O$29:$V$33, MATCH('Rotation Assembler'!M$21, 'Data Val'!$O$29:$O$33, 0), MATCH('Rotation Assembler'!M3, 'Data Val'!$O$29:$V$29, 0)),0)</f>
        <v>10</v>
      </c>
      <c r="N9" s="211">
        <f>IFERROR(INDEX('Data Val'!$O$29:$V$33, MATCH('Rotation Assembler'!N$21, 'Data Val'!$O$29:$O$33, 0), MATCH('Rotation Assembler'!N3, 'Data Val'!$O$29:$V$29, 0)),0)</f>
        <v>10</v>
      </c>
      <c r="O9" s="211">
        <f>IFERROR(INDEX('Data Val'!$O$29:$V$33, MATCH('Rotation Assembler'!O$21, 'Data Val'!$O$29:$O$33, 0), MATCH('Rotation Assembler'!O3, 'Data Val'!$O$29:$V$29, 0)),0)</f>
        <v>0</v>
      </c>
      <c r="P9" s="211">
        <f>IFERROR(INDEX('Data Val'!$O$29:$V$33, MATCH('Rotation Assembler'!P$21, 'Data Val'!$O$29:$O$33, 0), MATCH('Rotation Assembler'!P3, 'Data Val'!$O$29:$V$29, 0)),0)</f>
        <v>12</v>
      </c>
      <c r="Q9" s="211">
        <f>IFERROR(INDEX('Data Val'!$O$29:$V$33, MATCH('Rotation Assembler'!Q$21, 'Data Val'!$O$29:$O$33, 0), MATCH('Rotation Assembler'!Q3, 'Data Val'!$O$29:$V$29, 0)),0)</f>
        <v>12</v>
      </c>
      <c r="R9" s="211">
        <f>IFERROR(INDEX('Data Val'!$O$29:$V$33, MATCH('Rotation Assembler'!R$21, 'Data Val'!$O$29:$O$33, 0), MATCH('Rotation Assembler'!R3, 'Data Val'!$O$29:$V$29, 0)),0)</f>
        <v>12</v>
      </c>
      <c r="S9" s="211">
        <f>IFERROR(INDEX('Data Val'!$O$29:$V$33, MATCH('Rotation Assembler'!S$21, 'Data Val'!$O$29:$O$33, 0), MATCH('Rotation Assembler'!S3, 'Data Val'!$O$29:$V$29, 0)),0)</f>
        <v>12</v>
      </c>
      <c r="T9" s="211">
        <f>IFERROR(INDEX('Data Val'!$O$29:$V$33, MATCH('Rotation Assembler'!T$21, 'Data Val'!$O$29:$O$33, 0), MATCH('Rotation Assembler'!T3, 'Data Val'!$O$29:$V$29, 0)),0)</f>
        <v>12</v>
      </c>
      <c r="U9" s="211">
        <f>IFERROR(INDEX('Data Val'!$O$29:$V$33, MATCH('Rotation Assembler'!U$21, 'Data Val'!$O$29:$O$33, 0), MATCH('Rotation Assembler'!U3, 'Data Val'!$O$29:$V$29, 0)),0)</f>
        <v>12</v>
      </c>
      <c r="V9" s="211">
        <f>IFERROR(INDEX('Data Val'!$O$29:$V$33, MATCH('Rotation Assembler'!V$21, 'Data Val'!$O$29:$O$33, 0), MATCH('Rotation Assembler'!V3, 'Data Val'!$O$29:$V$29, 0)),0)</f>
        <v>12</v>
      </c>
      <c r="W9" s="211">
        <f>IFERROR(INDEX('Data Val'!$O$29:$V$33, MATCH('Rotation Assembler'!W$21, 'Data Val'!$O$29:$O$33, 0), MATCH('Rotation Assembler'!W3, 'Data Val'!$O$29:$V$29, 0)),0)</f>
        <v>0</v>
      </c>
      <c r="X9" s="211">
        <f>IFERROR(INDEX('Data Val'!$O$29:$V$33, MATCH('Rotation Assembler'!X$21, 'Data Val'!$O$29:$O$33, 0), MATCH('Rotation Assembler'!X3, 'Data Val'!$O$29:$V$29, 0)),0)</f>
        <v>9</v>
      </c>
      <c r="Y9" s="211">
        <f>IFERROR(INDEX('Data Val'!$O$29:$V$33, MATCH('Rotation Assembler'!Y$21, 'Data Val'!$O$29:$O$33, 0), MATCH('Rotation Assembler'!Y3, 'Data Val'!$O$29:$V$29, 0)),0)</f>
        <v>9</v>
      </c>
      <c r="Z9" s="211">
        <f>IFERROR(INDEX('Data Val'!$O$29:$V$33, MATCH('Rotation Assembler'!Z$21, 'Data Val'!$O$29:$O$33, 0), MATCH('Rotation Assembler'!Z3, 'Data Val'!$O$29:$V$29, 0)),0)</f>
        <v>9</v>
      </c>
      <c r="AA9" s="211">
        <f>IFERROR(INDEX('Data Val'!$O$29:$V$33, MATCH('Rotation Assembler'!AA$21, 'Data Val'!$O$29:$O$33, 0), MATCH('Rotation Assembler'!AA3, 'Data Val'!$O$29:$V$29, 0)),0)</f>
        <v>9</v>
      </c>
      <c r="AB9" s="211">
        <f>IFERROR(INDEX('Data Val'!$O$29:$V$33, MATCH('Rotation Assembler'!AB$21, 'Data Val'!$O$29:$O$33, 0), MATCH('Rotation Assembler'!AB3, 'Data Val'!$O$29:$V$29, 0)),0)</f>
        <v>9</v>
      </c>
      <c r="AC9" s="211">
        <f>IFERROR(INDEX('Data Val'!$O$29:$V$33, MATCH('Rotation Assembler'!AC$21, 'Data Val'!$O$29:$O$33, 0), MATCH('Rotation Assembler'!AC3, 'Data Val'!$O$29:$V$29, 0)),0)</f>
        <v>9</v>
      </c>
      <c r="AD9" s="211">
        <f>IFERROR(INDEX('Data Val'!$O$29:$V$33, MATCH('Rotation Assembler'!AD$21, 'Data Val'!$O$29:$O$33, 0), MATCH('Rotation Assembler'!AD3, 'Data Val'!$O$29:$V$29, 0)),0)</f>
        <v>9</v>
      </c>
      <c r="AE9" s="211">
        <f>IFERROR(INDEX('Data Val'!$O$29:$V$33, MATCH('Rotation Assembler'!AE$21, 'Data Val'!$O$29:$O$33, 0), MATCH('Rotation Assembler'!AE3, 'Data Val'!$O$29:$V$29, 0)),0)</f>
        <v>9</v>
      </c>
      <c r="AF9" s="211">
        <f>IFERROR(INDEX('Data Val'!$O$29:$V$33, MATCH('Rotation Assembler'!AF$21, 'Data Val'!$O$29:$O$33, 0), MATCH('Rotation Assembler'!AF3, 'Data Val'!$O$29:$V$29, 0)),0)</f>
        <v>9</v>
      </c>
      <c r="AG9" s="211">
        <f>IFERROR(INDEX('Data Val'!$O$29:$V$33, MATCH('Rotation Assembler'!AG$21, 'Data Val'!$O$29:$O$33, 0), MATCH('Rotation Assembler'!AG3, 'Data Val'!$O$29:$V$29, 0)),0)</f>
        <v>12</v>
      </c>
      <c r="AH9" s="211">
        <f>IFERROR(INDEX('Data Val'!$O$29:$V$33, MATCH('Rotation Assembler'!AH$21, 'Data Val'!$O$29:$O$33, 0), MATCH('Rotation Assembler'!AH3, 'Data Val'!$O$29:$V$29, 0)),0)</f>
        <v>10</v>
      </c>
      <c r="AI9" s="211">
        <f>IFERROR(INDEX('Data Val'!$O$29:$V$33, MATCH('Rotation Assembler'!AI$21, 'Data Val'!$O$29:$O$33, 0), MATCH('Rotation Assembler'!AI3, 'Data Val'!$O$29:$V$29, 0)),0)</f>
        <v>12</v>
      </c>
      <c r="AJ9" s="211">
        <f>IFERROR(INDEX('Data Val'!$O$29:$V$33, MATCH('Rotation Assembler'!AJ$21, 'Data Val'!$O$29:$O$33, 0), MATCH('Rotation Assembler'!AJ3, 'Data Val'!$O$29:$V$29, 0)),0)</f>
        <v>12</v>
      </c>
    </row>
    <row r="10" spans="1:42" s="211" customFormat="1" hidden="1" outlineLevel="1" x14ac:dyDescent="0.25">
      <c r="A10" s="132" t="s">
        <v>773</v>
      </c>
      <c r="AH10" s="211" t="s">
        <v>718</v>
      </c>
      <c r="AI10" s="211" t="s">
        <v>718</v>
      </c>
      <c r="AJ10" s="211" t="s">
        <v>718</v>
      </c>
    </row>
    <row r="11" spans="1:42" s="211" customFormat="1" hidden="1" outlineLevel="1" x14ac:dyDescent="0.25">
      <c r="A11" s="132" t="s">
        <v>702</v>
      </c>
      <c r="B11" s="211">
        <f t="shared" ref="B11:AJ11" si="0">IF(B$21 = "char1", VLOOKUP(B$10, char1WeaponProcTable, 2, 0), IF(B$21 = "char2",  VLOOKUP(B$10, char2WeaponProcTable, 2, 0), IF(B$21="char3", VLOOKUP(B$10, char3WeaponProcTable, 2, 0), IF(B$21 = "char4", VLOOKUP(B$10, char4WeaponProcTable, 2, 0)))))</f>
        <v>0</v>
      </c>
      <c r="C11" s="211">
        <f t="shared" si="0"/>
        <v>0</v>
      </c>
      <c r="D11" s="211">
        <f t="shared" si="0"/>
        <v>0</v>
      </c>
      <c r="E11" s="211">
        <f t="shared" si="0"/>
        <v>0</v>
      </c>
      <c r="F11" s="211">
        <f t="shared" si="0"/>
        <v>0</v>
      </c>
      <c r="G11" s="211">
        <f t="shared" si="0"/>
        <v>0</v>
      </c>
      <c r="H11" s="211">
        <f t="shared" si="0"/>
        <v>0</v>
      </c>
      <c r="I11" s="211">
        <f t="shared" si="0"/>
        <v>0</v>
      </c>
      <c r="J11" s="211">
        <f t="shared" si="0"/>
        <v>0</v>
      </c>
      <c r="K11" s="211">
        <f t="shared" si="0"/>
        <v>0</v>
      </c>
      <c r="L11" s="211">
        <f t="shared" si="0"/>
        <v>0</v>
      </c>
      <c r="M11" s="211">
        <f t="shared" si="0"/>
        <v>0</v>
      </c>
      <c r="N11" s="211">
        <f t="shared" si="0"/>
        <v>0</v>
      </c>
      <c r="O11" s="211">
        <f t="shared" si="0"/>
        <v>0</v>
      </c>
      <c r="P11" s="211">
        <f t="shared" si="0"/>
        <v>0</v>
      </c>
      <c r="Q11" s="211">
        <f t="shared" si="0"/>
        <v>0</v>
      </c>
      <c r="R11" s="211">
        <f t="shared" si="0"/>
        <v>0</v>
      </c>
      <c r="S11" s="211">
        <f t="shared" si="0"/>
        <v>0</v>
      </c>
      <c r="T11" s="211">
        <f t="shared" si="0"/>
        <v>0</v>
      </c>
      <c r="U11" s="211">
        <f t="shared" si="0"/>
        <v>0</v>
      </c>
      <c r="V11" s="211">
        <f t="shared" si="0"/>
        <v>0</v>
      </c>
      <c r="W11" s="211">
        <f t="shared" si="0"/>
        <v>0</v>
      </c>
      <c r="X11" s="211">
        <f t="shared" si="0"/>
        <v>0</v>
      </c>
      <c r="Y11" s="211">
        <f t="shared" si="0"/>
        <v>0</v>
      </c>
      <c r="Z11" s="211">
        <f t="shared" si="0"/>
        <v>0</v>
      </c>
      <c r="AA11" s="211">
        <f t="shared" si="0"/>
        <v>0</v>
      </c>
      <c r="AB11" s="211">
        <f t="shared" si="0"/>
        <v>0</v>
      </c>
      <c r="AC11" s="211">
        <f t="shared" si="0"/>
        <v>0</v>
      </c>
      <c r="AD11" s="211">
        <f t="shared" si="0"/>
        <v>0</v>
      </c>
      <c r="AE11" s="211">
        <f t="shared" si="0"/>
        <v>0</v>
      </c>
      <c r="AF11" s="211">
        <f t="shared" si="0"/>
        <v>0</v>
      </c>
      <c r="AG11" s="211">
        <f t="shared" si="0"/>
        <v>0</v>
      </c>
      <c r="AH11" s="211" t="e">
        <f t="shared" si="0"/>
        <v>#N/A</v>
      </c>
      <c r="AI11" s="211" t="e">
        <f t="shared" si="0"/>
        <v>#N/A</v>
      </c>
      <c r="AJ11" s="211" t="e">
        <f t="shared" si="0"/>
        <v>#N/A</v>
      </c>
    </row>
    <row r="12" spans="1:42" s="211" customFormat="1" hidden="1" outlineLevel="1" x14ac:dyDescent="0.25">
      <c r="A12" s="132" t="s">
        <v>703</v>
      </c>
      <c r="B12" s="211">
        <f t="shared" ref="B12:AJ12" si="1">IF(B$21 = "char1", VLOOKUP(B$10, char1WeaponProcTable, 4, 0), IF(B$21 = "char2",  VLOOKUP(B$10, char2WeaponProcTable, 4, 0), IF(B$21="char3", VLOOKUP(B$10, char3WeaponProcTable, 4, 0), IF(B$21 = "char4", VLOOKUP(B$10, char4WeaponProcTable, 4, 0)))))</f>
        <v>0</v>
      </c>
      <c r="C12" s="211">
        <f t="shared" si="1"/>
        <v>0</v>
      </c>
      <c r="D12" s="211">
        <f t="shared" si="1"/>
        <v>0</v>
      </c>
      <c r="E12" s="211">
        <f t="shared" si="1"/>
        <v>0</v>
      </c>
      <c r="F12" s="211">
        <f t="shared" si="1"/>
        <v>0</v>
      </c>
      <c r="G12" s="211">
        <f t="shared" si="1"/>
        <v>0</v>
      </c>
      <c r="H12" s="211">
        <f t="shared" si="1"/>
        <v>0</v>
      </c>
      <c r="I12" s="211">
        <f t="shared" si="1"/>
        <v>0</v>
      </c>
      <c r="J12" s="211">
        <f t="shared" si="1"/>
        <v>0</v>
      </c>
      <c r="K12" s="211">
        <f t="shared" si="1"/>
        <v>0</v>
      </c>
      <c r="L12" s="211">
        <f t="shared" si="1"/>
        <v>0</v>
      </c>
      <c r="M12" s="211">
        <f t="shared" si="1"/>
        <v>0</v>
      </c>
      <c r="N12" s="211">
        <f t="shared" si="1"/>
        <v>0</v>
      </c>
      <c r="O12" s="211">
        <f t="shared" si="1"/>
        <v>0</v>
      </c>
      <c r="P12" s="211">
        <f t="shared" si="1"/>
        <v>0</v>
      </c>
      <c r="Q12" s="211">
        <f t="shared" si="1"/>
        <v>0</v>
      </c>
      <c r="R12" s="211">
        <f t="shared" si="1"/>
        <v>0</v>
      </c>
      <c r="S12" s="211">
        <f t="shared" si="1"/>
        <v>0</v>
      </c>
      <c r="T12" s="211">
        <f t="shared" si="1"/>
        <v>0</v>
      </c>
      <c r="U12" s="211">
        <f t="shared" si="1"/>
        <v>0</v>
      </c>
      <c r="V12" s="211">
        <f t="shared" si="1"/>
        <v>0</v>
      </c>
      <c r="W12" s="211">
        <f t="shared" si="1"/>
        <v>0</v>
      </c>
      <c r="X12" s="211">
        <f t="shared" si="1"/>
        <v>0</v>
      </c>
      <c r="Y12" s="211">
        <f t="shared" si="1"/>
        <v>0</v>
      </c>
      <c r="Z12" s="211">
        <f t="shared" si="1"/>
        <v>0</v>
      </c>
      <c r="AA12" s="211">
        <f t="shared" si="1"/>
        <v>0</v>
      </c>
      <c r="AB12" s="211">
        <f t="shared" si="1"/>
        <v>0</v>
      </c>
      <c r="AC12" s="211">
        <f t="shared" si="1"/>
        <v>0</v>
      </c>
      <c r="AD12" s="211">
        <f t="shared" si="1"/>
        <v>0</v>
      </c>
      <c r="AE12" s="211">
        <f t="shared" si="1"/>
        <v>0</v>
      </c>
      <c r="AF12" s="211">
        <f t="shared" si="1"/>
        <v>0</v>
      </c>
      <c r="AG12" s="211">
        <f t="shared" si="1"/>
        <v>0</v>
      </c>
      <c r="AH12" s="211" t="e">
        <f t="shared" si="1"/>
        <v>#N/A</v>
      </c>
      <c r="AI12" s="211" t="e">
        <f t="shared" si="1"/>
        <v>#N/A</v>
      </c>
      <c r="AJ12" s="211" t="e">
        <f t="shared" si="1"/>
        <v>#N/A</v>
      </c>
    </row>
    <row r="13" spans="1:42" s="211" customFormat="1" hidden="1" outlineLevel="1" x14ac:dyDescent="0.25">
      <c r="A13" s="132" t="s">
        <v>779</v>
      </c>
      <c r="B13" s="211">
        <f t="shared" ref="B13:AJ13" si="2">IF(B$21 = "char1", VLOOKUP(B$10, char1WeaponProcTable, 5, 0), IF(B$21 = "char2",  VLOOKUP(B$10, char2WeaponProcTable, 5, 0), IF(B$21="char3", VLOOKUP(B$10, char3WeaponProcTable, 5, 0), IF(B$21 = "char4", VLOOKUP(B$10, char4WeaponProcTable, 5, 0)))))</f>
        <v>0</v>
      </c>
      <c r="C13" s="211">
        <f t="shared" si="2"/>
        <v>0</v>
      </c>
      <c r="D13" s="211">
        <f t="shared" si="2"/>
        <v>0</v>
      </c>
      <c r="E13" s="211">
        <f t="shared" si="2"/>
        <v>0</v>
      </c>
      <c r="F13" s="211">
        <f t="shared" si="2"/>
        <v>0</v>
      </c>
      <c r="G13" s="211">
        <f t="shared" si="2"/>
        <v>0</v>
      </c>
      <c r="H13" s="211">
        <f t="shared" si="2"/>
        <v>0</v>
      </c>
      <c r="I13" s="211">
        <f t="shared" si="2"/>
        <v>0</v>
      </c>
      <c r="J13" s="211">
        <f t="shared" si="2"/>
        <v>0</v>
      </c>
      <c r="K13" s="211">
        <f t="shared" si="2"/>
        <v>0</v>
      </c>
      <c r="L13" s="211">
        <f t="shared" si="2"/>
        <v>0</v>
      </c>
      <c r="M13" s="211">
        <f t="shared" si="2"/>
        <v>0</v>
      </c>
      <c r="N13" s="211">
        <f t="shared" si="2"/>
        <v>0</v>
      </c>
      <c r="O13" s="211">
        <f t="shared" si="2"/>
        <v>0</v>
      </c>
      <c r="P13" s="211">
        <f t="shared" si="2"/>
        <v>0</v>
      </c>
      <c r="Q13" s="211">
        <f t="shared" si="2"/>
        <v>0</v>
      </c>
      <c r="R13" s="211">
        <f t="shared" si="2"/>
        <v>0</v>
      </c>
      <c r="S13" s="211">
        <f t="shared" si="2"/>
        <v>0</v>
      </c>
      <c r="T13" s="211">
        <f t="shared" si="2"/>
        <v>0</v>
      </c>
      <c r="U13" s="211">
        <f t="shared" si="2"/>
        <v>0</v>
      </c>
      <c r="V13" s="211">
        <f t="shared" si="2"/>
        <v>0</v>
      </c>
      <c r="W13" s="211">
        <f t="shared" si="2"/>
        <v>0</v>
      </c>
      <c r="X13" s="211">
        <f t="shared" si="2"/>
        <v>0</v>
      </c>
      <c r="Y13" s="211">
        <f t="shared" si="2"/>
        <v>0</v>
      </c>
      <c r="Z13" s="211">
        <f t="shared" si="2"/>
        <v>0</v>
      </c>
      <c r="AA13" s="211">
        <f t="shared" si="2"/>
        <v>0</v>
      </c>
      <c r="AB13" s="211">
        <f t="shared" si="2"/>
        <v>0</v>
      </c>
      <c r="AC13" s="211">
        <f t="shared" si="2"/>
        <v>0</v>
      </c>
      <c r="AD13" s="211">
        <f t="shared" si="2"/>
        <v>0</v>
      </c>
      <c r="AE13" s="211">
        <f t="shared" si="2"/>
        <v>0</v>
      </c>
      <c r="AF13" s="211">
        <f t="shared" si="2"/>
        <v>0</v>
      </c>
      <c r="AG13" s="211">
        <f t="shared" si="2"/>
        <v>0</v>
      </c>
      <c r="AH13" s="211" t="e">
        <f t="shared" si="2"/>
        <v>#N/A</v>
      </c>
      <c r="AI13" s="211" t="e">
        <f t="shared" si="2"/>
        <v>#N/A</v>
      </c>
      <c r="AJ13" s="211" t="e">
        <f t="shared" si="2"/>
        <v>#N/A</v>
      </c>
    </row>
    <row r="14" spans="1:42" s="211" customFormat="1" hidden="1" outlineLevel="1" x14ac:dyDescent="0.25">
      <c r="A14" s="132" t="s">
        <v>704</v>
      </c>
      <c r="B14" s="211">
        <f t="shared" ref="B14:AJ14" si="3">IF(B$21 = "char1", VLOOKUP(B$10, char1WeaponProcTable, 3, 0), IF(B$21 = "char2",  VLOOKUP(B$10, char2WeaponProcTable, 3, 0), IF(B$21="char3", VLOOKUP(B$10, char3WeaponProcTable, 3, 0), IF(B$21 = "char4", VLOOKUP(B$10, char4WeaponProcTable, 3, 0)))))</f>
        <v>0</v>
      </c>
      <c r="C14" s="211">
        <f t="shared" si="3"/>
        <v>0</v>
      </c>
      <c r="D14" s="211">
        <f t="shared" si="3"/>
        <v>0</v>
      </c>
      <c r="E14" s="211">
        <f t="shared" si="3"/>
        <v>0</v>
      </c>
      <c r="F14" s="211">
        <f t="shared" si="3"/>
        <v>0</v>
      </c>
      <c r="G14" s="211">
        <f t="shared" si="3"/>
        <v>0</v>
      </c>
      <c r="H14" s="211">
        <f t="shared" si="3"/>
        <v>0</v>
      </c>
      <c r="I14" s="211">
        <f t="shared" si="3"/>
        <v>0</v>
      </c>
      <c r="J14" s="211">
        <f t="shared" si="3"/>
        <v>0</v>
      </c>
      <c r="K14" s="211">
        <f t="shared" si="3"/>
        <v>0</v>
      </c>
      <c r="L14" s="211">
        <f t="shared" si="3"/>
        <v>0</v>
      </c>
      <c r="M14" s="211">
        <f t="shared" si="3"/>
        <v>0</v>
      </c>
      <c r="N14" s="211">
        <f t="shared" si="3"/>
        <v>0</v>
      </c>
      <c r="O14" s="211">
        <f t="shared" si="3"/>
        <v>0</v>
      </c>
      <c r="P14" s="211">
        <f t="shared" si="3"/>
        <v>0</v>
      </c>
      <c r="Q14" s="211">
        <f t="shared" si="3"/>
        <v>0</v>
      </c>
      <c r="R14" s="211">
        <f t="shared" si="3"/>
        <v>0</v>
      </c>
      <c r="S14" s="211">
        <f t="shared" si="3"/>
        <v>0</v>
      </c>
      <c r="T14" s="211">
        <f t="shared" si="3"/>
        <v>0</v>
      </c>
      <c r="U14" s="211">
        <f t="shared" si="3"/>
        <v>0</v>
      </c>
      <c r="V14" s="211">
        <f t="shared" si="3"/>
        <v>0</v>
      </c>
      <c r="W14" s="211">
        <f t="shared" si="3"/>
        <v>0</v>
      </c>
      <c r="X14" s="211">
        <f t="shared" si="3"/>
        <v>0</v>
      </c>
      <c r="Y14" s="211">
        <f t="shared" si="3"/>
        <v>0</v>
      </c>
      <c r="Z14" s="211">
        <f t="shared" si="3"/>
        <v>0</v>
      </c>
      <c r="AA14" s="211">
        <f t="shared" si="3"/>
        <v>0</v>
      </c>
      <c r="AB14" s="211">
        <f t="shared" si="3"/>
        <v>0</v>
      </c>
      <c r="AC14" s="211">
        <f t="shared" si="3"/>
        <v>0</v>
      </c>
      <c r="AD14" s="211">
        <f t="shared" si="3"/>
        <v>0</v>
      </c>
      <c r="AE14" s="211">
        <f t="shared" si="3"/>
        <v>0</v>
      </c>
      <c r="AF14" s="211">
        <f t="shared" si="3"/>
        <v>0</v>
      </c>
      <c r="AG14" s="211">
        <f t="shared" si="3"/>
        <v>0</v>
      </c>
      <c r="AH14" s="211" t="e">
        <f t="shared" si="3"/>
        <v>#N/A</v>
      </c>
      <c r="AI14" s="211" t="e">
        <f t="shared" si="3"/>
        <v>#N/A</v>
      </c>
      <c r="AJ14" s="211" t="e">
        <f t="shared" si="3"/>
        <v>#N/A</v>
      </c>
    </row>
    <row r="15" spans="1:42" s="14" customFormat="1" collapsed="1" x14ac:dyDescent="0.25">
      <c r="A15" s="42" t="s">
        <v>123</v>
      </c>
      <c r="B15" s="14">
        <v>1</v>
      </c>
      <c r="C15" s="14">
        <v>5</v>
      </c>
      <c r="D15" s="14">
        <v>10</v>
      </c>
      <c r="E15" s="14">
        <v>2</v>
      </c>
      <c r="F15" s="14">
        <v>1</v>
      </c>
      <c r="G15" s="14">
        <v>1</v>
      </c>
      <c r="H15" s="14">
        <v>35</v>
      </c>
      <c r="I15" s="14">
        <v>8</v>
      </c>
      <c r="J15" s="14">
        <v>1</v>
      </c>
      <c r="K15" s="14">
        <v>1</v>
      </c>
      <c r="L15" s="14">
        <v>1</v>
      </c>
      <c r="M15" s="14">
        <v>3</v>
      </c>
      <c r="N15" s="14">
        <v>1</v>
      </c>
      <c r="O15" s="14">
        <v>7</v>
      </c>
      <c r="P15" s="14">
        <v>1</v>
      </c>
      <c r="Q15" s="14">
        <v>1</v>
      </c>
      <c r="R15" s="14">
        <v>1</v>
      </c>
      <c r="S15" s="14">
        <v>1</v>
      </c>
      <c r="T15" s="14">
        <v>1</v>
      </c>
      <c r="U15" s="14">
        <v>1</v>
      </c>
      <c r="V15" s="14">
        <v>8</v>
      </c>
      <c r="W15" s="14">
        <v>1</v>
      </c>
      <c r="X15" s="14">
        <v>1</v>
      </c>
      <c r="Y15" s="14">
        <v>56</v>
      </c>
      <c r="Z15" s="14">
        <v>3</v>
      </c>
      <c r="AA15" s="14">
        <v>3</v>
      </c>
      <c r="AB15" s="14">
        <v>3</v>
      </c>
      <c r="AC15" s="14">
        <v>4</v>
      </c>
      <c r="AD15" s="14">
        <v>4</v>
      </c>
      <c r="AE15" s="14">
        <v>1</v>
      </c>
      <c r="AF15" s="14">
        <f>18*56</f>
        <v>1008</v>
      </c>
      <c r="AG15" s="14">
        <v>1</v>
      </c>
      <c r="AH15" s="14">
        <v>1</v>
      </c>
      <c r="AI15" s="14">
        <v>1</v>
      </c>
      <c r="AJ15" s="14">
        <v>1</v>
      </c>
    </row>
    <row r="16" spans="1:42" s="34" customFormat="1" x14ac:dyDescent="0.25">
      <c r="A16" s="42" t="s">
        <v>384</v>
      </c>
    </row>
    <row r="17" spans="1:72" hidden="1" x14ac:dyDescent="0.25">
      <c r="A17" s="42" t="s">
        <v>388</v>
      </c>
    </row>
    <row r="18" spans="1:72" s="115" customFormat="1" x14ac:dyDescent="0.25">
      <c r="A18" s="114" t="s">
        <v>651</v>
      </c>
    </row>
    <row r="19" spans="1:72" s="14" customFormat="1" hidden="1" outlineLevel="1" x14ac:dyDescent="0.25">
      <c r="A19" s="124" t="s">
        <v>398</v>
      </c>
      <c r="B19" s="125" cm="1">
        <f t="array" ref="B19">INDEX(INDEX(MVs!$B:$B,INDEX(MVs!$U$2:$Y$4,2,MATCH(B$21,MVs!$U$2:$Y$2,0))):INDEX(MVs!$T:$T,INDEX(MVs!$U$2:$Y$4,3,MATCH(B$21,MVs!$U$2:$Y$2,0))),MATCH(B$2,INDEX(MVs!$B:$B,INDEX(MVs!$U$2:$Y$4,2,MATCH(B$21,MVs!$U$2:$Y$2,0))):INDEX(MVs!$B:$B,INDEX(MVs!$U$2:$Y$4,3,MATCH(B$21,MVs!$U$2:$Y$2,0))),0),IFERROR(MATCH(B$9, MVs!$B$1:$S$1, 0), 2))</f>
        <v>1.9923999999999999</v>
      </c>
      <c r="C19" s="125" cm="1">
        <f t="array" ref="C19">INDEX(INDEX(MVs!$B:$B,INDEX(MVs!$U$2:$Y$4,2,MATCH(C$21,MVs!$U$2:$Y$2,0))):INDEX(MVs!$T:$T,INDEX(MVs!$U$2:$Y$4,3,MATCH(C$21,MVs!$U$2:$Y$2,0))),MATCH(C$2,INDEX(MVs!$B:$B,INDEX(MVs!$U$2:$Y$4,2,MATCH(C$21,MVs!$U$2:$Y$2,0))):INDEX(MVs!$B:$B,INDEX(MVs!$U$2:$Y$4,3,MATCH(C$21,MVs!$U$2:$Y$2,0))),0),IFERROR(MATCH(C$9, MVs!$B$1:$S$1, 0), 2))</f>
        <v>0.71399999999999997</v>
      </c>
      <c r="D19" s="125" cm="1">
        <f t="array" ref="D19">INDEX(INDEX(MVs!$B:$B,INDEX(MVs!$U$2:$Y$4,2,MATCH(D$21,MVs!$U$2:$Y$2,0))):INDEX(MVs!$T:$T,INDEX(MVs!$U$2:$Y$4,3,MATCH(D$21,MVs!$U$2:$Y$2,0))),MATCH(D$2,INDEX(MVs!$B:$B,INDEX(MVs!$U$2:$Y$4,2,MATCH(D$21,MVs!$U$2:$Y$2,0))):INDEX(MVs!$B:$B,INDEX(MVs!$U$2:$Y$4,3,MATCH(D$21,MVs!$U$2:$Y$2,0))),0),IFERROR(MATCH(D$9, MVs!$B$1:$S$1, 0), 2))</f>
        <v>0.71399999999999997</v>
      </c>
      <c r="E19" s="125" cm="1">
        <f t="array" ref="E19">INDEX(INDEX(MVs!$B:$B,INDEX(MVs!$U$2:$Y$4,2,MATCH(E$21,MVs!$U$2:$Y$2,0))):INDEX(MVs!$T:$T,INDEX(MVs!$U$2:$Y$4,3,MATCH(E$21,MVs!$U$2:$Y$2,0))),MATCH(E$2,INDEX(MVs!$B:$B,INDEX(MVs!$U$2:$Y$4,2,MATCH(E$21,MVs!$U$2:$Y$2,0))):INDEX(MVs!$B:$B,INDEX(MVs!$U$2:$Y$4,3,MATCH(E$21,MVs!$U$2:$Y$2,0))),0),IFERROR(MATCH(E$9, MVs!$B$1:$S$1, 0), 2))</f>
        <v>0</v>
      </c>
      <c r="F19" s="125" cm="1">
        <f t="array" ref="F19">INDEX(INDEX(MVs!$B:$B,INDEX(MVs!$U$2:$Y$4,2,MATCH(F$21,MVs!$U$2:$Y$2,0))):INDEX(MVs!$T:$T,INDEX(MVs!$U$2:$Y$4,3,MATCH(F$21,MVs!$U$2:$Y$2,0))),MATCH(F$2,INDEX(MVs!$B:$B,INDEX(MVs!$U$2:$Y$4,2,MATCH(F$21,MVs!$U$2:$Y$2,0))):INDEX(MVs!$B:$B,INDEX(MVs!$U$2:$Y$4,3,MATCH(F$21,MVs!$U$2:$Y$2,0))),0),IFERROR(MATCH(F$9, MVs!$B$1:$S$1, 0), 2))</f>
        <v>5.04</v>
      </c>
      <c r="G19" s="125" cm="1">
        <f t="array" ref="G19">INDEX(INDEX(MVs!$B:$B,INDEX(MVs!$U$2:$Y$4,2,MATCH(G$21,MVs!$U$2:$Y$2,0))):INDEX(MVs!$T:$T,INDEX(MVs!$U$2:$Y$4,3,MATCH(G$21,MVs!$U$2:$Y$2,0))),MATCH(G$2,INDEX(MVs!$B:$B,INDEX(MVs!$U$2:$Y$4,2,MATCH(G$21,MVs!$U$2:$Y$2,0))):INDEX(MVs!$B:$B,INDEX(MVs!$U$2:$Y$4,3,MATCH(G$21,MVs!$U$2:$Y$2,0))),0),IFERROR(MATCH(G$9, MVs!$B$1:$S$1, 0), 2))</f>
        <v>5.7359999999999998</v>
      </c>
      <c r="H19" s="125" cm="1">
        <f t="array" ref="H19">INDEX(INDEX(MVs!$B:$B,INDEX(MVs!$U$2:$Y$4,2,MATCH(H$21,MVs!$U$2:$Y$2,0))):INDEX(MVs!$T:$T,INDEX(MVs!$U$2:$Y$4,3,MATCH(H$21,MVs!$U$2:$Y$2,0))),MATCH(H$2,INDEX(MVs!$B:$B,INDEX(MVs!$U$2:$Y$4,2,MATCH(H$21,MVs!$U$2:$Y$2,0))):INDEX(MVs!$B:$B,INDEX(MVs!$U$2:$Y$4,3,MATCH(H$21,MVs!$U$2:$Y$2,0))),0),IFERROR(MATCH(H$9, MVs!$B$1:$S$1, 0), 2))</f>
        <v>1.0853999999999999</v>
      </c>
      <c r="I19" s="125" cm="1">
        <f t="array" ref="I19">INDEX(INDEX(MVs!$B:$B,INDEX(MVs!$U$2:$Y$4,2,MATCH(I$21,MVs!$U$2:$Y$2,0))):INDEX(MVs!$T:$T,INDEX(MVs!$U$2:$Y$4,3,MATCH(I$21,MVs!$U$2:$Y$2,0))),MATCH(I$2,INDEX(MVs!$B:$B,INDEX(MVs!$U$2:$Y$4,2,MATCH(I$21,MVs!$U$2:$Y$2,0))):INDEX(MVs!$B:$B,INDEX(MVs!$U$2:$Y$4,3,MATCH(I$21,MVs!$U$2:$Y$2,0))),0),IFERROR(MATCH(I$9, MVs!$B$1:$S$1, 0), 2))</f>
        <v>0</v>
      </c>
      <c r="J19" s="125" cm="1">
        <f t="array" ref="J19">INDEX(INDEX(MVs!$B:$B,INDEX(MVs!$U$2:$Y$4,2,MATCH(J$21,MVs!$U$2:$Y$2,0))):INDEX(MVs!$T:$T,INDEX(MVs!$U$2:$Y$4,3,MATCH(J$21,MVs!$U$2:$Y$2,0))),MATCH(J$2,INDEX(MVs!$B:$B,INDEX(MVs!$U$2:$Y$4,2,MATCH(J$21,MVs!$U$2:$Y$2,0))):INDEX(MVs!$B:$B,INDEX(MVs!$U$2:$Y$4,3,MATCH(J$21,MVs!$U$2:$Y$2,0))),0),IFERROR(MATCH(J$9, MVs!$B$1:$S$1, 0), 2))</f>
        <v>4.6559999999999997</v>
      </c>
      <c r="K19" s="125" cm="1">
        <f t="array" ref="K19">INDEX(INDEX(MVs!$B:$B,INDEX(MVs!$U$2:$Y$4,2,MATCH(K$21,MVs!$U$2:$Y$2,0))):INDEX(MVs!$T:$T,INDEX(MVs!$U$2:$Y$4,3,MATCH(K$21,MVs!$U$2:$Y$2,0))),MATCH(K$2,INDEX(MVs!$B:$B,INDEX(MVs!$U$2:$Y$4,2,MATCH(K$21,MVs!$U$2:$Y$2,0))):INDEX(MVs!$B:$B,INDEX(MVs!$U$2:$Y$4,3,MATCH(K$21,MVs!$U$2:$Y$2,0))),0),IFERROR(MATCH(K$9, MVs!$B$1:$S$1, 0), 2))</f>
        <v>0</v>
      </c>
      <c r="L19" s="125" cm="1">
        <f t="array" ref="L19">INDEX(INDEX(MVs!$B:$B,INDEX(MVs!$U$2:$Y$4,2,MATCH(L$21,MVs!$U$2:$Y$2,0))):INDEX(MVs!$T:$T,INDEX(MVs!$U$2:$Y$4,3,MATCH(L$21,MVs!$U$2:$Y$2,0))),MATCH(L$2,INDEX(MVs!$B:$B,INDEX(MVs!$U$2:$Y$4,2,MATCH(L$21,MVs!$U$2:$Y$2,0))):INDEX(MVs!$B:$B,INDEX(MVs!$U$2:$Y$4,3,MATCH(L$21,MVs!$U$2:$Y$2,0))),0),IFERROR(MATCH(L$9, MVs!$B$1:$S$1, 0), 2))</f>
        <v>2.7519999999999998</v>
      </c>
      <c r="M19" s="125" cm="1">
        <f t="array" ref="M19">INDEX(INDEX(MVs!$B:$B,INDEX(MVs!$U$2:$Y$4,2,MATCH(M$21,MVs!$U$2:$Y$2,0))):INDEX(MVs!$T:$T,INDEX(MVs!$U$2:$Y$4,3,MATCH(M$21,MVs!$U$2:$Y$2,0))),MATCH(M$2,INDEX(MVs!$B:$B,INDEX(MVs!$U$2:$Y$4,2,MATCH(M$21,MVs!$U$2:$Y$2,0))):INDEX(MVs!$B:$B,INDEX(MVs!$U$2:$Y$4,3,MATCH(M$21,MVs!$U$2:$Y$2,0))),0),IFERROR(MATCH(M$9, MVs!$B$1:$S$1, 0), 2))</f>
        <v>2.0030000000000001</v>
      </c>
      <c r="N19" s="125" cm="1">
        <f t="array" ref="N19">INDEX(INDEX(MVs!$B:$B,INDEX(MVs!$U$2:$Y$4,2,MATCH(N$21,MVs!$U$2:$Y$2,0))):INDEX(MVs!$T:$T,INDEX(MVs!$U$2:$Y$4,3,MATCH(N$21,MVs!$U$2:$Y$2,0))),MATCH(N$2,INDEX(MVs!$B:$B,INDEX(MVs!$U$2:$Y$4,2,MATCH(N$21,MVs!$U$2:$Y$2,0))):INDEX(MVs!$B:$B,INDEX(MVs!$U$2:$Y$4,3,MATCH(N$21,MVs!$U$2:$Y$2,0))),0),IFERROR(MATCH(N$9, MVs!$B$1:$S$1, 0), 2))</f>
        <v>2.0030000000000001</v>
      </c>
      <c r="O19" s="125" cm="1">
        <f t="array" ref="O19">INDEX(INDEX(MVs!$B:$B,INDEX(MVs!$U$2:$Y$4,2,MATCH(O$21,MVs!$U$2:$Y$2,0))):INDEX(MVs!$T:$T,INDEX(MVs!$U$2:$Y$4,3,MATCH(O$21,MVs!$U$2:$Y$2,0))),MATCH(O$2,INDEX(MVs!$B:$B,INDEX(MVs!$U$2:$Y$4,2,MATCH(O$21,MVs!$U$2:$Y$2,0))):INDEX(MVs!$B:$B,INDEX(MVs!$U$2:$Y$4,3,MATCH(O$21,MVs!$U$2:$Y$2,0))),0),IFERROR(MATCH(O$9, MVs!$B$1:$S$1, 0), 2))</f>
        <v>0</v>
      </c>
      <c r="P19" s="125" cm="1">
        <f t="array" ref="P19">INDEX(INDEX(MVs!$B:$B,INDEX(MVs!$U$2:$Y$4,2,MATCH(P$21,MVs!$U$2:$Y$2,0))):INDEX(MVs!$T:$T,INDEX(MVs!$U$2:$Y$4,3,MATCH(P$21,MVs!$U$2:$Y$2,0))),MATCH(P$2,INDEX(MVs!$B:$B,INDEX(MVs!$U$2:$Y$4,2,MATCH(P$21,MVs!$U$2:$Y$2,0))):INDEX(MVs!$B:$B,INDEX(MVs!$U$2:$Y$4,3,MATCH(P$21,MVs!$U$2:$Y$2,0))),0),IFERROR(MATCH(P$9, MVs!$B$1:$S$1, 0), 2))</f>
        <v>1.44</v>
      </c>
      <c r="Q19" s="125" cm="1">
        <f t="array" ref="Q19">INDEX(INDEX(MVs!$B:$B,INDEX(MVs!$U$2:$Y$4,2,MATCH(Q$21,MVs!$U$2:$Y$2,0))):INDEX(MVs!$T:$T,INDEX(MVs!$U$2:$Y$4,3,MATCH(Q$21,MVs!$U$2:$Y$2,0))),MATCH(Q$2,INDEX(MVs!$B:$B,INDEX(MVs!$U$2:$Y$4,2,MATCH(Q$21,MVs!$U$2:$Y$2,0))):INDEX(MVs!$B:$B,INDEX(MVs!$U$2:$Y$4,3,MATCH(Q$21,MVs!$U$2:$Y$2,0))),0),IFERROR(MATCH(Q$9, MVs!$B$1:$S$1, 0), 2))</f>
        <v>1.76</v>
      </c>
      <c r="R19" s="125" cm="1">
        <f t="array" ref="R19">INDEX(INDEX(MVs!$B:$B,INDEX(MVs!$U$2:$Y$4,2,MATCH(R$21,MVs!$U$2:$Y$2,0))):INDEX(MVs!$T:$T,INDEX(MVs!$U$2:$Y$4,3,MATCH(R$21,MVs!$U$2:$Y$2,0))),MATCH(R$2,INDEX(MVs!$B:$B,INDEX(MVs!$U$2:$Y$4,2,MATCH(R$21,MVs!$U$2:$Y$2,0))):INDEX(MVs!$B:$B,INDEX(MVs!$U$2:$Y$4,3,MATCH(R$21,MVs!$U$2:$Y$2,0))),0),IFERROR(MATCH(R$9, MVs!$B$1:$S$1, 0), 2))</f>
        <v>2.1920000000000002</v>
      </c>
      <c r="S19" s="125" cm="1">
        <f t="array" ref="S19">INDEX(INDEX(MVs!$B:$B,INDEX(MVs!$U$2:$Y$4,2,MATCH(S$21,MVs!$U$2:$Y$2,0))):INDEX(MVs!$T:$T,INDEX(MVs!$U$2:$Y$4,3,MATCH(S$21,MVs!$U$2:$Y$2,0))),MATCH(S$2,INDEX(MVs!$B:$B,INDEX(MVs!$U$2:$Y$4,2,MATCH(S$21,MVs!$U$2:$Y$2,0))):INDEX(MVs!$B:$B,INDEX(MVs!$U$2:$Y$4,3,MATCH(S$21,MVs!$U$2:$Y$2,0))),0),IFERROR(MATCH(S$9, MVs!$B$1:$S$1, 0), 2))</f>
        <v>2.2400000000000002</v>
      </c>
      <c r="T19" s="125" cm="1">
        <f t="array" ref="T19">INDEX(INDEX(MVs!$B:$B,INDEX(MVs!$U$2:$Y$4,2,MATCH(T$21,MVs!$U$2:$Y$2,0))):INDEX(MVs!$T:$T,INDEX(MVs!$U$2:$Y$4,3,MATCH(T$21,MVs!$U$2:$Y$2,0))),MATCH(T$2,INDEX(MVs!$B:$B,INDEX(MVs!$U$2:$Y$4,2,MATCH(T$21,MVs!$U$2:$Y$2,0))):INDEX(MVs!$B:$B,INDEX(MVs!$U$2:$Y$4,3,MATCH(T$21,MVs!$U$2:$Y$2,0))),0),IFERROR(MATCH(T$9, MVs!$B$1:$S$1, 0), 2))</f>
        <v>2.2400000000000002</v>
      </c>
      <c r="U19" s="125" cm="1">
        <f t="array" ref="U19">INDEX(INDEX(MVs!$B:$B,INDEX(MVs!$U$2:$Y$4,2,MATCH(U$21,MVs!$U$2:$Y$2,0))):INDEX(MVs!$T:$T,INDEX(MVs!$U$2:$Y$4,3,MATCH(U$21,MVs!$U$2:$Y$2,0))),MATCH(U$2,INDEX(MVs!$B:$B,INDEX(MVs!$U$2:$Y$4,2,MATCH(U$21,MVs!$U$2:$Y$2,0))):INDEX(MVs!$B:$B,INDEX(MVs!$U$2:$Y$4,3,MATCH(U$21,MVs!$U$2:$Y$2,0))),0),IFERROR(MATCH(U$9, MVs!$B$1:$S$1, 0), 2))</f>
        <v>2.2400000000000002</v>
      </c>
      <c r="V19" s="125" cm="1">
        <f t="array" ref="V19">INDEX(INDEX(MVs!$B:$B,INDEX(MVs!$U$2:$Y$4,2,MATCH(V$21,MVs!$U$2:$Y$2,0))):INDEX(MVs!$T:$T,INDEX(MVs!$U$2:$Y$4,3,MATCH(V$21,MVs!$U$2:$Y$2,0))),MATCH(V$2,INDEX(MVs!$B:$B,INDEX(MVs!$U$2:$Y$4,2,MATCH(V$21,MVs!$U$2:$Y$2,0))):INDEX(MVs!$B:$B,INDEX(MVs!$U$2:$Y$4,3,MATCH(V$21,MVs!$U$2:$Y$2,0))),0),IFERROR(MATCH(V$9, MVs!$B$1:$S$1, 0), 2))</f>
        <v>2.2400000000000002</v>
      </c>
      <c r="W19" s="125" cm="1">
        <f t="array" ref="W19">INDEX(INDEX(MVs!$B:$B,INDEX(MVs!$U$2:$Y$4,2,MATCH(W$21,MVs!$U$2:$Y$2,0))):INDEX(MVs!$T:$T,INDEX(MVs!$U$2:$Y$4,3,MATCH(W$21,MVs!$U$2:$Y$2,0))),MATCH(W$2,INDEX(MVs!$B:$B,INDEX(MVs!$U$2:$Y$4,2,MATCH(W$21,MVs!$U$2:$Y$2,0))):INDEX(MVs!$B:$B,INDEX(MVs!$U$2:$Y$4,3,MATCH(W$21,MVs!$U$2:$Y$2,0))),0),IFERROR(MATCH(W$9, MVs!$B$1:$S$1, 0), 2))</f>
        <v>0</v>
      </c>
      <c r="X19" s="125" cm="1">
        <f t="array" ref="X19">INDEX(INDEX(MVs!$B:$B,INDEX(MVs!$U$2:$Y$4,2,MATCH(X$21,MVs!$U$2:$Y$2,0))):INDEX(MVs!$T:$T,INDEX(MVs!$U$2:$Y$4,3,MATCH(X$21,MVs!$U$2:$Y$2,0))),MATCH(X$2,INDEX(MVs!$B:$B,INDEX(MVs!$U$2:$Y$4,2,MATCH(X$21,MVs!$U$2:$Y$2,0))):INDEX(MVs!$B:$B,INDEX(MVs!$U$2:$Y$4,3,MATCH(X$21,MVs!$U$2:$Y$2,0))),0),IFERROR(MATCH(X$9, MVs!$B$1:$S$1, 0), 2))</f>
        <v>6.8136000000000001</v>
      </c>
      <c r="Y19" s="125" cm="1">
        <f t="array" ref="Y19">INDEX(INDEX(MVs!$B:$B,INDEX(MVs!$U$2:$Y$4,2,MATCH(Y$21,MVs!$U$2:$Y$2,0))):INDEX(MVs!$T:$T,INDEX(MVs!$U$2:$Y$4,3,MATCH(Y$21,MVs!$U$2:$Y$2,0))),MATCH(Y$2,INDEX(MVs!$B:$B,INDEX(MVs!$U$2:$Y$4,2,MATCH(Y$21,MVs!$U$2:$Y$2,0))):INDEX(MVs!$B:$B,INDEX(MVs!$U$2:$Y$4,3,MATCH(Y$21,MVs!$U$2:$Y$2,0))),0),IFERROR(MATCH(Y$9, MVs!$B$1:$S$1, 0), 2))</f>
        <v>6.6100000000000006E-2</v>
      </c>
      <c r="Z19" s="125" cm="1">
        <f t="array" ref="Z19">INDEX(INDEX(MVs!$B:$B,INDEX(MVs!$U$2:$Y$4,2,MATCH(Z$21,MVs!$U$2:$Y$2,0))):INDEX(MVs!$T:$T,INDEX(MVs!$U$2:$Y$4,3,MATCH(Z$21,MVs!$U$2:$Y$2,0))),MATCH(Z$2,INDEX(MVs!$B:$B,INDEX(MVs!$U$2:$Y$4,2,MATCH(Z$21,MVs!$U$2:$Y$2,0))):INDEX(MVs!$B:$B,INDEX(MVs!$U$2:$Y$4,3,MATCH(Z$21,MVs!$U$2:$Y$2,0))),0),IFERROR(MATCH(Z$9, MVs!$B$1:$S$1, 0), 2))</f>
        <v>0.75239999999999996</v>
      </c>
      <c r="AA19" s="125" cm="1">
        <f t="array" ref="AA19">INDEX(INDEX(MVs!$B:$B,INDEX(MVs!$U$2:$Y$4,2,MATCH(AA$21,MVs!$U$2:$Y$2,0))):INDEX(MVs!$T:$T,INDEX(MVs!$U$2:$Y$4,3,MATCH(AA$21,MVs!$U$2:$Y$2,0))),MATCH(AA$2,INDEX(MVs!$B:$B,INDEX(MVs!$U$2:$Y$4,2,MATCH(AA$21,MVs!$U$2:$Y$2,0))):INDEX(MVs!$B:$B,INDEX(MVs!$U$2:$Y$4,3,MATCH(AA$21,MVs!$U$2:$Y$2,0))),0),IFERROR(MATCH(AA$9, MVs!$B$1:$S$1, 0), 2))</f>
        <v>0.73929999999999996</v>
      </c>
      <c r="AB19" s="125" cm="1">
        <f t="array" ref="AB19">INDEX(INDEX(MVs!$B:$B,INDEX(MVs!$U$2:$Y$4,2,MATCH(AB$21,MVs!$U$2:$Y$2,0))):INDEX(MVs!$T:$T,INDEX(MVs!$U$2:$Y$4,3,MATCH(AB$21,MVs!$U$2:$Y$2,0))),MATCH(AB$2,INDEX(MVs!$B:$B,INDEX(MVs!$U$2:$Y$4,2,MATCH(AB$21,MVs!$U$2:$Y$2,0))):INDEX(MVs!$B:$B,INDEX(MVs!$U$2:$Y$4,3,MATCH(AB$21,MVs!$U$2:$Y$2,0))),0),IFERROR(MATCH(AB$9, MVs!$B$1:$S$1, 0), 2))</f>
        <v>0.9052</v>
      </c>
      <c r="AC19" s="125" cm="1">
        <f t="array" ref="AC19">INDEX(INDEX(MVs!$B:$B,INDEX(MVs!$U$2:$Y$4,2,MATCH(AC$21,MVs!$U$2:$Y$2,0))):INDEX(MVs!$T:$T,INDEX(MVs!$U$2:$Y$4,3,MATCH(AC$21,MVs!$U$2:$Y$2,0))),MATCH(AC$2,INDEX(MVs!$B:$B,INDEX(MVs!$U$2:$Y$4,2,MATCH(AC$21,MVs!$U$2:$Y$2,0))):INDEX(MVs!$B:$B,INDEX(MVs!$U$2:$Y$4,3,MATCH(AC$21,MVs!$U$2:$Y$2,0))),0),IFERROR(MATCH(AC$9, MVs!$B$1:$S$1, 0), 2))</f>
        <v>1.036</v>
      </c>
      <c r="AD19" s="125" cm="1">
        <f t="array" ref="AD19">INDEX(INDEX(MVs!$B:$B,INDEX(MVs!$U$2:$Y$4,2,MATCH(AD$21,MVs!$U$2:$Y$2,0))):INDEX(MVs!$T:$T,INDEX(MVs!$U$2:$Y$4,3,MATCH(AD$21,MVs!$U$2:$Y$2,0))),MATCH(AD$2,INDEX(MVs!$B:$B,INDEX(MVs!$U$2:$Y$4,2,MATCH(AD$21,MVs!$U$2:$Y$2,0))):INDEX(MVs!$B:$B,INDEX(MVs!$U$2:$Y$4,3,MATCH(AD$21,MVs!$U$2:$Y$2,0))),0),IFERROR(MATCH(AD$9, MVs!$B$1:$S$1, 0), 2))</f>
        <v>1.2505999999999999</v>
      </c>
      <c r="AE19" s="125" cm="1">
        <f t="array" ref="AE19">INDEX(INDEX(MVs!$B:$B,INDEX(MVs!$U$2:$Y$4,2,MATCH(AE$21,MVs!$U$2:$Y$2,0))):INDEX(MVs!$T:$T,INDEX(MVs!$U$2:$Y$4,3,MATCH(AE$21,MVs!$U$2:$Y$2,0))),MATCH(AE$2,INDEX(MVs!$B:$B,INDEX(MVs!$U$2:$Y$4,2,MATCH(AE$21,MVs!$U$2:$Y$2,0))):INDEX(MVs!$B:$B,INDEX(MVs!$U$2:$Y$4,3,MATCH(AE$21,MVs!$U$2:$Y$2,0))),0),IFERROR(MATCH(AE$9, MVs!$B$1:$S$1, 0), 2))</f>
        <v>0.75239999999999996</v>
      </c>
      <c r="AF19" s="125" cm="1">
        <f t="array" ref="AF19">INDEX(INDEX(MVs!$B:$B,INDEX(MVs!$U$2:$Y$4,2,MATCH(AF$21,MVs!$U$2:$Y$2,0))):INDEX(MVs!$T:$T,INDEX(MVs!$U$2:$Y$4,3,MATCH(AF$21,MVs!$U$2:$Y$2,0))),MATCH(AF$2,INDEX(MVs!$B:$B,INDEX(MVs!$U$2:$Y$4,2,MATCH(AF$21,MVs!$U$2:$Y$2,0))):INDEX(MVs!$B:$B,INDEX(MVs!$U$2:$Y$4,3,MATCH(AF$21,MVs!$U$2:$Y$2,0))),0),IFERROR(MATCH(AF$9, MVs!$B$1:$S$1, 0), 2))</f>
        <v>1.23E-2</v>
      </c>
      <c r="AG19" s="125" cm="1">
        <f t="array" ref="AG19">INDEX(INDEX(MVs!$B:$B,INDEX(MVs!$U$2:$Y$4,2,MATCH(AG$21,MVs!$U$2:$Y$2,0))):INDEX(MVs!$T:$T,INDEX(MVs!$U$2:$Y$4,3,MATCH(AG$21,MVs!$U$2:$Y$2,0))),MATCH(AG$2,INDEX(MVs!$B:$B,INDEX(MVs!$U$2:$Y$4,2,MATCH(AG$21,MVs!$U$2:$Y$2,0))):INDEX(MVs!$B:$B,INDEX(MVs!$U$2:$Y$4,3,MATCH(AG$21,MVs!$U$2:$Y$2,0))),0),IFERROR(MATCH(AG$9, MVs!$B$1:$S$1, 0), 2))</f>
        <v>2.2400000000000002</v>
      </c>
      <c r="AH19" s="125" cm="1">
        <f t="array" ref="AH19">INDEX(INDEX(MVs!$B:$B,INDEX(MVs!$U$2:$Y$4,2,MATCH(AH$21,MVs!$U$2:$Y$2,0))):INDEX(MVs!$T:$T,INDEX(MVs!$U$2:$Y$4,3,MATCH(AH$21,MVs!$U$2:$Y$2,0))),MATCH(AH$2,INDEX(MVs!$B:$B,INDEX(MVs!$U$2:$Y$4,2,MATCH(AH$21,MVs!$U$2:$Y$2,0))):INDEX(MVs!$B:$B,INDEX(MVs!$U$2:$Y$4,3,MATCH(AH$21,MVs!$U$2:$Y$2,0))),0),IFERROR(MATCH(AH$9, MVs!$B$1:$S$1, 0), 2))</f>
        <v>2.0030000000000001</v>
      </c>
      <c r="AI19" s="125" cm="1">
        <f t="array" ref="AI19">INDEX(INDEX(MVs!$B:$B,INDEX(MVs!$U$2:$Y$4,2,MATCH(AI$21,MVs!$U$2:$Y$2,0))):INDEX(MVs!$T:$T,INDEX(MVs!$U$2:$Y$4,3,MATCH(AI$21,MVs!$U$2:$Y$2,0))),MATCH(AI$2,INDEX(MVs!$B:$B,INDEX(MVs!$U$2:$Y$4,2,MATCH(AI$21,MVs!$U$2:$Y$2,0))):INDEX(MVs!$B:$B,INDEX(MVs!$U$2:$Y$4,3,MATCH(AI$21,MVs!$U$2:$Y$2,0))),0),IFERROR(MATCH(AI$9, MVs!$B$1:$S$1, 0), 2))</f>
        <v>0.12</v>
      </c>
      <c r="AJ19" s="125" cm="1">
        <f t="array" ref="AJ19">INDEX(INDEX(MVs!$B:$B,INDEX(MVs!$U$2:$Y$4,2,MATCH(AJ$21,MVs!$U$2:$Y$2,0))):INDEX(MVs!$T:$T,INDEX(MVs!$U$2:$Y$4,3,MATCH(AJ$21,MVs!$U$2:$Y$2,0))),MATCH(AJ$2,INDEX(MVs!$B:$B,INDEX(MVs!$U$2:$Y$4,2,MATCH(AJ$21,MVs!$U$2:$Y$2,0))):INDEX(MVs!$B:$B,INDEX(MVs!$U$2:$Y$4,3,MATCH(AJ$21,MVs!$U$2:$Y$2,0))),0),IFERROR(MATCH(AJ$9, MVs!$B$1:$S$1, 0), 2))</f>
        <v>1477</v>
      </c>
      <c r="AK19" s="125"/>
      <c r="AL19" s="125"/>
      <c r="AM19" s="125"/>
      <c r="AN19" s="125"/>
      <c r="AO19" s="125"/>
      <c r="AP19" s="125"/>
      <c r="AQ19" s="125"/>
      <c r="AR19" s="125"/>
      <c r="AS19" s="125"/>
      <c r="AT19" s="125"/>
      <c r="AU19" s="125"/>
      <c r="AV19" s="125"/>
      <c r="AW19" s="125"/>
      <c r="AX19" s="125"/>
      <c r="AY19" s="125"/>
      <c r="AZ19" s="125"/>
      <c r="BA19" s="125"/>
      <c r="BB19" s="125"/>
      <c r="BC19" s="125"/>
      <c r="BD19" s="125"/>
      <c r="BE19" s="125"/>
      <c r="BF19" s="125"/>
      <c r="BG19" s="125"/>
      <c r="BH19" s="125"/>
      <c r="BI19" s="125"/>
      <c r="BJ19" s="125"/>
      <c r="BK19" s="125"/>
      <c r="BL19" s="125"/>
      <c r="BM19" s="125"/>
      <c r="BN19" s="125"/>
      <c r="BO19" s="125"/>
      <c r="BP19" s="125"/>
      <c r="BQ19" s="125"/>
      <c r="BR19" s="125"/>
      <c r="BS19" s="125"/>
      <c r="BT19" s="125"/>
    </row>
    <row r="20" spans="1:72" hidden="1" outlineLevel="1" x14ac:dyDescent="0.25">
      <c r="A20" s="126" t="s">
        <v>635</v>
      </c>
      <c r="B20" s="127"/>
      <c r="C20" s="127"/>
      <c r="D20" s="127"/>
      <c r="E20" s="127"/>
      <c r="AM20" s="127"/>
      <c r="AN20" s="127"/>
      <c r="AO20" s="127"/>
      <c r="AP20" s="127"/>
      <c r="AQ20" s="127"/>
      <c r="AR20" s="127"/>
      <c r="AS20" s="127"/>
      <c r="AT20" s="127"/>
      <c r="AU20" s="127"/>
      <c r="AV20" s="127"/>
      <c r="AW20" s="127"/>
      <c r="AX20" s="127"/>
      <c r="AY20" s="127"/>
      <c r="AZ20" s="127"/>
      <c r="BA20" s="127"/>
      <c r="BB20" s="127"/>
      <c r="BC20" s="127"/>
      <c r="BD20" s="127"/>
      <c r="BE20" s="127"/>
      <c r="BF20" s="127"/>
      <c r="BG20" s="127"/>
      <c r="BH20" s="127"/>
      <c r="BI20" s="127"/>
      <c r="BJ20" s="127"/>
      <c r="BK20" s="127"/>
      <c r="BL20" s="127"/>
      <c r="BM20" s="127"/>
      <c r="BN20" s="127"/>
      <c r="BO20" s="127"/>
      <c r="BP20" s="127"/>
      <c r="BQ20" s="127"/>
      <c r="BR20" s="127"/>
      <c r="BS20" s="127"/>
      <c r="BT20" s="127"/>
    </row>
    <row r="21" spans="1:72" hidden="1" outlineLevel="1" x14ac:dyDescent="0.25">
      <c r="A21" s="124" t="s">
        <v>630</v>
      </c>
      <c r="B21" s="127" t="str">
        <f>IFERROR(VLOOKUP(B1,'Data Val'!$A$2:$B$5, 2, 0),"")</f>
        <v>char1</v>
      </c>
      <c r="C21" s="127" t="str">
        <f>IFERROR(VLOOKUP(C1,'Data Val'!$A$2:$B$5, 2, 0),"")</f>
        <v>char1</v>
      </c>
      <c r="D21" s="127" t="str">
        <f>IFERROR(VLOOKUP(D1,'Data Val'!$A$2:$B$5, 2, 0),"")</f>
        <v>char1</v>
      </c>
      <c r="E21" s="127" t="str">
        <f>IFERROR(VLOOKUP(E1,'Data Val'!$A$2:$B$5, 2, 0),"")</f>
        <v>char1</v>
      </c>
      <c r="F21" s="7" t="str">
        <f>IFERROR(VLOOKUP(F1,'Data Val'!$A$2:$B$5, 2, 0),"")</f>
        <v>char4</v>
      </c>
      <c r="G21" s="7" t="str">
        <f>IFERROR(VLOOKUP(G1,'Data Val'!$A$2:$B$5, 2, 0),"")</f>
        <v>char4</v>
      </c>
      <c r="H21" s="7" t="str">
        <f>IFERROR(VLOOKUP(H1,'Data Val'!$A$2:$B$5, 2, 0),"")</f>
        <v>char4</v>
      </c>
      <c r="I21" s="7" t="str">
        <f>IFERROR(VLOOKUP(I1,'Data Val'!$A$2:$B$5, 2, 0),"")</f>
        <v>char4</v>
      </c>
      <c r="J21" s="7" t="str">
        <f>IFERROR(VLOOKUP(J1,'Data Val'!$A$2:$B$5, 2, 0),"")</f>
        <v>char3</v>
      </c>
      <c r="K21" s="7" t="str">
        <f>IFERROR(VLOOKUP(K1,'Data Val'!$A$2:$B$5, 2, 0),"")</f>
        <v>char3</v>
      </c>
      <c r="L21" s="7" t="str">
        <f>IFERROR(VLOOKUP(L1,'Data Val'!$A$2:$B$5, 2, 0),"")</f>
        <v>char3</v>
      </c>
      <c r="M21" s="7" t="str">
        <f>IFERROR(VLOOKUP(M1,'Data Val'!$A$2:$B$5, 2, 0),"")</f>
        <v>char2</v>
      </c>
      <c r="N21" s="7" t="str">
        <f>IFERROR(VLOOKUP(N1,'Data Val'!$A$2:$B$5, 2, 0),"")</f>
        <v>char2</v>
      </c>
      <c r="O21" s="7" t="str">
        <f>IFERROR(VLOOKUP(O1,'Data Val'!$A$2:$B$5, 2, 0),"")</f>
        <v>char2</v>
      </c>
      <c r="P21" s="7" t="str">
        <f>IFERROR(VLOOKUP(P1,'Data Val'!$A$2:$B$5, 2, 0),"")</f>
        <v>char2</v>
      </c>
      <c r="Q21" s="7" t="str">
        <f>IFERROR(VLOOKUP(Q1,'Data Val'!$A$2:$B$5, 2, 0),"")</f>
        <v>char2</v>
      </c>
      <c r="R21" s="7" t="str">
        <f>IFERROR(VLOOKUP(R1,'Data Val'!$A$2:$B$5, 2, 0),"")</f>
        <v>char2</v>
      </c>
      <c r="S21" s="7" t="str">
        <f>IFERROR(VLOOKUP(S1,'Data Val'!$A$2:$B$5, 2, 0),"")</f>
        <v>char2</v>
      </c>
      <c r="T21" s="7" t="str">
        <f>IFERROR(VLOOKUP(T1,'Data Val'!$A$2:$B$5, 2, 0),"")</f>
        <v>char2</v>
      </c>
      <c r="U21" s="7" t="str">
        <f>IFERROR(VLOOKUP(U1,'Data Val'!$A$2:$B$5, 2, 0),"")</f>
        <v>char2</v>
      </c>
      <c r="V21" s="7" t="str">
        <f>IFERROR(VLOOKUP(V1,'Data Val'!$A$2:$B$5, 2, 0),"")</f>
        <v>char2</v>
      </c>
      <c r="W21" s="7" t="str">
        <f>IFERROR(VLOOKUP(W1,'Data Val'!$A$2:$B$5, 2, 0),"")</f>
        <v>char2</v>
      </c>
      <c r="X21" s="7" t="str">
        <f>IFERROR(VLOOKUP(X1,'Data Val'!$A$2:$B$5, 2, 0),"")</f>
        <v>char1</v>
      </c>
      <c r="Y21" s="7" t="str">
        <f>IFERROR(VLOOKUP(Y1,'Data Val'!$A$2:$B$5, 2, 0),"")</f>
        <v>char1</v>
      </c>
      <c r="Z21" s="7" t="str">
        <f>IFERROR(VLOOKUP(Z1,'Data Val'!$A$2:$B$5, 2, 0),"")</f>
        <v>char1</v>
      </c>
      <c r="AA21" s="7" t="str">
        <f>IFERROR(VLOOKUP(AA1,'Data Val'!$A$2:$B$5, 2, 0),"")</f>
        <v>char1</v>
      </c>
      <c r="AB21" s="7" t="str">
        <f>IFERROR(VLOOKUP(AB1,'Data Val'!$A$2:$B$5, 2, 0),"")</f>
        <v>char1</v>
      </c>
      <c r="AC21" s="7" t="str">
        <f>IFERROR(VLOOKUP(AC1,'Data Val'!$A$2:$B$5, 2, 0),"")</f>
        <v>char1</v>
      </c>
      <c r="AD21" s="7" t="str">
        <f>IFERROR(VLOOKUP(AD1,'Data Val'!$A$2:$B$5, 2, 0),"")</f>
        <v>char1</v>
      </c>
      <c r="AE21" s="7" t="str">
        <f>IFERROR(VLOOKUP(AE1,'Data Val'!$A$2:$B$5, 2, 0),"")</f>
        <v>char1</v>
      </c>
      <c r="AF21" s="7" t="str">
        <f>IFERROR(VLOOKUP(AF1,'Data Val'!$A$2:$B$5, 2, 0),"")</f>
        <v>char1</v>
      </c>
      <c r="AG21" s="7" t="str">
        <f>IFERROR(VLOOKUP(AG1,'Data Val'!$A$2:$B$5, 2, 0),"")</f>
        <v>char2</v>
      </c>
      <c r="AH21" s="7" t="str">
        <f>IFERROR(VLOOKUP(AH1,'Data Val'!$A$2:$B$5, 2, 0),"")</f>
        <v>char2</v>
      </c>
      <c r="AI21" s="7" t="str">
        <f>IFERROR(VLOOKUP(AI1,'Data Val'!$A$2:$B$5, 2, 0),"")</f>
        <v>char3</v>
      </c>
      <c r="AJ21" s="7" t="str">
        <f>IFERROR(VLOOKUP(AJ1,'Data Val'!$A$2:$B$5, 2, 0),"")</f>
        <v>char3</v>
      </c>
      <c r="AM21" s="127"/>
      <c r="AN21" s="127"/>
      <c r="AO21" s="127"/>
      <c r="AP21" s="127"/>
      <c r="AQ21" s="127"/>
      <c r="AR21" s="127"/>
      <c r="AS21" s="127"/>
      <c r="AT21" s="127"/>
      <c r="AU21" s="127"/>
      <c r="AV21" s="127"/>
      <c r="AW21" s="127"/>
      <c r="AX21" s="127"/>
      <c r="AY21" s="127"/>
      <c r="AZ21" s="127"/>
      <c r="BA21" s="127"/>
      <c r="BB21" s="127"/>
      <c r="BC21" s="127"/>
      <c r="BD21" s="127"/>
      <c r="BE21" s="127"/>
      <c r="BF21" s="127"/>
      <c r="BG21" s="127"/>
      <c r="BH21" s="127"/>
      <c r="BI21" s="127"/>
      <c r="BJ21" s="127"/>
      <c r="BK21" s="127"/>
      <c r="BL21" s="127"/>
      <c r="BM21" s="127"/>
      <c r="BN21" s="127"/>
      <c r="BO21" s="127"/>
      <c r="BP21" s="127"/>
      <c r="BQ21" s="127"/>
      <c r="BR21" s="127"/>
      <c r="BS21" s="127"/>
      <c r="BT21" s="127"/>
    </row>
    <row r="22" spans="1:72" hidden="1" outlineLevel="1" x14ac:dyDescent="0.25">
      <c r="A22" s="124" t="s">
        <v>62</v>
      </c>
      <c r="B22" s="127">
        <f>INDEX(Calculations!$AC$5:$AG$51, MATCH('Rotation Assembler'!$A22, Calculations!$AC$5:$AC$51, 0), MATCH('Rotation Assembler'!B$21, Calculations!$AC$5:$AG$5, 0))</f>
        <v>344.08</v>
      </c>
      <c r="C22" s="127">
        <f>INDEX(Calculations!$AC$5:$AG$51, MATCH('Rotation Assembler'!$A22, Calculations!$AC$5:$AC$51, 0), MATCH('Rotation Assembler'!C$21, Calculations!$AC$5:$AG$5, 0))</f>
        <v>344.08</v>
      </c>
      <c r="D22" s="127">
        <f>INDEX(Calculations!$AC$5:$AG$51, MATCH('Rotation Assembler'!$A22, Calculations!$AC$5:$AC$51, 0), MATCH('Rotation Assembler'!D$21, Calculations!$AC$5:$AG$5, 0))</f>
        <v>344.08</v>
      </c>
      <c r="E22" s="127">
        <f>INDEX(Calculations!$AC$5:$AG$51, MATCH('Rotation Assembler'!$A22, Calculations!$AC$5:$AC$51, 0), MATCH('Rotation Assembler'!E$21, Calculations!$AC$5:$AG$5, 0))</f>
        <v>344.08</v>
      </c>
      <c r="F22" s="7">
        <f>INDEX(Calculations!$AC$5:$AG$51, MATCH('Rotation Assembler'!$A22, Calculations!$AC$5:$AC$51, 0), MATCH('Rotation Assembler'!F$21, Calculations!$AC$5:$AG$5, 0))</f>
        <v>344.08</v>
      </c>
      <c r="G22" s="7">
        <f>INDEX(Calculations!$AC$5:$AG$51, MATCH('Rotation Assembler'!$A22, Calculations!$AC$5:$AC$51, 0), MATCH('Rotation Assembler'!G$21, Calculations!$AC$5:$AG$5, 0))</f>
        <v>344.08</v>
      </c>
      <c r="H22" s="7">
        <f>INDEX(Calculations!$AC$5:$AG$51, MATCH('Rotation Assembler'!$A22, Calculations!$AC$5:$AC$51, 0), MATCH('Rotation Assembler'!H$21, Calculations!$AC$5:$AG$5, 0))</f>
        <v>344.08</v>
      </c>
      <c r="I22" s="7">
        <f>INDEX(Calculations!$AC$5:$AG$51, MATCH('Rotation Assembler'!$A22, Calculations!$AC$5:$AC$51, 0), MATCH('Rotation Assembler'!I$21, Calculations!$AC$5:$AG$5, 0))</f>
        <v>344.08</v>
      </c>
      <c r="J22" s="7">
        <f>INDEX(Calculations!$AC$5:$AG$51, MATCH('Rotation Assembler'!$A22, Calculations!$AC$5:$AC$51, 0), MATCH('Rotation Assembler'!J$21, Calculations!$AC$5:$AG$5, 0))</f>
        <v>344.08</v>
      </c>
      <c r="K22" s="7">
        <f>INDEX(Calculations!$AC$5:$AG$51, MATCH('Rotation Assembler'!$A22, Calculations!$AC$5:$AC$51, 0), MATCH('Rotation Assembler'!K$21, Calculations!$AC$5:$AG$5, 0))</f>
        <v>344.08</v>
      </c>
      <c r="L22" s="7">
        <f>INDEX(Calculations!$AC$5:$AG$51, MATCH('Rotation Assembler'!$A22, Calculations!$AC$5:$AC$51, 0), MATCH('Rotation Assembler'!L$21, Calculations!$AC$5:$AG$5, 0))</f>
        <v>344.08</v>
      </c>
      <c r="M22" s="7">
        <f>INDEX(Calculations!$AC$5:$AG$51, MATCH('Rotation Assembler'!$A22, Calculations!$AC$5:$AC$51, 0), MATCH('Rotation Assembler'!M$21, Calculations!$AC$5:$AG$5, 0))</f>
        <v>1397.44</v>
      </c>
      <c r="N22" s="7">
        <f>INDEX(Calculations!$AC$5:$AG$51, MATCH('Rotation Assembler'!$A22, Calculations!$AC$5:$AC$51, 0), MATCH('Rotation Assembler'!N$21, Calculations!$AC$5:$AG$5, 0))</f>
        <v>1397.44</v>
      </c>
      <c r="O22" s="7">
        <f>INDEX(Calculations!$AC$5:$AG$51, MATCH('Rotation Assembler'!$A22, Calculations!$AC$5:$AC$51, 0), MATCH('Rotation Assembler'!O$21, Calculations!$AC$5:$AG$5, 0))</f>
        <v>1397.44</v>
      </c>
      <c r="P22" s="7">
        <f>INDEX(Calculations!$AC$5:$AG$51, MATCH('Rotation Assembler'!$A22, Calculations!$AC$5:$AC$51, 0), MATCH('Rotation Assembler'!P$21, Calculations!$AC$5:$AG$5, 0))</f>
        <v>1397.44</v>
      </c>
      <c r="Q22" s="7">
        <f>INDEX(Calculations!$AC$5:$AG$51, MATCH('Rotation Assembler'!$A22, Calculations!$AC$5:$AC$51, 0), MATCH('Rotation Assembler'!Q$21, Calculations!$AC$5:$AG$5, 0))</f>
        <v>1397.44</v>
      </c>
      <c r="R22" s="7">
        <f>INDEX(Calculations!$AC$5:$AG$51, MATCH('Rotation Assembler'!$A22, Calculations!$AC$5:$AC$51, 0), MATCH('Rotation Assembler'!R$21, Calculations!$AC$5:$AG$5, 0))</f>
        <v>1397.44</v>
      </c>
      <c r="S22" s="7">
        <f>INDEX(Calculations!$AC$5:$AG$51, MATCH('Rotation Assembler'!$A22, Calculations!$AC$5:$AC$51, 0), MATCH('Rotation Assembler'!S$21, Calculations!$AC$5:$AG$5, 0))</f>
        <v>1397.44</v>
      </c>
      <c r="T22" s="7">
        <f>INDEX(Calculations!$AC$5:$AG$51, MATCH('Rotation Assembler'!$A22, Calculations!$AC$5:$AC$51, 0), MATCH('Rotation Assembler'!T$21, Calculations!$AC$5:$AG$5, 0))</f>
        <v>1397.44</v>
      </c>
      <c r="U22" s="7">
        <f>INDEX(Calculations!$AC$5:$AG$51, MATCH('Rotation Assembler'!$A22, Calculations!$AC$5:$AC$51, 0), MATCH('Rotation Assembler'!U$21, Calculations!$AC$5:$AG$5, 0))</f>
        <v>1397.44</v>
      </c>
      <c r="V22" s="7">
        <f>INDEX(Calculations!$AC$5:$AG$51, MATCH('Rotation Assembler'!$A22, Calculations!$AC$5:$AC$51, 0), MATCH('Rotation Assembler'!V$21, Calculations!$AC$5:$AG$5, 0))</f>
        <v>1397.44</v>
      </c>
      <c r="W22" s="7">
        <f>INDEX(Calculations!$AC$5:$AG$51, MATCH('Rotation Assembler'!$A22, Calculations!$AC$5:$AC$51, 0), MATCH('Rotation Assembler'!W$21, Calculations!$AC$5:$AG$5, 0))</f>
        <v>1397.44</v>
      </c>
      <c r="X22" s="7">
        <f>INDEX(Calculations!$AC$5:$AG$51, MATCH('Rotation Assembler'!$A22, Calculations!$AC$5:$AC$51, 0), MATCH('Rotation Assembler'!X$21, Calculations!$AC$5:$AG$5, 0))</f>
        <v>344.08</v>
      </c>
      <c r="Y22" s="7">
        <f>INDEX(Calculations!$AC$5:$AG$51, MATCH('Rotation Assembler'!$A22, Calculations!$AC$5:$AC$51, 0), MATCH('Rotation Assembler'!Y$21, Calculations!$AC$5:$AG$5, 0))</f>
        <v>344.08</v>
      </c>
      <c r="Z22" s="7">
        <f>INDEX(Calculations!$AC$5:$AG$51, MATCH('Rotation Assembler'!$A22, Calculations!$AC$5:$AC$51, 0), MATCH('Rotation Assembler'!Z$21, Calculations!$AC$5:$AG$5, 0))</f>
        <v>344.08</v>
      </c>
      <c r="AA22" s="7">
        <f>INDEX(Calculations!$AC$5:$AG$51, MATCH('Rotation Assembler'!$A22, Calculations!$AC$5:$AC$51, 0), MATCH('Rotation Assembler'!AA$21, Calculations!$AC$5:$AG$5, 0))</f>
        <v>344.08</v>
      </c>
      <c r="AB22" s="7">
        <f>INDEX(Calculations!$AC$5:$AG$51, MATCH('Rotation Assembler'!$A22, Calculations!$AC$5:$AC$51, 0), MATCH('Rotation Assembler'!AB$21, Calculations!$AC$5:$AG$5, 0))</f>
        <v>344.08</v>
      </c>
      <c r="AC22" s="7">
        <f>INDEX(Calculations!$AC$5:$AG$51, MATCH('Rotation Assembler'!$A22, Calculations!$AC$5:$AC$51, 0), MATCH('Rotation Assembler'!AC$21, Calculations!$AC$5:$AG$5, 0))</f>
        <v>344.08</v>
      </c>
      <c r="AD22" s="7">
        <f>INDEX(Calculations!$AC$5:$AG$51, MATCH('Rotation Assembler'!$A22, Calculations!$AC$5:$AC$51, 0), MATCH('Rotation Assembler'!AD$21, Calculations!$AC$5:$AG$5, 0))</f>
        <v>344.08</v>
      </c>
      <c r="AE22" s="7">
        <f>INDEX(Calculations!$AC$5:$AG$51, MATCH('Rotation Assembler'!$A22, Calculations!$AC$5:$AC$51, 0), MATCH('Rotation Assembler'!AE$21, Calculations!$AC$5:$AG$5, 0))</f>
        <v>344.08</v>
      </c>
      <c r="AF22" s="7">
        <f>INDEX(Calculations!$AC$5:$AG$51, MATCH('Rotation Assembler'!$A22, Calculations!$AC$5:$AC$51, 0), MATCH('Rotation Assembler'!AF$21, Calculations!$AC$5:$AG$5, 0))</f>
        <v>344.08</v>
      </c>
      <c r="AG22" s="7">
        <f>INDEX(Calculations!$AC$5:$AG$51, MATCH('Rotation Assembler'!$A22, Calculations!$AC$5:$AC$51, 0), MATCH('Rotation Assembler'!AG$21, Calculations!$AC$5:$AG$5, 0))</f>
        <v>1397.44</v>
      </c>
      <c r="AH22" s="7">
        <f>INDEX(Calculations!$AC$5:$AG$51, MATCH('Rotation Assembler'!$A22, Calculations!$AC$5:$AC$51, 0), MATCH('Rotation Assembler'!AH$21, Calculations!$AC$5:$AG$5, 0))</f>
        <v>1397.44</v>
      </c>
      <c r="AI22" s="7">
        <f>INDEX(Calculations!$AC$5:$AG$51, MATCH('Rotation Assembler'!$A22, Calculations!$AC$5:$AC$51, 0), MATCH('Rotation Assembler'!AI$21, Calculations!$AC$5:$AG$5, 0))</f>
        <v>344.08</v>
      </c>
      <c r="AJ22" s="7">
        <f>INDEX(Calculations!$AC$5:$AG$51, MATCH('Rotation Assembler'!$A22, Calculations!$AC$5:$AC$51, 0), MATCH('Rotation Assembler'!AJ$21, Calculations!$AC$5:$AG$5, 0))</f>
        <v>344.08</v>
      </c>
      <c r="AM22" s="127"/>
      <c r="AN22" s="127"/>
      <c r="AO22" s="127"/>
      <c r="AP22" s="127"/>
      <c r="AQ22" s="127"/>
      <c r="AR22" s="127"/>
      <c r="AS22" s="127"/>
      <c r="AT22" s="127"/>
      <c r="AU22" s="127"/>
      <c r="AV22" s="127"/>
      <c r="AW22" s="127"/>
      <c r="AX22" s="127"/>
      <c r="AY22" s="127"/>
      <c r="AZ22" s="127"/>
      <c r="BA22" s="127"/>
      <c r="BB22" s="127"/>
      <c r="BC22" s="127"/>
      <c r="BD22" s="127"/>
      <c r="BE22" s="127"/>
      <c r="BF22" s="127"/>
      <c r="BG22" s="127"/>
      <c r="BH22" s="127"/>
      <c r="BI22" s="127"/>
      <c r="BJ22" s="127"/>
      <c r="BK22" s="127"/>
      <c r="BL22" s="127"/>
      <c r="BM22" s="127"/>
      <c r="BN22" s="127"/>
      <c r="BO22" s="127"/>
      <c r="BP22" s="127"/>
      <c r="BQ22" s="127"/>
      <c r="BR22" s="127"/>
      <c r="BS22" s="127"/>
      <c r="BT22" s="127"/>
    </row>
    <row r="23" spans="1:72" hidden="1" outlineLevel="1" x14ac:dyDescent="0.25">
      <c r="A23" s="124" t="s">
        <v>63</v>
      </c>
      <c r="B23" s="127">
        <f>INDEX(Calculations!$AC$5:$AG$51, MATCH('Rotation Assembler'!$A23, Calculations!$AC$5:$AC$51, 0), MATCH('Rotation Assembler'!B$21, Calculations!$AC$5:$AG$5, 0))</f>
        <v>39.36</v>
      </c>
      <c r="C23" s="127">
        <f>INDEX(Calculations!$AC$5:$AG$51, MATCH('Rotation Assembler'!$A23, Calculations!$AC$5:$AC$51, 0), MATCH('Rotation Assembler'!C$21, Calculations!$AC$5:$AG$5, 0))</f>
        <v>39.36</v>
      </c>
      <c r="D23" s="127">
        <f>INDEX(Calculations!$AC$5:$AG$51, MATCH('Rotation Assembler'!$A23, Calculations!$AC$5:$AC$51, 0), MATCH('Rotation Assembler'!D$21, Calculations!$AC$5:$AG$5, 0))</f>
        <v>39.36</v>
      </c>
      <c r="E23" s="127">
        <f>INDEX(Calculations!$AC$5:$AG$51, MATCH('Rotation Assembler'!$A23, Calculations!$AC$5:$AC$51, 0), MATCH('Rotation Assembler'!E$21, Calculations!$AC$5:$AG$5, 0))</f>
        <v>39.36</v>
      </c>
      <c r="F23" s="7">
        <f>INDEX(Calculations!$AC$5:$AG$51, MATCH('Rotation Assembler'!$A23, Calculations!$AC$5:$AC$51, 0), MATCH('Rotation Assembler'!F$21, Calculations!$AC$5:$AG$5, 0))</f>
        <v>39.36</v>
      </c>
      <c r="G23" s="7">
        <f>INDEX(Calculations!$AC$5:$AG$51, MATCH('Rotation Assembler'!$A23, Calculations!$AC$5:$AC$51, 0), MATCH('Rotation Assembler'!G$21, Calculations!$AC$5:$AG$5, 0))</f>
        <v>39.36</v>
      </c>
      <c r="H23" s="7">
        <f>INDEX(Calculations!$AC$5:$AG$51, MATCH('Rotation Assembler'!$A23, Calculations!$AC$5:$AC$51, 0), MATCH('Rotation Assembler'!H$21, Calculations!$AC$5:$AG$5, 0))</f>
        <v>39.36</v>
      </c>
      <c r="I23" s="7">
        <f>INDEX(Calculations!$AC$5:$AG$51, MATCH('Rotation Assembler'!$A23, Calculations!$AC$5:$AC$51, 0), MATCH('Rotation Assembler'!I$21, Calculations!$AC$5:$AG$5, 0))</f>
        <v>39.36</v>
      </c>
      <c r="J23" s="7">
        <f>INDEX(Calculations!$AC$5:$AG$51, MATCH('Rotation Assembler'!$A23, Calculations!$AC$5:$AC$51, 0), MATCH('Rotation Assembler'!J$21, Calculations!$AC$5:$AG$5, 0))</f>
        <v>39.36</v>
      </c>
      <c r="K23" s="7">
        <f>INDEX(Calculations!$AC$5:$AG$51, MATCH('Rotation Assembler'!$A23, Calculations!$AC$5:$AC$51, 0), MATCH('Rotation Assembler'!K$21, Calculations!$AC$5:$AG$5, 0))</f>
        <v>39.36</v>
      </c>
      <c r="L23" s="7">
        <f>INDEX(Calculations!$AC$5:$AG$51, MATCH('Rotation Assembler'!$A23, Calculations!$AC$5:$AC$51, 0), MATCH('Rotation Assembler'!L$21, Calculations!$AC$5:$AG$5, 0))</f>
        <v>39.36</v>
      </c>
      <c r="M23" s="7">
        <f>INDEX(Calculations!$AC$5:$AG$51, MATCH('Rotation Assembler'!$A23, Calculations!$AC$5:$AC$51, 0), MATCH('Rotation Assembler'!M$21, Calculations!$AC$5:$AG$5, 0))</f>
        <v>39.36</v>
      </c>
      <c r="N23" s="7">
        <f>INDEX(Calculations!$AC$5:$AG$51, MATCH('Rotation Assembler'!$A23, Calculations!$AC$5:$AC$51, 0), MATCH('Rotation Assembler'!N$21, Calculations!$AC$5:$AG$5, 0))</f>
        <v>39.36</v>
      </c>
      <c r="O23" s="7">
        <f>INDEX(Calculations!$AC$5:$AG$51, MATCH('Rotation Assembler'!$A23, Calculations!$AC$5:$AC$51, 0), MATCH('Rotation Assembler'!O$21, Calculations!$AC$5:$AG$5, 0))</f>
        <v>39.36</v>
      </c>
      <c r="P23" s="7">
        <f>INDEX(Calculations!$AC$5:$AG$51, MATCH('Rotation Assembler'!$A23, Calculations!$AC$5:$AC$51, 0), MATCH('Rotation Assembler'!P$21, Calculations!$AC$5:$AG$5, 0))</f>
        <v>39.36</v>
      </c>
      <c r="Q23" s="7">
        <f>INDEX(Calculations!$AC$5:$AG$51, MATCH('Rotation Assembler'!$A23, Calculations!$AC$5:$AC$51, 0), MATCH('Rotation Assembler'!Q$21, Calculations!$AC$5:$AG$5, 0))</f>
        <v>39.36</v>
      </c>
      <c r="R23" s="7">
        <f>INDEX(Calculations!$AC$5:$AG$51, MATCH('Rotation Assembler'!$A23, Calculations!$AC$5:$AC$51, 0), MATCH('Rotation Assembler'!R$21, Calculations!$AC$5:$AG$5, 0))</f>
        <v>39.36</v>
      </c>
      <c r="S23" s="7">
        <f>INDEX(Calculations!$AC$5:$AG$51, MATCH('Rotation Assembler'!$A23, Calculations!$AC$5:$AC$51, 0), MATCH('Rotation Assembler'!S$21, Calculations!$AC$5:$AG$5, 0))</f>
        <v>39.36</v>
      </c>
      <c r="T23" s="7">
        <f>INDEX(Calculations!$AC$5:$AG$51, MATCH('Rotation Assembler'!$A23, Calculations!$AC$5:$AC$51, 0), MATCH('Rotation Assembler'!T$21, Calculations!$AC$5:$AG$5, 0))</f>
        <v>39.36</v>
      </c>
      <c r="U23" s="7">
        <f>INDEX(Calculations!$AC$5:$AG$51, MATCH('Rotation Assembler'!$A23, Calculations!$AC$5:$AC$51, 0), MATCH('Rotation Assembler'!U$21, Calculations!$AC$5:$AG$5, 0))</f>
        <v>39.36</v>
      </c>
      <c r="V23" s="7">
        <f>INDEX(Calculations!$AC$5:$AG$51, MATCH('Rotation Assembler'!$A23, Calculations!$AC$5:$AC$51, 0), MATCH('Rotation Assembler'!V$21, Calculations!$AC$5:$AG$5, 0))</f>
        <v>39.36</v>
      </c>
      <c r="W23" s="7">
        <f>INDEX(Calculations!$AC$5:$AG$51, MATCH('Rotation Assembler'!$A23, Calculations!$AC$5:$AC$51, 0), MATCH('Rotation Assembler'!W$21, Calculations!$AC$5:$AG$5, 0))</f>
        <v>39.36</v>
      </c>
      <c r="X23" s="7">
        <f>INDEX(Calculations!$AC$5:$AG$51, MATCH('Rotation Assembler'!$A23, Calculations!$AC$5:$AC$51, 0), MATCH('Rotation Assembler'!X$21, Calculations!$AC$5:$AG$5, 0))</f>
        <v>39.36</v>
      </c>
      <c r="Y23" s="7">
        <f>INDEX(Calculations!$AC$5:$AG$51, MATCH('Rotation Assembler'!$A23, Calculations!$AC$5:$AC$51, 0), MATCH('Rotation Assembler'!Y$21, Calculations!$AC$5:$AG$5, 0))</f>
        <v>39.36</v>
      </c>
      <c r="Z23" s="7">
        <f>INDEX(Calculations!$AC$5:$AG$51, MATCH('Rotation Assembler'!$A23, Calculations!$AC$5:$AC$51, 0), MATCH('Rotation Assembler'!Z$21, Calculations!$AC$5:$AG$5, 0))</f>
        <v>39.36</v>
      </c>
      <c r="AA23" s="7">
        <f>INDEX(Calculations!$AC$5:$AG$51, MATCH('Rotation Assembler'!$A23, Calculations!$AC$5:$AC$51, 0), MATCH('Rotation Assembler'!AA$21, Calculations!$AC$5:$AG$5, 0))</f>
        <v>39.36</v>
      </c>
      <c r="AB23" s="7">
        <f>INDEX(Calculations!$AC$5:$AG$51, MATCH('Rotation Assembler'!$A23, Calculations!$AC$5:$AC$51, 0), MATCH('Rotation Assembler'!AB$21, Calculations!$AC$5:$AG$5, 0))</f>
        <v>39.36</v>
      </c>
      <c r="AC23" s="7">
        <f>INDEX(Calculations!$AC$5:$AG$51, MATCH('Rotation Assembler'!$A23, Calculations!$AC$5:$AC$51, 0), MATCH('Rotation Assembler'!AC$21, Calculations!$AC$5:$AG$5, 0))</f>
        <v>39.36</v>
      </c>
      <c r="AD23" s="7">
        <f>INDEX(Calculations!$AC$5:$AG$51, MATCH('Rotation Assembler'!$A23, Calculations!$AC$5:$AC$51, 0), MATCH('Rotation Assembler'!AD$21, Calculations!$AC$5:$AG$5, 0))</f>
        <v>39.36</v>
      </c>
      <c r="AE23" s="7">
        <f>INDEX(Calculations!$AC$5:$AG$51, MATCH('Rotation Assembler'!$A23, Calculations!$AC$5:$AC$51, 0), MATCH('Rotation Assembler'!AE$21, Calculations!$AC$5:$AG$5, 0))</f>
        <v>39.36</v>
      </c>
      <c r="AF23" s="7">
        <f>INDEX(Calculations!$AC$5:$AG$51, MATCH('Rotation Assembler'!$A23, Calculations!$AC$5:$AC$51, 0), MATCH('Rotation Assembler'!AF$21, Calculations!$AC$5:$AG$5, 0))</f>
        <v>39.36</v>
      </c>
      <c r="AG23" s="7">
        <f>INDEX(Calculations!$AC$5:$AG$51, MATCH('Rotation Assembler'!$A23, Calculations!$AC$5:$AC$51, 0), MATCH('Rotation Assembler'!AG$21, Calculations!$AC$5:$AG$5, 0))</f>
        <v>39.36</v>
      </c>
      <c r="AH23" s="7">
        <f>INDEX(Calculations!$AC$5:$AG$51, MATCH('Rotation Assembler'!$A23, Calculations!$AC$5:$AC$51, 0), MATCH('Rotation Assembler'!AH$21, Calculations!$AC$5:$AG$5, 0))</f>
        <v>39.36</v>
      </c>
      <c r="AI23" s="7">
        <f>INDEX(Calculations!$AC$5:$AG$51, MATCH('Rotation Assembler'!$A23, Calculations!$AC$5:$AC$51, 0), MATCH('Rotation Assembler'!AI$21, Calculations!$AC$5:$AG$5, 0))</f>
        <v>39.36</v>
      </c>
      <c r="AJ23" s="7">
        <f>INDEX(Calculations!$AC$5:$AG$51, MATCH('Rotation Assembler'!$A23, Calculations!$AC$5:$AC$51, 0), MATCH('Rotation Assembler'!AJ$21, Calculations!$AC$5:$AG$5, 0))</f>
        <v>39.36</v>
      </c>
      <c r="AM23" s="127"/>
      <c r="AN23" s="127"/>
      <c r="AO23" s="127"/>
      <c r="AP23" s="127"/>
      <c r="AQ23" s="127"/>
      <c r="AR23" s="127"/>
      <c r="AS23" s="127"/>
      <c r="AT23" s="127"/>
      <c r="AU23" s="127"/>
      <c r="AV23" s="127"/>
      <c r="AW23" s="127"/>
      <c r="AX23" s="127"/>
      <c r="AY23" s="127"/>
      <c r="AZ23" s="127"/>
      <c r="BA23" s="127"/>
      <c r="BB23" s="127"/>
      <c r="BC23" s="127"/>
      <c r="BD23" s="127"/>
      <c r="BE23" s="127"/>
      <c r="BF23" s="127"/>
      <c r="BG23" s="127"/>
      <c r="BH23" s="127"/>
      <c r="BI23" s="127"/>
      <c r="BJ23" s="127"/>
      <c r="BK23" s="127"/>
      <c r="BL23" s="127"/>
      <c r="BM23" s="127"/>
      <c r="BN23" s="127"/>
      <c r="BO23" s="127"/>
      <c r="BP23" s="127"/>
      <c r="BQ23" s="127"/>
      <c r="BR23" s="127"/>
      <c r="BS23" s="127"/>
      <c r="BT23" s="127"/>
    </row>
    <row r="24" spans="1:72" hidden="1" outlineLevel="1" x14ac:dyDescent="0.25">
      <c r="A24" s="124" t="s">
        <v>64</v>
      </c>
      <c r="B24" s="127">
        <f>INDEX(Calculations!$AC$5:$AG$51, MATCH('Rotation Assembler'!$A24, Calculations!$AC$5:$AC$51, 0), MATCH('Rotation Assembler'!B$21, Calculations!$AC$5:$AG$5, 0))</f>
        <v>5287.88</v>
      </c>
      <c r="C24" s="127">
        <f>INDEX(Calculations!$AC$5:$AG$51, MATCH('Rotation Assembler'!$A24, Calculations!$AC$5:$AC$51, 0), MATCH('Rotation Assembler'!C$21, Calculations!$AC$5:$AG$5, 0))</f>
        <v>5287.88</v>
      </c>
      <c r="D24" s="127">
        <f>INDEX(Calculations!$AC$5:$AG$51, MATCH('Rotation Assembler'!$A24, Calculations!$AC$5:$AC$51, 0), MATCH('Rotation Assembler'!D$21, Calculations!$AC$5:$AG$5, 0))</f>
        <v>5287.88</v>
      </c>
      <c r="E24" s="127">
        <f>INDEX(Calculations!$AC$5:$AG$51, MATCH('Rotation Assembler'!$A24, Calculations!$AC$5:$AC$51, 0), MATCH('Rotation Assembler'!E$21, Calculations!$AC$5:$AG$5, 0))</f>
        <v>5287.88</v>
      </c>
      <c r="F24" s="7">
        <f>INDEX(Calculations!$AC$5:$AG$51, MATCH('Rotation Assembler'!$A24, Calculations!$AC$5:$AC$51, 0), MATCH('Rotation Assembler'!F$21, Calculations!$AC$5:$AG$5, 0))</f>
        <v>5287.88</v>
      </c>
      <c r="G24" s="7">
        <f>INDEX(Calculations!$AC$5:$AG$51, MATCH('Rotation Assembler'!$A24, Calculations!$AC$5:$AC$51, 0), MATCH('Rotation Assembler'!G$21, Calculations!$AC$5:$AG$5, 0))</f>
        <v>5287.88</v>
      </c>
      <c r="H24" s="7">
        <f>INDEX(Calculations!$AC$5:$AG$51, MATCH('Rotation Assembler'!$A24, Calculations!$AC$5:$AC$51, 0), MATCH('Rotation Assembler'!H$21, Calculations!$AC$5:$AG$5, 0))</f>
        <v>5287.88</v>
      </c>
      <c r="I24" s="7">
        <f>INDEX(Calculations!$AC$5:$AG$51, MATCH('Rotation Assembler'!$A24, Calculations!$AC$5:$AC$51, 0), MATCH('Rotation Assembler'!I$21, Calculations!$AC$5:$AG$5, 0))</f>
        <v>5287.88</v>
      </c>
      <c r="J24" s="7">
        <f>INDEX(Calculations!$AC$5:$AG$51, MATCH('Rotation Assembler'!$A24, Calculations!$AC$5:$AC$51, 0), MATCH('Rotation Assembler'!J$21, Calculations!$AC$5:$AG$5, 0))</f>
        <v>5287.88</v>
      </c>
      <c r="K24" s="7">
        <f>INDEX(Calculations!$AC$5:$AG$51, MATCH('Rotation Assembler'!$A24, Calculations!$AC$5:$AC$51, 0), MATCH('Rotation Assembler'!K$21, Calculations!$AC$5:$AG$5, 0))</f>
        <v>5287.88</v>
      </c>
      <c r="L24" s="7">
        <f>INDEX(Calculations!$AC$5:$AG$51, MATCH('Rotation Assembler'!$A24, Calculations!$AC$5:$AC$51, 0), MATCH('Rotation Assembler'!L$21, Calculations!$AC$5:$AG$5, 0))</f>
        <v>5287.88</v>
      </c>
      <c r="M24" s="7">
        <f>INDEX(Calculations!$AC$5:$AG$51, MATCH('Rotation Assembler'!$A24, Calculations!$AC$5:$AC$51, 0), MATCH('Rotation Assembler'!M$21, Calculations!$AC$5:$AG$5, 0))</f>
        <v>2240.88</v>
      </c>
      <c r="N24" s="7">
        <f>INDEX(Calculations!$AC$5:$AG$51, MATCH('Rotation Assembler'!$A24, Calculations!$AC$5:$AC$51, 0), MATCH('Rotation Assembler'!N$21, Calculations!$AC$5:$AG$5, 0))</f>
        <v>2240.88</v>
      </c>
      <c r="O24" s="7">
        <f>INDEX(Calculations!$AC$5:$AG$51, MATCH('Rotation Assembler'!$A24, Calculations!$AC$5:$AC$51, 0), MATCH('Rotation Assembler'!O$21, Calculations!$AC$5:$AG$5, 0))</f>
        <v>2240.88</v>
      </c>
      <c r="P24" s="7">
        <f>INDEX(Calculations!$AC$5:$AG$51, MATCH('Rotation Assembler'!$A24, Calculations!$AC$5:$AC$51, 0), MATCH('Rotation Assembler'!P$21, Calculations!$AC$5:$AG$5, 0))</f>
        <v>2240.88</v>
      </c>
      <c r="Q24" s="7">
        <f>INDEX(Calculations!$AC$5:$AG$51, MATCH('Rotation Assembler'!$A24, Calculations!$AC$5:$AC$51, 0), MATCH('Rotation Assembler'!Q$21, Calculations!$AC$5:$AG$5, 0))</f>
        <v>2240.88</v>
      </c>
      <c r="R24" s="7">
        <f>INDEX(Calculations!$AC$5:$AG$51, MATCH('Rotation Assembler'!$A24, Calculations!$AC$5:$AC$51, 0), MATCH('Rotation Assembler'!R$21, Calculations!$AC$5:$AG$5, 0))</f>
        <v>2240.88</v>
      </c>
      <c r="S24" s="7">
        <f>INDEX(Calculations!$AC$5:$AG$51, MATCH('Rotation Assembler'!$A24, Calculations!$AC$5:$AC$51, 0), MATCH('Rotation Assembler'!S$21, Calculations!$AC$5:$AG$5, 0))</f>
        <v>2240.88</v>
      </c>
      <c r="T24" s="7">
        <f>INDEX(Calculations!$AC$5:$AG$51, MATCH('Rotation Assembler'!$A24, Calculations!$AC$5:$AC$51, 0), MATCH('Rotation Assembler'!T$21, Calculations!$AC$5:$AG$5, 0))</f>
        <v>2240.88</v>
      </c>
      <c r="U24" s="7">
        <f>INDEX(Calculations!$AC$5:$AG$51, MATCH('Rotation Assembler'!$A24, Calculations!$AC$5:$AC$51, 0), MATCH('Rotation Assembler'!U$21, Calculations!$AC$5:$AG$5, 0))</f>
        <v>2240.88</v>
      </c>
      <c r="V24" s="7">
        <f>INDEX(Calculations!$AC$5:$AG$51, MATCH('Rotation Assembler'!$A24, Calculations!$AC$5:$AC$51, 0), MATCH('Rotation Assembler'!V$21, Calculations!$AC$5:$AG$5, 0))</f>
        <v>2240.88</v>
      </c>
      <c r="W24" s="7">
        <f>INDEX(Calculations!$AC$5:$AG$51, MATCH('Rotation Assembler'!$A24, Calculations!$AC$5:$AC$51, 0), MATCH('Rotation Assembler'!W$21, Calculations!$AC$5:$AG$5, 0))</f>
        <v>2240.88</v>
      </c>
      <c r="X24" s="7">
        <f>INDEX(Calculations!$AC$5:$AG$51, MATCH('Rotation Assembler'!$A24, Calculations!$AC$5:$AC$51, 0), MATCH('Rotation Assembler'!X$21, Calculations!$AC$5:$AG$5, 0))</f>
        <v>5287.88</v>
      </c>
      <c r="Y24" s="7">
        <f>INDEX(Calculations!$AC$5:$AG$51, MATCH('Rotation Assembler'!$A24, Calculations!$AC$5:$AC$51, 0), MATCH('Rotation Assembler'!Y$21, Calculations!$AC$5:$AG$5, 0))</f>
        <v>5287.88</v>
      </c>
      <c r="Z24" s="7">
        <f>INDEX(Calculations!$AC$5:$AG$51, MATCH('Rotation Assembler'!$A24, Calculations!$AC$5:$AC$51, 0), MATCH('Rotation Assembler'!Z$21, Calculations!$AC$5:$AG$5, 0))</f>
        <v>5287.88</v>
      </c>
      <c r="AA24" s="7">
        <f>INDEX(Calculations!$AC$5:$AG$51, MATCH('Rotation Assembler'!$A24, Calculations!$AC$5:$AC$51, 0), MATCH('Rotation Assembler'!AA$21, Calculations!$AC$5:$AG$5, 0))</f>
        <v>5287.88</v>
      </c>
      <c r="AB24" s="7">
        <f>INDEX(Calculations!$AC$5:$AG$51, MATCH('Rotation Assembler'!$A24, Calculations!$AC$5:$AC$51, 0), MATCH('Rotation Assembler'!AB$21, Calculations!$AC$5:$AG$5, 0))</f>
        <v>5287.88</v>
      </c>
      <c r="AC24" s="7">
        <f>INDEX(Calculations!$AC$5:$AG$51, MATCH('Rotation Assembler'!$A24, Calculations!$AC$5:$AC$51, 0), MATCH('Rotation Assembler'!AC$21, Calculations!$AC$5:$AG$5, 0))</f>
        <v>5287.88</v>
      </c>
      <c r="AD24" s="7">
        <f>INDEX(Calculations!$AC$5:$AG$51, MATCH('Rotation Assembler'!$A24, Calculations!$AC$5:$AC$51, 0), MATCH('Rotation Assembler'!AD$21, Calculations!$AC$5:$AG$5, 0))</f>
        <v>5287.88</v>
      </c>
      <c r="AE24" s="7">
        <f>INDEX(Calculations!$AC$5:$AG$51, MATCH('Rotation Assembler'!$A24, Calculations!$AC$5:$AC$51, 0), MATCH('Rotation Assembler'!AE$21, Calculations!$AC$5:$AG$5, 0))</f>
        <v>5287.88</v>
      </c>
      <c r="AF24" s="7">
        <f>INDEX(Calculations!$AC$5:$AG$51, MATCH('Rotation Assembler'!$A24, Calculations!$AC$5:$AC$51, 0), MATCH('Rotation Assembler'!AF$21, Calculations!$AC$5:$AG$5, 0))</f>
        <v>5287.88</v>
      </c>
      <c r="AG24" s="7">
        <f>INDEX(Calculations!$AC$5:$AG$51, MATCH('Rotation Assembler'!$A24, Calculations!$AC$5:$AC$51, 0), MATCH('Rotation Assembler'!AG$21, Calculations!$AC$5:$AG$5, 0))</f>
        <v>2240.88</v>
      </c>
      <c r="AH24" s="7">
        <f>INDEX(Calculations!$AC$5:$AG$51, MATCH('Rotation Assembler'!$A24, Calculations!$AC$5:$AC$51, 0), MATCH('Rotation Assembler'!AH$21, Calculations!$AC$5:$AG$5, 0))</f>
        <v>2240.88</v>
      </c>
      <c r="AI24" s="7">
        <f>INDEX(Calculations!$AC$5:$AG$51, MATCH('Rotation Assembler'!$A24, Calculations!$AC$5:$AC$51, 0), MATCH('Rotation Assembler'!AI$21, Calculations!$AC$5:$AG$5, 0))</f>
        <v>5287.88</v>
      </c>
      <c r="AJ24" s="7">
        <f>INDEX(Calculations!$AC$5:$AG$51, MATCH('Rotation Assembler'!$A24, Calculations!$AC$5:$AC$51, 0), MATCH('Rotation Assembler'!AJ$21, Calculations!$AC$5:$AG$5, 0))</f>
        <v>5287.88</v>
      </c>
      <c r="AM24" s="127"/>
      <c r="AN24" s="127"/>
      <c r="AO24" s="127"/>
      <c r="AP24" s="127"/>
      <c r="AQ24" s="127"/>
      <c r="AR24" s="127"/>
      <c r="AS24" s="127"/>
      <c r="AT24" s="127"/>
      <c r="AU24" s="127"/>
      <c r="AV24" s="127"/>
      <c r="AW24" s="127"/>
      <c r="AX24" s="127"/>
      <c r="AY24" s="127"/>
      <c r="AZ24" s="127"/>
      <c r="BA24" s="127"/>
      <c r="BB24" s="127"/>
      <c r="BC24" s="127"/>
      <c r="BD24" s="127"/>
      <c r="BE24" s="127"/>
      <c r="BF24" s="127"/>
      <c r="BG24" s="127"/>
      <c r="BH24" s="127"/>
      <c r="BI24" s="127"/>
      <c r="BJ24" s="127"/>
      <c r="BK24" s="127"/>
      <c r="BL24" s="127"/>
      <c r="BM24" s="127"/>
      <c r="BN24" s="127"/>
      <c r="BO24" s="127"/>
      <c r="BP24" s="127"/>
      <c r="BQ24" s="127"/>
      <c r="BR24" s="127"/>
      <c r="BS24" s="127"/>
      <c r="BT24" s="127"/>
    </row>
    <row r="25" spans="1:72" hidden="1" outlineLevel="1" x14ac:dyDescent="0.25">
      <c r="A25" s="124" t="s">
        <v>69</v>
      </c>
      <c r="B25" s="127">
        <f>INDEX(Calculations!$AC$5:$AG$51, MATCH('Rotation Assembler'!$A25, Calculations!$AC$5:$AC$51, 0), MATCH('Rotation Assembler'!B$21, Calculations!$AC$5:$AG$5, 0))</f>
        <v>39.64</v>
      </c>
      <c r="C25" s="127">
        <f>INDEX(Calculations!$AC$5:$AG$51, MATCH('Rotation Assembler'!$A25, Calculations!$AC$5:$AC$51, 0), MATCH('Rotation Assembler'!C$21, Calculations!$AC$5:$AG$5, 0))</f>
        <v>39.64</v>
      </c>
      <c r="D25" s="127">
        <f>INDEX(Calculations!$AC$5:$AG$51, MATCH('Rotation Assembler'!$A25, Calculations!$AC$5:$AC$51, 0), MATCH('Rotation Assembler'!D$21, Calculations!$AC$5:$AG$5, 0))</f>
        <v>39.64</v>
      </c>
      <c r="E25" s="127">
        <f>INDEX(Calculations!$AC$5:$AG$51, MATCH('Rotation Assembler'!$A25, Calculations!$AC$5:$AC$51, 0), MATCH('Rotation Assembler'!E$21, Calculations!$AC$5:$AG$5, 0))</f>
        <v>39.64</v>
      </c>
      <c r="F25" s="7">
        <f>INDEX(Calculations!$AC$5:$AG$51, MATCH('Rotation Assembler'!$A25, Calculations!$AC$5:$AC$51, 0), MATCH('Rotation Assembler'!F$21, Calculations!$AC$5:$AG$5, 0))</f>
        <v>39.64</v>
      </c>
      <c r="G25" s="7">
        <f>INDEX(Calculations!$AC$5:$AG$51, MATCH('Rotation Assembler'!$A25, Calculations!$AC$5:$AC$51, 0), MATCH('Rotation Assembler'!G$21, Calculations!$AC$5:$AG$5, 0))</f>
        <v>39.64</v>
      </c>
      <c r="H25" s="7">
        <f>INDEX(Calculations!$AC$5:$AG$51, MATCH('Rotation Assembler'!$A25, Calculations!$AC$5:$AC$51, 0), MATCH('Rotation Assembler'!H$21, Calculations!$AC$5:$AG$5, 0))</f>
        <v>39.64</v>
      </c>
      <c r="I25" s="7">
        <f>INDEX(Calculations!$AC$5:$AG$51, MATCH('Rotation Assembler'!$A25, Calculations!$AC$5:$AC$51, 0), MATCH('Rotation Assembler'!I$21, Calculations!$AC$5:$AG$5, 0))</f>
        <v>39.64</v>
      </c>
      <c r="J25" s="7">
        <f>INDEX(Calculations!$AC$5:$AG$51, MATCH('Rotation Assembler'!$A25, Calculations!$AC$5:$AC$51, 0), MATCH('Rotation Assembler'!J$21, Calculations!$AC$5:$AG$5, 0))</f>
        <v>479.84000000000003</v>
      </c>
      <c r="K25" s="7">
        <f>INDEX(Calculations!$AC$5:$AG$51, MATCH('Rotation Assembler'!$A25, Calculations!$AC$5:$AC$51, 0), MATCH('Rotation Assembler'!K$21, Calculations!$AC$5:$AG$5, 0))</f>
        <v>479.84000000000003</v>
      </c>
      <c r="L25" s="7">
        <f>INDEX(Calculations!$AC$5:$AG$51, MATCH('Rotation Assembler'!$A25, Calculations!$AC$5:$AC$51, 0), MATCH('Rotation Assembler'!L$21, Calculations!$AC$5:$AG$5, 0))</f>
        <v>479.84000000000003</v>
      </c>
      <c r="M25" s="7">
        <f ca="1">INDEX(Calculations!$AC$5:$AG$51, MATCH('Rotation Assembler'!$A25, Calculations!$AC$5:$AC$51, 0), MATCH('Rotation Assembler'!M$21, Calculations!$AC$5:$AG$5, 0))</f>
        <v>322.64</v>
      </c>
      <c r="N25" s="7">
        <f ca="1">INDEX(Calculations!$AC$5:$AG$51, MATCH('Rotation Assembler'!$A25, Calculations!$AC$5:$AC$51, 0), MATCH('Rotation Assembler'!N$21, Calculations!$AC$5:$AG$5, 0))</f>
        <v>322.64</v>
      </c>
      <c r="O25" s="7">
        <f ca="1">INDEX(Calculations!$AC$5:$AG$51, MATCH('Rotation Assembler'!$A25, Calculations!$AC$5:$AC$51, 0), MATCH('Rotation Assembler'!O$21, Calculations!$AC$5:$AG$5, 0))</f>
        <v>322.64</v>
      </c>
      <c r="P25" s="7">
        <f ca="1">INDEX(Calculations!$AC$5:$AG$51, MATCH('Rotation Assembler'!$A25, Calculations!$AC$5:$AC$51, 0), MATCH('Rotation Assembler'!P$21, Calculations!$AC$5:$AG$5, 0))</f>
        <v>322.64</v>
      </c>
      <c r="Q25" s="7">
        <f ca="1">INDEX(Calculations!$AC$5:$AG$51, MATCH('Rotation Assembler'!$A25, Calculations!$AC$5:$AC$51, 0), MATCH('Rotation Assembler'!Q$21, Calculations!$AC$5:$AG$5, 0))</f>
        <v>322.64</v>
      </c>
      <c r="R25" s="7">
        <f ca="1">INDEX(Calculations!$AC$5:$AG$51, MATCH('Rotation Assembler'!$A25, Calculations!$AC$5:$AC$51, 0), MATCH('Rotation Assembler'!R$21, Calculations!$AC$5:$AG$5, 0))</f>
        <v>322.64</v>
      </c>
      <c r="S25" s="7">
        <f ca="1">INDEX(Calculations!$AC$5:$AG$51, MATCH('Rotation Assembler'!$A25, Calculations!$AC$5:$AC$51, 0), MATCH('Rotation Assembler'!S$21, Calculations!$AC$5:$AG$5, 0))</f>
        <v>322.64</v>
      </c>
      <c r="T25" s="7">
        <f ca="1">INDEX(Calculations!$AC$5:$AG$51, MATCH('Rotation Assembler'!$A25, Calculations!$AC$5:$AC$51, 0), MATCH('Rotation Assembler'!T$21, Calculations!$AC$5:$AG$5, 0))</f>
        <v>322.64</v>
      </c>
      <c r="U25" s="7">
        <f ca="1">INDEX(Calculations!$AC$5:$AG$51, MATCH('Rotation Assembler'!$A25, Calculations!$AC$5:$AC$51, 0), MATCH('Rotation Assembler'!U$21, Calculations!$AC$5:$AG$5, 0))</f>
        <v>322.64</v>
      </c>
      <c r="V25" s="7">
        <f ca="1">INDEX(Calculations!$AC$5:$AG$51, MATCH('Rotation Assembler'!$A25, Calculations!$AC$5:$AC$51, 0), MATCH('Rotation Assembler'!V$21, Calculations!$AC$5:$AG$5, 0))</f>
        <v>322.64</v>
      </c>
      <c r="W25" s="7">
        <f ca="1">INDEX(Calculations!$AC$5:$AG$51, MATCH('Rotation Assembler'!$A25, Calculations!$AC$5:$AC$51, 0), MATCH('Rotation Assembler'!W$21, Calculations!$AC$5:$AG$5, 0))</f>
        <v>322.64</v>
      </c>
      <c r="X25" s="7">
        <f>INDEX(Calculations!$AC$5:$AG$51, MATCH('Rotation Assembler'!$A25, Calculations!$AC$5:$AC$51, 0), MATCH('Rotation Assembler'!X$21, Calculations!$AC$5:$AG$5, 0))</f>
        <v>39.64</v>
      </c>
      <c r="Y25" s="7">
        <f>INDEX(Calculations!$AC$5:$AG$51, MATCH('Rotation Assembler'!$A25, Calculations!$AC$5:$AC$51, 0), MATCH('Rotation Assembler'!Y$21, Calculations!$AC$5:$AG$5, 0))</f>
        <v>39.64</v>
      </c>
      <c r="Z25" s="7">
        <f>INDEX(Calculations!$AC$5:$AG$51, MATCH('Rotation Assembler'!$A25, Calculations!$AC$5:$AC$51, 0), MATCH('Rotation Assembler'!Z$21, Calculations!$AC$5:$AG$5, 0))</f>
        <v>39.64</v>
      </c>
      <c r="AA25" s="7">
        <f>INDEX(Calculations!$AC$5:$AG$51, MATCH('Rotation Assembler'!$A25, Calculations!$AC$5:$AC$51, 0), MATCH('Rotation Assembler'!AA$21, Calculations!$AC$5:$AG$5, 0))</f>
        <v>39.64</v>
      </c>
      <c r="AB25" s="7">
        <f>INDEX(Calculations!$AC$5:$AG$51, MATCH('Rotation Assembler'!$A25, Calculations!$AC$5:$AC$51, 0), MATCH('Rotation Assembler'!AB$21, Calculations!$AC$5:$AG$5, 0))</f>
        <v>39.64</v>
      </c>
      <c r="AC25" s="7">
        <f>INDEX(Calculations!$AC$5:$AG$51, MATCH('Rotation Assembler'!$A25, Calculations!$AC$5:$AC$51, 0), MATCH('Rotation Assembler'!AC$21, Calculations!$AC$5:$AG$5, 0))</f>
        <v>39.64</v>
      </c>
      <c r="AD25" s="7">
        <f>INDEX(Calculations!$AC$5:$AG$51, MATCH('Rotation Assembler'!$A25, Calculations!$AC$5:$AC$51, 0), MATCH('Rotation Assembler'!AD$21, Calculations!$AC$5:$AG$5, 0))</f>
        <v>39.64</v>
      </c>
      <c r="AE25" s="7">
        <f>INDEX(Calculations!$AC$5:$AG$51, MATCH('Rotation Assembler'!$A25, Calculations!$AC$5:$AC$51, 0), MATCH('Rotation Assembler'!AE$21, Calculations!$AC$5:$AG$5, 0))</f>
        <v>39.64</v>
      </c>
      <c r="AF25" s="7">
        <f>INDEX(Calculations!$AC$5:$AG$51, MATCH('Rotation Assembler'!$A25, Calculations!$AC$5:$AC$51, 0), MATCH('Rotation Assembler'!AF$21, Calculations!$AC$5:$AG$5, 0))</f>
        <v>39.64</v>
      </c>
      <c r="AG25" s="7">
        <f ca="1">INDEX(Calculations!$AC$5:$AG$51, MATCH('Rotation Assembler'!$A25, Calculations!$AC$5:$AC$51, 0), MATCH('Rotation Assembler'!AG$21, Calculations!$AC$5:$AG$5, 0))</f>
        <v>322.64</v>
      </c>
      <c r="AH25" s="7">
        <f ca="1">INDEX(Calculations!$AC$5:$AG$51, MATCH('Rotation Assembler'!$A25, Calculations!$AC$5:$AC$51, 0), MATCH('Rotation Assembler'!AH$21, Calculations!$AC$5:$AG$5, 0))</f>
        <v>322.64</v>
      </c>
      <c r="AI25" s="7">
        <f>INDEX(Calculations!$AC$5:$AG$51, MATCH('Rotation Assembler'!$A25, Calculations!$AC$5:$AC$51, 0), MATCH('Rotation Assembler'!AI$21, Calculations!$AC$5:$AG$5, 0))</f>
        <v>479.84000000000003</v>
      </c>
      <c r="AJ25" s="7">
        <f>INDEX(Calculations!$AC$5:$AG$51, MATCH('Rotation Assembler'!$A25, Calculations!$AC$5:$AC$51, 0), MATCH('Rotation Assembler'!AJ$21, Calculations!$AC$5:$AG$5, 0))</f>
        <v>479.84000000000003</v>
      </c>
      <c r="AM25" s="127"/>
      <c r="AN25" s="127"/>
      <c r="AO25" s="127"/>
      <c r="AP25" s="127"/>
      <c r="AQ25" s="127"/>
      <c r="AR25" s="127"/>
      <c r="AS25" s="127"/>
      <c r="AT25" s="127"/>
      <c r="AU25" s="127"/>
      <c r="AV25" s="127"/>
      <c r="AW25" s="127"/>
      <c r="AX25" s="127"/>
      <c r="AY25" s="127"/>
      <c r="AZ25" s="127"/>
      <c r="BA25" s="127"/>
      <c r="BB25" s="127"/>
      <c r="BC25" s="127"/>
      <c r="BD25" s="127"/>
      <c r="BE25" s="127"/>
      <c r="BF25" s="127"/>
      <c r="BG25" s="127"/>
      <c r="BH25" s="127"/>
      <c r="BI25" s="127"/>
      <c r="BJ25" s="127"/>
      <c r="BK25" s="127"/>
      <c r="BL25" s="127"/>
      <c r="BM25" s="127"/>
      <c r="BN25" s="127"/>
      <c r="BO25" s="127"/>
      <c r="BP25" s="127"/>
      <c r="BQ25" s="127"/>
      <c r="BR25" s="127"/>
      <c r="BS25" s="127"/>
      <c r="BT25" s="127"/>
    </row>
    <row r="26" spans="1:72" hidden="1" outlineLevel="1" x14ac:dyDescent="0.25">
      <c r="A26" s="124" t="s">
        <v>65</v>
      </c>
      <c r="B26" s="128">
        <f>INDEX(Calculations!$AC$5:$AG$51, MATCH('Rotation Assembler'!$A26, Calculations!$AC$5:$AC$51, 0), MATCH('Rotation Assembler'!B$21, Calculations!$AC$5:$AG$5, 0))</f>
        <v>0.81520000000000004</v>
      </c>
      <c r="C26" s="128">
        <f>INDEX(Calculations!$AC$5:$AG$51, MATCH('Rotation Assembler'!$A26, Calculations!$AC$5:$AC$51, 0), MATCH('Rotation Assembler'!C$21, Calculations!$AC$5:$AG$5, 0))</f>
        <v>0.81520000000000004</v>
      </c>
      <c r="D26" s="128">
        <f>INDEX(Calculations!$AC$5:$AG$51, MATCH('Rotation Assembler'!$A26, Calculations!$AC$5:$AC$51, 0), MATCH('Rotation Assembler'!D$21, Calculations!$AC$5:$AG$5, 0))</f>
        <v>0.81520000000000004</v>
      </c>
      <c r="E26" s="128">
        <f>INDEX(Calculations!$AC$5:$AG$51, MATCH('Rotation Assembler'!$A26, Calculations!$AC$5:$AC$51, 0), MATCH('Rotation Assembler'!E$21, Calculations!$AC$5:$AG$5, 0))</f>
        <v>0.81520000000000004</v>
      </c>
      <c r="F26" s="128">
        <f ca="1">INDEX(Calculations!$AC$5:$AG$51, MATCH('Rotation Assembler'!$A26, Calculations!$AC$5:$AC$51, 0), MATCH('Rotation Assembler'!F$21, Calculations!$AC$5:$AG$5, 0))</f>
        <v>1.2021999999999999</v>
      </c>
      <c r="G26" s="128">
        <f ca="1">INDEX(Calculations!$AC$5:$AG$51, MATCH('Rotation Assembler'!$A26, Calculations!$AC$5:$AC$51, 0), MATCH('Rotation Assembler'!G$21, Calculations!$AC$5:$AG$5, 0))</f>
        <v>1.2021999999999999</v>
      </c>
      <c r="H26" s="128">
        <f ca="1">INDEX(Calculations!$AC$5:$AG$51, MATCH('Rotation Assembler'!$A26, Calculations!$AC$5:$AC$51, 0), MATCH('Rotation Assembler'!H$21, Calculations!$AC$5:$AG$5, 0))</f>
        <v>1.2021999999999999</v>
      </c>
      <c r="I26" s="128">
        <f ca="1">INDEX(Calculations!$AC$5:$AG$51, MATCH('Rotation Assembler'!$A26, Calculations!$AC$5:$AC$51, 0), MATCH('Rotation Assembler'!I$21, Calculations!$AC$5:$AG$5, 0))</f>
        <v>1.2021999999999999</v>
      </c>
      <c r="J26" s="128">
        <f>INDEX(Calculations!$AC$5:$AG$51, MATCH('Rotation Assembler'!$A26, Calculations!$AC$5:$AC$51, 0), MATCH('Rotation Assembler'!J$21, Calculations!$AC$5:$AG$5, 0))</f>
        <v>0.54920000000000002</v>
      </c>
      <c r="K26" s="128">
        <f>INDEX(Calculations!$AC$5:$AG$51, MATCH('Rotation Assembler'!$A26, Calculations!$AC$5:$AC$51, 0), MATCH('Rotation Assembler'!K$21, Calculations!$AC$5:$AG$5, 0))</f>
        <v>0.54920000000000002</v>
      </c>
      <c r="L26" s="128">
        <f>INDEX(Calculations!$AC$5:$AG$51, MATCH('Rotation Assembler'!$A26, Calculations!$AC$5:$AC$51, 0), MATCH('Rotation Assembler'!L$21, Calculations!$AC$5:$AG$5, 0))</f>
        <v>0.54920000000000002</v>
      </c>
      <c r="M26" s="128">
        <f>INDEX(Calculations!$AC$5:$AG$51, MATCH('Rotation Assembler'!$A26, Calculations!$AC$5:$AC$51, 0), MATCH('Rotation Assembler'!M$21, Calculations!$AC$5:$AG$5, 0))</f>
        <v>0.34920000000000001</v>
      </c>
      <c r="N26" s="128">
        <f>INDEX(Calculations!$AC$5:$AG$51, MATCH('Rotation Assembler'!$A26, Calculations!$AC$5:$AC$51, 0), MATCH('Rotation Assembler'!N$21, Calculations!$AC$5:$AG$5, 0))</f>
        <v>0.34920000000000001</v>
      </c>
      <c r="O26" s="128">
        <f>INDEX(Calculations!$AC$5:$AG$51, MATCH('Rotation Assembler'!$A26, Calculations!$AC$5:$AC$51, 0), MATCH('Rotation Assembler'!O$21, Calculations!$AC$5:$AG$5, 0))</f>
        <v>0.34920000000000001</v>
      </c>
      <c r="P26" s="128">
        <f>INDEX(Calculations!$AC$5:$AG$51, MATCH('Rotation Assembler'!$A26, Calculations!$AC$5:$AC$51, 0), MATCH('Rotation Assembler'!P$21, Calculations!$AC$5:$AG$5, 0))</f>
        <v>0.34920000000000001</v>
      </c>
      <c r="Q26" s="128">
        <f>INDEX(Calculations!$AC$5:$AG$51, MATCH('Rotation Assembler'!$A26, Calculations!$AC$5:$AC$51, 0), MATCH('Rotation Assembler'!Q$21, Calculations!$AC$5:$AG$5, 0))</f>
        <v>0.34920000000000001</v>
      </c>
      <c r="R26" s="128">
        <f>INDEX(Calculations!$AC$5:$AG$51, MATCH('Rotation Assembler'!$A26, Calculations!$AC$5:$AC$51, 0), MATCH('Rotation Assembler'!R$21, Calculations!$AC$5:$AG$5, 0))</f>
        <v>0.34920000000000001</v>
      </c>
      <c r="S26" s="128">
        <f>INDEX(Calculations!$AC$5:$AG$51, MATCH('Rotation Assembler'!$A26, Calculations!$AC$5:$AC$51, 0), MATCH('Rotation Assembler'!S$21, Calculations!$AC$5:$AG$5, 0))</f>
        <v>0.34920000000000001</v>
      </c>
      <c r="T26" s="128">
        <f>INDEX(Calculations!$AC$5:$AG$51, MATCH('Rotation Assembler'!$A26, Calculations!$AC$5:$AC$51, 0), MATCH('Rotation Assembler'!T$21, Calculations!$AC$5:$AG$5, 0))</f>
        <v>0.34920000000000001</v>
      </c>
      <c r="U26" s="128">
        <f>INDEX(Calculations!$AC$5:$AG$51, MATCH('Rotation Assembler'!$A26, Calculations!$AC$5:$AC$51, 0), MATCH('Rotation Assembler'!U$21, Calculations!$AC$5:$AG$5, 0))</f>
        <v>0.34920000000000001</v>
      </c>
      <c r="V26" s="128">
        <f>INDEX(Calculations!$AC$5:$AG$51, MATCH('Rotation Assembler'!$A26, Calculations!$AC$5:$AC$51, 0), MATCH('Rotation Assembler'!V$21, Calculations!$AC$5:$AG$5, 0))</f>
        <v>0.34920000000000001</v>
      </c>
      <c r="W26" s="128">
        <f>INDEX(Calculations!$AC$5:$AG$51, MATCH('Rotation Assembler'!$A26, Calculations!$AC$5:$AC$51, 0), MATCH('Rotation Assembler'!W$21, Calculations!$AC$5:$AG$5, 0))</f>
        <v>0.34920000000000001</v>
      </c>
      <c r="X26" s="128">
        <f>INDEX(Calculations!$AC$5:$AG$51, MATCH('Rotation Assembler'!$A26, Calculations!$AC$5:$AC$51, 0), MATCH('Rotation Assembler'!X$21, Calculations!$AC$5:$AG$5, 0))</f>
        <v>0.81520000000000004</v>
      </c>
      <c r="Y26" s="128">
        <f>INDEX(Calculations!$AC$5:$AG$51, MATCH('Rotation Assembler'!$A26, Calculations!$AC$5:$AC$51, 0), MATCH('Rotation Assembler'!Y$21, Calculations!$AC$5:$AG$5, 0))</f>
        <v>0.81520000000000004</v>
      </c>
      <c r="Z26" s="128">
        <f>INDEX(Calculations!$AC$5:$AG$51, MATCH('Rotation Assembler'!$A26, Calculations!$AC$5:$AC$51, 0), MATCH('Rotation Assembler'!Z$21, Calculations!$AC$5:$AG$5, 0))</f>
        <v>0.81520000000000004</v>
      </c>
      <c r="AA26" s="128">
        <f>INDEX(Calculations!$AC$5:$AG$51, MATCH('Rotation Assembler'!$A26, Calculations!$AC$5:$AC$51, 0), MATCH('Rotation Assembler'!AA$21, Calculations!$AC$5:$AG$5, 0))</f>
        <v>0.81520000000000004</v>
      </c>
      <c r="AB26" s="128">
        <f>INDEX(Calculations!$AC$5:$AG$51, MATCH('Rotation Assembler'!$A26, Calculations!$AC$5:$AC$51, 0), MATCH('Rotation Assembler'!AB$21, Calculations!$AC$5:$AG$5, 0))</f>
        <v>0.81520000000000004</v>
      </c>
      <c r="AC26" s="128">
        <f>INDEX(Calculations!$AC$5:$AG$51, MATCH('Rotation Assembler'!$A26, Calculations!$AC$5:$AC$51, 0), MATCH('Rotation Assembler'!AC$21, Calculations!$AC$5:$AG$5, 0))</f>
        <v>0.81520000000000004</v>
      </c>
      <c r="AD26" s="128">
        <f>INDEX(Calculations!$AC$5:$AG$51, MATCH('Rotation Assembler'!$A26, Calculations!$AC$5:$AC$51, 0), MATCH('Rotation Assembler'!AD$21, Calculations!$AC$5:$AG$5, 0))</f>
        <v>0.81520000000000004</v>
      </c>
      <c r="AE26" s="128">
        <f>INDEX(Calculations!$AC$5:$AG$51, MATCH('Rotation Assembler'!$A26, Calculations!$AC$5:$AC$51, 0), MATCH('Rotation Assembler'!AE$21, Calculations!$AC$5:$AG$5, 0))</f>
        <v>0.81520000000000004</v>
      </c>
      <c r="AF26" s="128">
        <f>INDEX(Calculations!$AC$5:$AG$51, MATCH('Rotation Assembler'!$A26, Calculations!$AC$5:$AC$51, 0), MATCH('Rotation Assembler'!AF$21, Calculations!$AC$5:$AG$5, 0))</f>
        <v>0.81520000000000004</v>
      </c>
      <c r="AG26" s="128">
        <f>INDEX(Calculations!$AC$5:$AG$51, MATCH('Rotation Assembler'!$A26, Calculations!$AC$5:$AC$51, 0), MATCH('Rotation Assembler'!AG$21, Calculations!$AC$5:$AG$5, 0))</f>
        <v>0.34920000000000001</v>
      </c>
      <c r="AH26" s="128">
        <f>INDEX(Calculations!$AC$5:$AG$51, MATCH('Rotation Assembler'!$A26, Calculations!$AC$5:$AC$51, 0), MATCH('Rotation Assembler'!AH$21, Calculations!$AC$5:$AG$5, 0))</f>
        <v>0.34920000000000001</v>
      </c>
      <c r="AI26" s="128">
        <f>INDEX(Calculations!$AC$5:$AG$51, MATCH('Rotation Assembler'!$A26, Calculations!$AC$5:$AC$51, 0), MATCH('Rotation Assembler'!AI$21, Calculations!$AC$5:$AG$5, 0))</f>
        <v>0.54920000000000002</v>
      </c>
      <c r="AJ26" s="128">
        <f>INDEX(Calculations!$AC$5:$AG$51, MATCH('Rotation Assembler'!$A26, Calculations!$AC$5:$AC$51, 0), MATCH('Rotation Assembler'!AJ$21, Calculations!$AC$5:$AG$5, 0))</f>
        <v>0.54920000000000002</v>
      </c>
      <c r="AK26" s="128"/>
      <c r="AL26" s="128"/>
      <c r="AM26" s="128"/>
      <c r="AN26" s="128"/>
      <c r="AO26" s="128"/>
      <c r="AP26" s="128"/>
      <c r="AQ26" s="128"/>
      <c r="AR26" s="128"/>
      <c r="AS26" s="128"/>
      <c r="AT26" s="128"/>
      <c r="AU26" s="128"/>
      <c r="AV26" s="128"/>
      <c r="AW26" s="128"/>
      <c r="AX26" s="128"/>
      <c r="AY26" s="128"/>
      <c r="AZ26" s="128"/>
      <c r="BA26" s="128"/>
      <c r="BB26" s="128"/>
      <c r="BC26" s="128"/>
      <c r="BD26" s="128"/>
      <c r="BE26" s="128"/>
      <c r="BF26" s="128"/>
      <c r="BG26" s="128"/>
      <c r="BH26" s="128"/>
      <c r="BI26" s="128"/>
      <c r="BJ26" s="128"/>
      <c r="BK26" s="128"/>
      <c r="BL26" s="128"/>
      <c r="BM26" s="128"/>
      <c r="BN26" s="128"/>
      <c r="BO26" s="128"/>
      <c r="BP26" s="128"/>
      <c r="BQ26" s="128"/>
      <c r="BR26" s="128"/>
      <c r="BS26" s="128"/>
      <c r="BT26" s="128"/>
    </row>
    <row r="27" spans="1:72" hidden="1" outlineLevel="1" x14ac:dyDescent="0.25">
      <c r="A27" s="124" t="s">
        <v>66</v>
      </c>
      <c r="B27" s="128">
        <f>INDEX(Calculations!$AC$5:$AG$51, MATCH('Rotation Assembler'!$A27, Calculations!$AC$5:$AC$51, 0), MATCH('Rotation Assembler'!B$21, Calculations!$AC$5:$AG$5, 0))</f>
        <v>0.124</v>
      </c>
      <c r="C27" s="128">
        <f>INDEX(Calculations!$AC$5:$AG$51, MATCH('Rotation Assembler'!$A27, Calculations!$AC$5:$AC$51, 0), MATCH('Rotation Assembler'!C$21, Calculations!$AC$5:$AG$5, 0))</f>
        <v>0.124</v>
      </c>
      <c r="D27" s="128">
        <f>INDEX(Calculations!$AC$5:$AG$51, MATCH('Rotation Assembler'!$A27, Calculations!$AC$5:$AC$51, 0), MATCH('Rotation Assembler'!D$21, Calculations!$AC$5:$AG$5, 0))</f>
        <v>0.124</v>
      </c>
      <c r="E27" s="128">
        <f>INDEX(Calculations!$AC$5:$AG$51, MATCH('Rotation Assembler'!$A27, Calculations!$AC$5:$AC$51, 0), MATCH('Rotation Assembler'!E$21, Calculations!$AC$5:$AG$5, 0))</f>
        <v>0.124</v>
      </c>
      <c r="F27" s="128">
        <f>INDEX(Calculations!$AC$5:$AG$51, MATCH('Rotation Assembler'!$A27, Calculations!$AC$5:$AC$51, 0), MATCH('Rotation Assembler'!F$21, Calculations!$AC$5:$AG$5, 0))</f>
        <v>0.124</v>
      </c>
      <c r="G27" s="128">
        <f>INDEX(Calculations!$AC$5:$AG$51, MATCH('Rotation Assembler'!$A27, Calculations!$AC$5:$AC$51, 0), MATCH('Rotation Assembler'!G$21, Calculations!$AC$5:$AG$5, 0))</f>
        <v>0.124</v>
      </c>
      <c r="H27" s="128">
        <f>INDEX(Calculations!$AC$5:$AG$51, MATCH('Rotation Assembler'!$A27, Calculations!$AC$5:$AC$51, 0), MATCH('Rotation Assembler'!H$21, Calculations!$AC$5:$AG$5, 0))</f>
        <v>0.124</v>
      </c>
      <c r="I27" s="128">
        <f>INDEX(Calculations!$AC$5:$AG$51, MATCH('Rotation Assembler'!$A27, Calculations!$AC$5:$AC$51, 0), MATCH('Rotation Assembler'!I$21, Calculations!$AC$5:$AG$5, 0))</f>
        <v>0.124</v>
      </c>
      <c r="J27" s="128">
        <f>INDEX(Calculations!$AC$5:$AG$51, MATCH('Rotation Assembler'!$A27, Calculations!$AC$5:$AC$51, 0), MATCH('Rotation Assembler'!J$21, Calculations!$AC$5:$AG$5, 0))</f>
        <v>0.124</v>
      </c>
      <c r="K27" s="128">
        <f>INDEX(Calculations!$AC$5:$AG$51, MATCH('Rotation Assembler'!$A27, Calculations!$AC$5:$AC$51, 0), MATCH('Rotation Assembler'!K$21, Calculations!$AC$5:$AG$5, 0))</f>
        <v>0.124</v>
      </c>
      <c r="L27" s="128">
        <f>INDEX(Calculations!$AC$5:$AG$51, MATCH('Rotation Assembler'!$A27, Calculations!$AC$5:$AC$51, 0), MATCH('Rotation Assembler'!L$21, Calculations!$AC$5:$AG$5, 0))</f>
        <v>0.124</v>
      </c>
      <c r="M27" s="128">
        <f>INDEX(Calculations!$AC$5:$AG$51, MATCH('Rotation Assembler'!$A27, Calculations!$AC$5:$AC$51, 0), MATCH('Rotation Assembler'!M$21, Calculations!$AC$5:$AG$5, 0))</f>
        <v>0.124</v>
      </c>
      <c r="N27" s="128">
        <f>INDEX(Calculations!$AC$5:$AG$51, MATCH('Rotation Assembler'!$A27, Calculations!$AC$5:$AC$51, 0), MATCH('Rotation Assembler'!N$21, Calculations!$AC$5:$AG$5, 0))</f>
        <v>0.124</v>
      </c>
      <c r="O27" s="128">
        <f>INDEX(Calculations!$AC$5:$AG$51, MATCH('Rotation Assembler'!$A27, Calculations!$AC$5:$AC$51, 0), MATCH('Rotation Assembler'!O$21, Calculations!$AC$5:$AG$5, 0))</f>
        <v>0.124</v>
      </c>
      <c r="P27" s="128">
        <f>INDEX(Calculations!$AC$5:$AG$51, MATCH('Rotation Assembler'!$A27, Calculations!$AC$5:$AC$51, 0), MATCH('Rotation Assembler'!P$21, Calculations!$AC$5:$AG$5, 0))</f>
        <v>0.124</v>
      </c>
      <c r="Q27" s="128">
        <f>INDEX(Calculations!$AC$5:$AG$51, MATCH('Rotation Assembler'!$A27, Calculations!$AC$5:$AC$51, 0), MATCH('Rotation Assembler'!Q$21, Calculations!$AC$5:$AG$5, 0))</f>
        <v>0.124</v>
      </c>
      <c r="R27" s="128">
        <f>INDEX(Calculations!$AC$5:$AG$51, MATCH('Rotation Assembler'!$A27, Calculations!$AC$5:$AC$51, 0), MATCH('Rotation Assembler'!R$21, Calculations!$AC$5:$AG$5, 0))</f>
        <v>0.124</v>
      </c>
      <c r="S27" s="128">
        <f>INDEX(Calculations!$AC$5:$AG$51, MATCH('Rotation Assembler'!$A27, Calculations!$AC$5:$AC$51, 0), MATCH('Rotation Assembler'!S$21, Calculations!$AC$5:$AG$5, 0))</f>
        <v>0.124</v>
      </c>
      <c r="T27" s="128">
        <f>INDEX(Calculations!$AC$5:$AG$51, MATCH('Rotation Assembler'!$A27, Calculations!$AC$5:$AC$51, 0), MATCH('Rotation Assembler'!T$21, Calculations!$AC$5:$AG$5, 0))</f>
        <v>0.124</v>
      </c>
      <c r="U27" s="128">
        <f>INDEX(Calculations!$AC$5:$AG$51, MATCH('Rotation Assembler'!$A27, Calculations!$AC$5:$AC$51, 0), MATCH('Rotation Assembler'!U$21, Calculations!$AC$5:$AG$5, 0))</f>
        <v>0.124</v>
      </c>
      <c r="V27" s="128">
        <f>INDEX(Calculations!$AC$5:$AG$51, MATCH('Rotation Assembler'!$A27, Calculations!$AC$5:$AC$51, 0), MATCH('Rotation Assembler'!V$21, Calculations!$AC$5:$AG$5, 0))</f>
        <v>0.124</v>
      </c>
      <c r="W27" s="128">
        <f>INDEX(Calculations!$AC$5:$AG$51, MATCH('Rotation Assembler'!$A27, Calculations!$AC$5:$AC$51, 0), MATCH('Rotation Assembler'!W$21, Calculations!$AC$5:$AG$5, 0))</f>
        <v>0.124</v>
      </c>
      <c r="X27" s="128">
        <f>INDEX(Calculations!$AC$5:$AG$51, MATCH('Rotation Assembler'!$A27, Calculations!$AC$5:$AC$51, 0), MATCH('Rotation Assembler'!X$21, Calculations!$AC$5:$AG$5, 0))</f>
        <v>0.124</v>
      </c>
      <c r="Y27" s="128">
        <f>INDEX(Calculations!$AC$5:$AG$51, MATCH('Rotation Assembler'!$A27, Calculations!$AC$5:$AC$51, 0), MATCH('Rotation Assembler'!Y$21, Calculations!$AC$5:$AG$5, 0))</f>
        <v>0.124</v>
      </c>
      <c r="Z27" s="128">
        <f>INDEX(Calculations!$AC$5:$AG$51, MATCH('Rotation Assembler'!$A27, Calculations!$AC$5:$AC$51, 0), MATCH('Rotation Assembler'!Z$21, Calculations!$AC$5:$AG$5, 0))</f>
        <v>0.124</v>
      </c>
      <c r="AA27" s="128">
        <f>INDEX(Calculations!$AC$5:$AG$51, MATCH('Rotation Assembler'!$A27, Calculations!$AC$5:$AC$51, 0), MATCH('Rotation Assembler'!AA$21, Calculations!$AC$5:$AG$5, 0))</f>
        <v>0.124</v>
      </c>
      <c r="AB27" s="128">
        <f>INDEX(Calculations!$AC$5:$AG$51, MATCH('Rotation Assembler'!$A27, Calculations!$AC$5:$AC$51, 0), MATCH('Rotation Assembler'!AB$21, Calculations!$AC$5:$AG$5, 0))</f>
        <v>0.124</v>
      </c>
      <c r="AC27" s="128">
        <f>INDEX(Calculations!$AC$5:$AG$51, MATCH('Rotation Assembler'!$A27, Calculations!$AC$5:$AC$51, 0), MATCH('Rotation Assembler'!AC$21, Calculations!$AC$5:$AG$5, 0))</f>
        <v>0.124</v>
      </c>
      <c r="AD27" s="128">
        <f>INDEX(Calculations!$AC$5:$AG$51, MATCH('Rotation Assembler'!$A27, Calculations!$AC$5:$AC$51, 0), MATCH('Rotation Assembler'!AD$21, Calculations!$AC$5:$AG$5, 0))</f>
        <v>0.124</v>
      </c>
      <c r="AE27" s="128">
        <f>INDEX(Calculations!$AC$5:$AG$51, MATCH('Rotation Assembler'!$A27, Calculations!$AC$5:$AC$51, 0), MATCH('Rotation Assembler'!AE$21, Calculations!$AC$5:$AG$5, 0))</f>
        <v>0.124</v>
      </c>
      <c r="AF27" s="128">
        <f>INDEX(Calculations!$AC$5:$AG$51, MATCH('Rotation Assembler'!$A27, Calculations!$AC$5:$AC$51, 0), MATCH('Rotation Assembler'!AF$21, Calculations!$AC$5:$AG$5, 0))</f>
        <v>0.124</v>
      </c>
      <c r="AG27" s="128">
        <f>INDEX(Calculations!$AC$5:$AG$51, MATCH('Rotation Assembler'!$A27, Calculations!$AC$5:$AC$51, 0), MATCH('Rotation Assembler'!AG$21, Calculations!$AC$5:$AG$5, 0))</f>
        <v>0.124</v>
      </c>
      <c r="AH27" s="128">
        <f>INDEX(Calculations!$AC$5:$AG$51, MATCH('Rotation Assembler'!$A27, Calculations!$AC$5:$AC$51, 0), MATCH('Rotation Assembler'!AH$21, Calculations!$AC$5:$AG$5, 0))</f>
        <v>0.124</v>
      </c>
      <c r="AI27" s="128">
        <f>INDEX(Calculations!$AC$5:$AG$51, MATCH('Rotation Assembler'!$A27, Calculations!$AC$5:$AC$51, 0), MATCH('Rotation Assembler'!AI$21, Calculations!$AC$5:$AG$5, 0))</f>
        <v>0.124</v>
      </c>
      <c r="AJ27" s="128">
        <f>INDEX(Calculations!$AC$5:$AG$51, MATCH('Rotation Assembler'!$A27, Calculations!$AC$5:$AC$51, 0), MATCH('Rotation Assembler'!AJ$21, Calculations!$AC$5:$AG$5, 0))</f>
        <v>0.124</v>
      </c>
      <c r="AK27" s="128"/>
      <c r="AL27" s="128"/>
      <c r="AM27" s="128"/>
      <c r="AN27" s="128"/>
      <c r="AO27" s="128"/>
      <c r="AP27" s="128"/>
      <c r="AQ27" s="128"/>
      <c r="AR27" s="128"/>
      <c r="AS27" s="128"/>
      <c r="AT27" s="128"/>
      <c r="AU27" s="128"/>
      <c r="AV27" s="128"/>
      <c r="AW27" s="128"/>
      <c r="AX27" s="128"/>
      <c r="AY27" s="128"/>
      <c r="AZ27" s="128"/>
      <c r="BA27" s="128"/>
      <c r="BB27" s="128"/>
      <c r="BC27" s="128"/>
      <c r="BD27" s="128"/>
      <c r="BE27" s="128"/>
      <c r="BF27" s="128"/>
      <c r="BG27" s="128"/>
      <c r="BH27" s="128"/>
      <c r="BI27" s="128"/>
      <c r="BJ27" s="128"/>
      <c r="BK27" s="128"/>
      <c r="BL27" s="128"/>
      <c r="BM27" s="128"/>
      <c r="BN27" s="128"/>
      <c r="BO27" s="128"/>
      <c r="BP27" s="128"/>
      <c r="BQ27" s="128"/>
      <c r="BR27" s="128"/>
      <c r="BS27" s="128"/>
      <c r="BT27" s="128"/>
    </row>
    <row r="28" spans="1:72" hidden="1" outlineLevel="1" x14ac:dyDescent="0.25">
      <c r="A28" s="124" t="s">
        <v>67</v>
      </c>
      <c r="B28" s="128">
        <f>INDEX(Calculations!$AC$5:$AG$51, MATCH('Rotation Assembler'!$A28, Calculations!$AC$5:$AC$51, 0), MATCH('Rotation Assembler'!B$21, Calculations!$AC$5:$AG$5, 0))</f>
        <v>9.9199999999999997E-2</v>
      </c>
      <c r="C28" s="128">
        <f>INDEX(Calculations!$AC$5:$AG$51, MATCH('Rotation Assembler'!$A28, Calculations!$AC$5:$AC$51, 0), MATCH('Rotation Assembler'!C$21, Calculations!$AC$5:$AG$5, 0))</f>
        <v>9.9199999999999997E-2</v>
      </c>
      <c r="D28" s="128">
        <f>INDEX(Calculations!$AC$5:$AG$51, MATCH('Rotation Assembler'!$A28, Calculations!$AC$5:$AC$51, 0), MATCH('Rotation Assembler'!D$21, Calculations!$AC$5:$AG$5, 0))</f>
        <v>9.9199999999999997E-2</v>
      </c>
      <c r="E28" s="128">
        <f>INDEX(Calculations!$AC$5:$AG$51, MATCH('Rotation Assembler'!$A28, Calculations!$AC$5:$AC$51, 0), MATCH('Rotation Assembler'!E$21, Calculations!$AC$5:$AG$5, 0))</f>
        <v>9.9199999999999997E-2</v>
      </c>
      <c r="F28" s="128">
        <f>INDEX(Calculations!$AC$5:$AG$51, MATCH('Rotation Assembler'!$A28, Calculations!$AC$5:$AC$51, 0), MATCH('Rotation Assembler'!F$21, Calculations!$AC$5:$AG$5, 0))</f>
        <v>9.9199999999999997E-2</v>
      </c>
      <c r="G28" s="128">
        <f>INDEX(Calculations!$AC$5:$AG$51, MATCH('Rotation Assembler'!$A28, Calculations!$AC$5:$AC$51, 0), MATCH('Rotation Assembler'!G$21, Calculations!$AC$5:$AG$5, 0))</f>
        <v>9.9199999999999997E-2</v>
      </c>
      <c r="H28" s="128">
        <f>INDEX(Calculations!$AC$5:$AG$51, MATCH('Rotation Assembler'!$A28, Calculations!$AC$5:$AC$51, 0), MATCH('Rotation Assembler'!H$21, Calculations!$AC$5:$AG$5, 0))</f>
        <v>9.9199999999999997E-2</v>
      </c>
      <c r="I28" s="128">
        <f>INDEX(Calculations!$AC$5:$AG$51, MATCH('Rotation Assembler'!$A28, Calculations!$AC$5:$AC$51, 0), MATCH('Rotation Assembler'!I$21, Calculations!$AC$5:$AG$5, 0))</f>
        <v>9.9199999999999997E-2</v>
      </c>
      <c r="J28" s="128">
        <f>INDEX(Calculations!$AC$5:$AG$51, MATCH('Rotation Assembler'!$A28, Calculations!$AC$5:$AC$51, 0), MATCH('Rotation Assembler'!J$21, Calculations!$AC$5:$AG$5, 0))</f>
        <v>9.9199999999999997E-2</v>
      </c>
      <c r="K28" s="128">
        <f>INDEX(Calculations!$AC$5:$AG$51, MATCH('Rotation Assembler'!$A28, Calculations!$AC$5:$AC$51, 0), MATCH('Rotation Assembler'!K$21, Calculations!$AC$5:$AG$5, 0))</f>
        <v>9.9199999999999997E-2</v>
      </c>
      <c r="L28" s="128">
        <f>INDEX(Calculations!$AC$5:$AG$51, MATCH('Rotation Assembler'!$A28, Calculations!$AC$5:$AC$51, 0), MATCH('Rotation Assembler'!L$21, Calculations!$AC$5:$AG$5, 0))</f>
        <v>9.9199999999999997E-2</v>
      </c>
      <c r="M28" s="128">
        <f>INDEX(Calculations!$AC$5:$AG$51, MATCH('Rotation Assembler'!$A28, Calculations!$AC$5:$AC$51, 0), MATCH('Rotation Assembler'!M$21, Calculations!$AC$5:$AG$5, 0))</f>
        <v>9.9199999999999997E-2</v>
      </c>
      <c r="N28" s="128">
        <f>INDEX(Calculations!$AC$5:$AG$51, MATCH('Rotation Assembler'!$A28, Calculations!$AC$5:$AC$51, 0), MATCH('Rotation Assembler'!N$21, Calculations!$AC$5:$AG$5, 0))</f>
        <v>9.9199999999999997E-2</v>
      </c>
      <c r="O28" s="128">
        <f>INDEX(Calculations!$AC$5:$AG$51, MATCH('Rotation Assembler'!$A28, Calculations!$AC$5:$AC$51, 0), MATCH('Rotation Assembler'!O$21, Calculations!$AC$5:$AG$5, 0))</f>
        <v>9.9199999999999997E-2</v>
      </c>
      <c r="P28" s="128">
        <f>INDEX(Calculations!$AC$5:$AG$51, MATCH('Rotation Assembler'!$A28, Calculations!$AC$5:$AC$51, 0), MATCH('Rotation Assembler'!P$21, Calculations!$AC$5:$AG$5, 0))</f>
        <v>9.9199999999999997E-2</v>
      </c>
      <c r="Q28" s="128">
        <f>INDEX(Calculations!$AC$5:$AG$51, MATCH('Rotation Assembler'!$A28, Calculations!$AC$5:$AC$51, 0), MATCH('Rotation Assembler'!Q$21, Calculations!$AC$5:$AG$5, 0))</f>
        <v>9.9199999999999997E-2</v>
      </c>
      <c r="R28" s="128">
        <f>INDEX(Calculations!$AC$5:$AG$51, MATCH('Rotation Assembler'!$A28, Calculations!$AC$5:$AC$51, 0), MATCH('Rotation Assembler'!R$21, Calculations!$AC$5:$AG$5, 0))</f>
        <v>9.9199999999999997E-2</v>
      </c>
      <c r="S28" s="128">
        <f>INDEX(Calculations!$AC$5:$AG$51, MATCH('Rotation Assembler'!$A28, Calculations!$AC$5:$AC$51, 0), MATCH('Rotation Assembler'!S$21, Calculations!$AC$5:$AG$5, 0))</f>
        <v>9.9199999999999997E-2</v>
      </c>
      <c r="T28" s="128">
        <f>INDEX(Calculations!$AC$5:$AG$51, MATCH('Rotation Assembler'!$A28, Calculations!$AC$5:$AC$51, 0), MATCH('Rotation Assembler'!T$21, Calculations!$AC$5:$AG$5, 0))</f>
        <v>9.9199999999999997E-2</v>
      </c>
      <c r="U28" s="128">
        <f>INDEX(Calculations!$AC$5:$AG$51, MATCH('Rotation Assembler'!$A28, Calculations!$AC$5:$AC$51, 0), MATCH('Rotation Assembler'!U$21, Calculations!$AC$5:$AG$5, 0))</f>
        <v>9.9199999999999997E-2</v>
      </c>
      <c r="V28" s="128">
        <f>INDEX(Calculations!$AC$5:$AG$51, MATCH('Rotation Assembler'!$A28, Calculations!$AC$5:$AC$51, 0), MATCH('Rotation Assembler'!V$21, Calculations!$AC$5:$AG$5, 0))</f>
        <v>9.9199999999999997E-2</v>
      </c>
      <c r="W28" s="128">
        <f>INDEX(Calculations!$AC$5:$AG$51, MATCH('Rotation Assembler'!$A28, Calculations!$AC$5:$AC$51, 0), MATCH('Rotation Assembler'!W$21, Calculations!$AC$5:$AG$5, 0))</f>
        <v>9.9199999999999997E-2</v>
      </c>
      <c r="X28" s="128">
        <f>INDEX(Calculations!$AC$5:$AG$51, MATCH('Rotation Assembler'!$A28, Calculations!$AC$5:$AC$51, 0), MATCH('Rotation Assembler'!X$21, Calculations!$AC$5:$AG$5, 0))</f>
        <v>9.9199999999999997E-2</v>
      </c>
      <c r="Y28" s="128">
        <f>INDEX(Calculations!$AC$5:$AG$51, MATCH('Rotation Assembler'!$A28, Calculations!$AC$5:$AC$51, 0), MATCH('Rotation Assembler'!Y$21, Calculations!$AC$5:$AG$5, 0))</f>
        <v>9.9199999999999997E-2</v>
      </c>
      <c r="Z28" s="128">
        <f>INDEX(Calculations!$AC$5:$AG$51, MATCH('Rotation Assembler'!$A28, Calculations!$AC$5:$AC$51, 0), MATCH('Rotation Assembler'!Z$21, Calculations!$AC$5:$AG$5, 0))</f>
        <v>9.9199999999999997E-2</v>
      </c>
      <c r="AA28" s="128">
        <f>INDEX(Calculations!$AC$5:$AG$51, MATCH('Rotation Assembler'!$A28, Calculations!$AC$5:$AC$51, 0), MATCH('Rotation Assembler'!AA$21, Calculations!$AC$5:$AG$5, 0))</f>
        <v>9.9199999999999997E-2</v>
      </c>
      <c r="AB28" s="128">
        <f>INDEX(Calculations!$AC$5:$AG$51, MATCH('Rotation Assembler'!$A28, Calculations!$AC$5:$AC$51, 0), MATCH('Rotation Assembler'!AB$21, Calculations!$AC$5:$AG$5, 0))</f>
        <v>9.9199999999999997E-2</v>
      </c>
      <c r="AC28" s="128">
        <f>INDEX(Calculations!$AC$5:$AG$51, MATCH('Rotation Assembler'!$A28, Calculations!$AC$5:$AC$51, 0), MATCH('Rotation Assembler'!AC$21, Calculations!$AC$5:$AG$5, 0))</f>
        <v>9.9199999999999997E-2</v>
      </c>
      <c r="AD28" s="128">
        <f>INDEX(Calculations!$AC$5:$AG$51, MATCH('Rotation Assembler'!$A28, Calculations!$AC$5:$AC$51, 0), MATCH('Rotation Assembler'!AD$21, Calculations!$AC$5:$AG$5, 0))</f>
        <v>9.9199999999999997E-2</v>
      </c>
      <c r="AE28" s="128">
        <f>INDEX(Calculations!$AC$5:$AG$51, MATCH('Rotation Assembler'!$A28, Calculations!$AC$5:$AC$51, 0), MATCH('Rotation Assembler'!AE$21, Calculations!$AC$5:$AG$5, 0))</f>
        <v>9.9199999999999997E-2</v>
      </c>
      <c r="AF28" s="128">
        <f>INDEX(Calculations!$AC$5:$AG$51, MATCH('Rotation Assembler'!$A28, Calculations!$AC$5:$AC$51, 0), MATCH('Rotation Assembler'!AF$21, Calculations!$AC$5:$AG$5, 0))</f>
        <v>9.9199999999999997E-2</v>
      </c>
      <c r="AG28" s="128">
        <f>INDEX(Calculations!$AC$5:$AG$51, MATCH('Rotation Assembler'!$A28, Calculations!$AC$5:$AC$51, 0), MATCH('Rotation Assembler'!AG$21, Calculations!$AC$5:$AG$5, 0))</f>
        <v>9.9199999999999997E-2</v>
      </c>
      <c r="AH28" s="128">
        <f>INDEX(Calculations!$AC$5:$AG$51, MATCH('Rotation Assembler'!$A28, Calculations!$AC$5:$AC$51, 0), MATCH('Rotation Assembler'!AH$21, Calculations!$AC$5:$AG$5, 0))</f>
        <v>9.9199999999999997E-2</v>
      </c>
      <c r="AI28" s="128">
        <f>INDEX(Calculations!$AC$5:$AG$51, MATCH('Rotation Assembler'!$A28, Calculations!$AC$5:$AC$51, 0), MATCH('Rotation Assembler'!AI$21, Calculations!$AC$5:$AG$5, 0))</f>
        <v>9.9199999999999997E-2</v>
      </c>
      <c r="AJ28" s="128">
        <f>INDEX(Calculations!$AC$5:$AG$51, MATCH('Rotation Assembler'!$A28, Calculations!$AC$5:$AC$51, 0), MATCH('Rotation Assembler'!AJ$21, Calculations!$AC$5:$AG$5, 0))</f>
        <v>9.9199999999999997E-2</v>
      </c>
      <c r="AK28" s="128"/>
      <c r="AL28" s="128"/>
      <c r="AM28" s="128"/>
      <c r="AN28" s="128"/>
      <c r="AO28" s="128"/>
      <c r="AP28" s="128"/>
      <c r="AQ28" s="128"/>
      <c r="AR28" s="128"/>
      <c r="AS28" s="128"/>
      <c r="AT28" s="128"/>
      <c r="AU28" s="128"/>
      <c r="AV28" s="128"/>
      <c r="AW28" s="128"/>
      <c r="AX28" s="128"/>
      <c r="AY28" s="128"/>
      <c r="AZ28" s="128"/>
      <c r="BA28" s="128"/>
      <c r="BB28" s="128"/>
      <c r="BC28" s="128"/>
      <c r="BD28" s="128"/>
      <c r="BE28" s="128"/>
      <c r="BF28" s="128"/>
      <c r="BG28" s="128"/>
      <c r="BH28" s="128"/>
      <c r="BI28" s="128"/>
      <c r="BJ28" s="128"/>
      <c r="BK28" s="128"/>
      <c r="BL28" s="128"/>
      <c r="BM28" s="128"/>
      <c r="BN28" s="128"/>
      <c r="BO28" s="128"/>
      <c r="BP28" s="128"/>
      <c r="BQ28" s="128"/>
      <c r="BR28" s="128"/>
      <c r="BS28" s="128"/>
      <c r="BT28" s="128"/>
    </row>
    <row r="29" spans="1:72" hidden="1" outlineLevel="1" x14ac:dyDescent="0.25">
      <c r="A29" s="124" t="s">
        <v>413</v>
      </c>
      <c r="B29" s="128">
        <f ca="1">INDEX(Calculations!$AC$5:$AG$51, MATCH('Rotation Assembler'!$A29, Calculations!$AC$5:$AC$51, 0), MATCH('Rotation Assembler'!B$21, Calculations!$AC$5:$AG$5, 0))</f>
        <v>0.65890000000000004</v>
      </c>
      <c r="C29" s="128">
        <f ca="1">INDEX(Calculations!$AC$5:$AG$51, MATCH('Rotation Assembler'!$A29, Calculations!$AC$5:$AC$51, 0), MATCH('Rotation Assembler'!C$21, Calculations!$AC$5:$AG$5, 0))</f>
        <v>0.65890000000000004</v>
      </c>
      <c r="D29" s="128">
        <f ca="1">INDEX(Calculations!$AC$5:$AG$51, MATCH('Rotation Assembler'!$A29, Calculations!$AC$5:$AC$51, 0), MATCH('Rotation Assembler'!D$21, Calculations!$AC$5:$AG$5, 0))</f>
        <v>0.65890000000000004</v>
      </c>
      <c r="E29" s="128">
        <f ca="1">INDEX(Calculations!$AC$5:$AG$51, MATCH('Rotation Assembler'!$A29, Calculations!$AC$5:$AC$51, 0), MATCH('Rotation Assembler'!E$21, Calculations!$AC$5:$AG$5, 0))</f>
        <v>0.65890000000000004</v>
      </c>
      <c r="F29" s="128">
        <f ca="1">INDEX(Calculations!$AC$5:$AG$51, MATCH('Rotation Assembler'!$A29, Calculations!$AC$5:$AC$51, 0), MATCH('Rotation Assembler'!F$21, Calculations!$AC$5:$AG$5, 0))</f>
        <v>0.62579999999999991</v>
      </c>
      <c r="G29" s="128">
        <f ca="1">INDEX(Calculations!$AC$5:$AG$51, MATCH('Rotation Assembler'!$A29, Calculations!$AC$5:$AC$51, 0), MATCH('Rotation Assembler'!G$21, Calculations!$AC$5:$AG$5, 0))</f>
        <v>0.62579999999999991</v>
      </c>
      <c r="H29" s="128">
        <f ca="1">INDEX(Calculations!$AC$5:$AG$51, MATCH('Rotation Assembler'!$A29, Calculations!$AC$5:$AC$51, 0), MATCH('Rotation Assembler'!H$21, Calculations!$AC$5:$AG$5, 0))</f>
        <v>0.62579999999999991</v>
      </c>
      <c r="I29" s="128">
        <f ca="1">INDEX(Calculations!$AC$5:$AG$51, MATCH('Rotation Assembler'!$A29, Calculations!$AC$5:$AC$51, 0), MATCH('Rotation Assembler'!I$21, Calculations!$AC$5:$AG$5, 0))</f>
        <v>0.62579999999999991</v>
      </c>
      <c r="J29" s="128">
        <f ca="1">INDEX(Calculations!$AC$5:$AG$51, MATCH('Rotation Assembler'!$A29, Calculations!$AC$5:$AC$51, 0), MATCH('Rotation Assembler'!J$21, Calculations!$AC$5:$AG$5, 0))</f>
        <v>0.42719999999999997</v>
      </c>
      <c r="K29" s="128">
        <f ca="1">INDEX(Calculations!$AC$5:$AG$51, MATCH('Rotation Assembler'!$A29, Calculations!$AC$5:$AC$51, 0), MATCH('Rotation Assembler'!K$21, Calculations!$AC$5:$AG$5, 0))</f>
        <v>0.42719999999999997</v>
      </c>
      <c r="L29" s="128">
        <f ca="1">INDEX(Calculations!$AC$5:$AG$51, MATCH('Rotation Assembler'!$A29, Calculations!$AC$5:$AC$51, 0), MATCH('Rotation Assembler'!L$21, Calculations!$AC$5:$AG$5, 0))</f>
        <v>0.42719999999999997</v>
      </c>
      <c r="M29" s="128">
        <f ca="1">INDEX(Calculations!$AC$5:$AG$51, MATCH('Rotation Assembler'!$A29, Calculations!$AC$5:$AC$51, 0), MATCH('Rotation Assembler'!M$21, Calculations!$AC$5:$AG$5, 0))</f>
        <v>0.55959999999999999</v>
      </c>
      <c r="N29" s="128">
        <f ca="1">INDEX(Calculations!$AC$5:$AG$51, MATCH('Rotation Assembler'!$A29, Calculations!$AC$5:$AC$51, 0), MATCH('Rotation Assembler'!N$21, Calculations!$AC$5:$AG$5, 0))</f>
        <v>0.55959999999999999</v>
      </c>
      <c r="O29" s="128">
        <f ca="1">INDEX(Calculations!$AC$5:$AG$51, MATCH('Rotation Assembler'!$A29, Calculations!$AC$5:$AC$51, 0), MATCH('Rotation Assembler'!O$21, Calculations!$AC$5:$AG$5, 0))</f>
        <v>0.55959999999999999</v>
      </c>
      <c r="P29" s="128">
        <f ca="1">INDEX(Calculations!$AC$5:$AG$51, MATCH('Rotation Assembler'!$A29, Calculations!$AC$5:$AC$51, 0), MATCH('Rotation Assembler'!P$21, Calculations!$AC$5:$AG$5, 0))</f>
        <v>0.55959999999999999</v>
      </c>
      <c r="Q29" s="128">
        <f ca="1">INDEX(Calculations!$AC$5:$AG$51, MATCH('Rotation Assembler'!$A29, Calculations!$AC$5:$AC$51, 0), MATCH('Rotation Assembler'!Q$21, Calculations!$AC$5:$AG$5, 0))</f>
        <v>0.55959999999999999</v>
      </c>
      <c r="R29" s="128">
        <f ca="1">INDEX(Calculations!$AC$5:$AG$51, MATCH('Rotation Assembler'!$A29, Calculations!$AC$5:$AC$51, 0), MATCH('Rotation Assembler'!R$21, Calculations!$AC$5:$AG$5, 0))</f>
        <v>0.55959999999999999</v>
      </c>
      <c r="S29" s="128">
        <f ca="1">INDEX(Calculations!$AC$5:$AG$51, MATCH('Rotation Assembler'!$A29, Calculations!$AC$5:$AC$51, 0), MATCH('Rotation Assembler'!S$21, Calculations!$AC$5:$AG$5, 0))</f>
        <v>0.55959999999999999</v>
      </c>
      <c r="T29" s="128">
        <f ca="1">INDEX(Calculations!$AC$5:$AG$51, MATCH('Rotation Assembler'!$A29, Calculations!$AC$5:$AC$51, 0), MATCH('Rotation Assembler'!T$21, Calculations!$AC$5:$AG$5, 0))</f>
        <v>0.55959999999999999</v>
      </c>
      <c r="U29" s="128">
        <f ca="1">INDEX(Calculations!$AC$5:$AG$51, MATCH('Rotation Assembler'!$A29, Calculations!$AC$5:$AC$51, 0), MATCH('Rotation Assembler'!U$21, Calculations!$AC$5:$AG$5, 0))</f>
        <v>0.55959999999999999</v>
      </c>
      <c r="V29" s="128">
        <f ca="1">INDEX(Calculations!$AC$5:$AG$51, MATCH('Rotation Assembler'!$A29, Calculations!$AC$5:$AC$51, 0), MATCH('Rotation Assembler'!V$21, Calculations!$AC$5:$AG$5, 0))</f>
        <v>0.55959999999999999</v>
      </c>
      <c r="W29" s="128">
        <f ca="1">INDEX(Calculations!$AC$5:$AG$51, MATCH('Rotation Assembler'!$A29, Calculations!$AC$5:$AC$51, 0), MATCH('Rotation Assembler'!W$21, Calculations!$AC$5:$AG$5, 0))</f>
        <v>0.55959999999999999</v>
      </c>
      <c r="X29" s="128">
        <f ca="1">INDEX(Calculations!$AC$5:$AG$51, MATCH('Rotation Assembler'!$A29, Calculations!$AC$5:$AC$51, 0), MATCH('Rotation Assembler'!X$21, Calculations!$AC$5:$AG$5, 0))</f>
        <v>0.65890000000000004</v>
      </c>
      <c r="Y29" s="128">
        <f ca="1">INDEX(Calculations!$AC$5:$AG$51, MATCH('Rotation Assembler'!$A29, Calculations!$AC$5:$AC$51, 0), MATCH('Rotation Assembler'!Y$21, Calculations!$AC$5:$AG$5, 0))</f>
        <v>0.65890000000000004</v>
      </c>
      <c r="Z29" s="128">
        <f ca="1">INDEX(Calculations!$AC$5:$AG$51, MATCH('Rotation Assembler'!$A29, Calculations!$AC$5:$AC$51, 0), MATCH('Rotation Assembler'!Z$21, Calculations!$AC$5:$AG$5, 0))</f>
        <v>0.65890000000000004</v>
      </c>
      <c r="AA29" s="128">
        <f ca="1">INDEX(Calculations!$AC$5:$AG$51, MATCH('Rotation Assembler'!$A29, Calculations!$AC$5:$AC$51, 0), MATCH('Rotation Assembler'!AA$21, Calculations!$AC$5:$AG$5, 0))</f>
        <v>0.65890000000000004</v>
      </c>
      <c r="AB29" s="128">
        <f ca="1">INDEX(Calculations!$AC$5:$AG$51, MATCH('Rotation Assembler'!$A29, Calculations!$AC$5:$AC$51, 0), MATCH('Rotation Assembler'!AB$21, Calculations!$AC$5:$AG$5, 0))</f>
        <v>0.65890000000000004</v>
      </c>
      <c r="AC29" s="128">
        <f ca="1">INDEX(Calculations!$AC$5:$AG$51, MATCH('Rotation Assembler'!$A29, Calculations!$AC$5:$AC$51, 0), MATCH('Rotation Assembler'!AC$21, Calculations!$AC$5:$AG$5, 0))</f>
        <v>0.65890000000000004</v>
      </c>
      <c r="AD29" s="128">
        <f ca="1">INDEX(Calculations!$AC$5:$AG$51, MATCH('Rotation Assembler'!$A29, Calculations!$AC$5:$AC$51, 0), MATCH('Rotation Assembler'!AD$21, Calculations!$AC$5:$AG$5, 0))</f>
        <v>0.65890000000000004</v>
      </c>
      <c r="AE29" s="128">
        <f ca="1">INDEX(Calculations!$AC$5:$AG$51, MATCH('Rotation Assembler'!$A29, Calculations!$AC$5:$AC$51, 0), MATCH('Rotation Assembler'!AE$21, Calculations!$AC$5:$AG$5, 0))</f>
        <v>0.65890000000000004</v>
      </c>
      <c r="AF29" s="128">
        <f ca="1">INDEX(Calculations!$AC$5:$AG$51, MATCH('Rotation Assembler'!$A29, Calculations!$AC$5:$AC$51, 0), MATCH('Rotation Assembler'!AF$21, Calculations!$AC$5:$AG$5, 0))</f>
        <v>0.65890000000000004</v>
      </c>
      <c r="AG29" s="128">
        <f ca="1">INDEX(Calculations!$AC$5:$AG$51, MATCH('Rotation Assembler'!$A29, Calculations!$AC$5:$AC$51, 0), MATCH('Rotation Assembler'!AG$21, Calculations!$AC$5:$AG$5, 0))</f>
        <v>0.55959999999999999</v>
      </c>
      <c r="AH29" s="128">
        <f ca="1">INDEX(Calculations!$AC$5:$AG$51, MATCH('Rotation Assembler'!$A29, Calculations!$AC$5:$AC$51, 0), MATCH('Rotation Assembler'!AH$21, Calculations!$AC$5:$AG$5, 0))</f>
        <v>0.55959999999999999</v>
      </c>
      <c r="AI29" s="128">
        <f ca="1">INDEX(Calculations!$AC$5:$AG$51, MATCH('Rotation Assembler'!$A29, Calculations!$AC$5:$AC$51, 0), MATCH('Rotation Assembler'!AI$21, Calculations!$AC$5:$AG$5, 0))</f>
        <v>0.42719999999999997</v>
      </c>
      <c r="AJ29" s="128">
        <f ca="1">INDEX(Calculations!$AC$5:$AG$51, MATCH('Rotation Assembler'!$A29, Calculations!$AC$5:$AC$51, 0), MATCH('Rotation Assembler'!AJ$21, Calculations!$AC$5:$AG$5, 0))</f>
        <v>0.42719999999999997</v>
      </c>
      <c r="AK29" s="128"/>
      <c r="AL29" s="128"/>
      <c r="AM29" s="128"/>
      <c r="AN29" s="128"/>
      <c r="AO29" s="128"/>
      <c r="AP29" s="128"/>
      <c r="AQ29" s="128"/>
      <c r="AR29" s="128"/>
      <c r="AS29" s="128"/>
      <c r="AT29" s="128"/>
      <c r="AU29" s="128"/>
      <c r="AV29" s="128"/>
      <c r="AW29" s="128"/>
      <c r="AX29" s="128"/>
      <c r="AY29" s="128"/>
      <c r="AZ29" s="128"/>
      <c r="BA29" s="128"/>
      <c r="BB29" s="128"/>
      <c r="BC29" s="128"/>
      <c r="BD29" s="128"/>
      <c r="BE29" s="128"/>
      <c r="BF29" s="128"/>
      <c r="BG29" s="128"/>
      <c r="BH29" s="128"/>
      <c r="BI29" s="128"/>
      <c r="BJ29" s="128"/>
      <c r="BK29" s="128"/>
      <c r="BL29" s="128"/>
      <c r="BM29" s="128"/>
      <c r="BN29" s="128"/>
      <c r="BO29" s="128"/>
      <c r="BP29" s="128"/>
      <c r="BQ29" s="128"/>
      <c r="BR29" s="128"/>
      <c r="BS29" s="128"/>
      <c r="BT29" s="128"/>
    </row>
    <row r="30" spans="1:72" hidden="1" outlineLevel="1" x14ac:dyDescent="0.25">
      <c r="A30" s="124" t="s">
        <v>414</v>
      </c>
      <c r="B30" s="128">
        <f ca="1">INDEX(Calculations!$AC$5:$AG$51, MATCH('Rotation Assembler'!$A30, Calculations!$AC$5:$AC$51, 0), MATCH('Rotation Assembler'!B$21, Calculations!$AC$5:$AG$5, 0))</f>
        <v>1.4929999999999999</v>
      </c>
      <c r="C30" s="128">
        <f ca="1">INDEX(Calculations!$AC$5:$AG$51, MATCH('Rotation Assembler'!$A30, Calculations!$AC$5:$AC$51, 0), MATCH('Rotation Assembler'!C$21, Calculations!$AC$5:$AG$5, 0))</f>
        <v>1.4929999999999999</v>
      </c>
      <c r="D30" s="128">
        <f ca="1">INDEX(Calculations!$AC$5:$AG$51, MATCH('Rotation Assembler'!$A30, Calculations!$AC$5:$AC$51, 0), MATCH('Rotation Assembler'!D$21, Calculations!$AC$5:$AG$5, 0))</f>
        <v>1.4929999999999999</v>
      </c>
      <c r="E30" s="128">
        <f ca="1">INDEX(Calculations!$AC$5:$AG$51, MATCH('Rotation Assembler'!$A30, Calculations!$AC$5:$AC$51, 0), MATCH('Rotation Assembler'!E$21, Calculations!$AC$5:$AG$5, 0))</f>
        <v>1.4929999999999999</v>
      </c>
      <c r="F30" s="128">
        <f ca="1">INDEX(Calculations!$AC$5:$AG$51, MATCH('Rotation Assembler'!$A30, Calculations!$AC$5:$AC$51, 0), MATCH('Rotation Assembler'!F$21, Calculations!$AC$5:$AG$5, 0))</f>
        <v>1.2282</v>
      </c>
      <c r="G30" s="128">
        <f ca="1">INDEX(Calculations!$AC$5:$AG$51, MATCH('Rotation Assembler'!$A30, Calculations!$AC$5:$AC$51, 0), MATCH('Rotation Assembler'!G$21, Calculations!$AC$5:$AG$5, 0))</f>
        <v>1.2282</v>
      </c>
      <c r="H30" s="128">
        <f ca="1">INDEX(Calculations!$AC$5:$AG$51, MATCH('Rotation Assembler'!$A30, Calculations!$AC$5:$AC$51, 0), MATCH('Rotation Assembler'!H$21, Calculations!$AC$5:$AG$5, 0))</f>
        <v>1.2282</v>
      </c>
      <c r="I30" s="128">
        <f ca="1">INDEX(Calculations!$AC$5:$AG$51, MATCH('Rotation Assembler'!$A30, Calculations!$AC$5:$AC$51, 0), MATCH('Rotation Assembler'!I$21, Calculations!$AC$5:$AG$5, 0))</f>
        <v>1.2282</v>
      </c>
      <c r="J30" s="128">
        <f ca="1">INDEX(Calculations!$AC$5:$AG$51, MATCH('Rotation Assembler'!$A30, Calculations!$AC$5:$AC$51, 0), MATCH('Rotation Assembler'!J$21, Calculations!$AC$5:$AG$5, 0))</f>
        <v>0.63239999999999996</v>
      </c>
      <c r="K30" s="128">
        <f ca="1">INDEX(Calculations!$AC$5:$AG$51, MATCH('Rotation Assembler'!$A30, Calculations!$AC$5:$AC$51, 0), MATCH('Rotation Assembler'!K$21, Calculations!$AC$5:$AG$5, 0))</f>
        <v>0.63239999999999996</v>
      </c>
      <c r="L30" s="128">
        <f ca="1">INDEX(Calculations!$AC$5:$AG$51, MATCH('Rotation Assembler'!$A30, Calculations!$AC$5:$AC$51, 0), MATCH('Rotation Assembler'!L$21, Calculations!$AC$5:$AG$5, 0))</f>
        <v>0.63239999999999996</v>
      </c>
      <c r="M30" s="128">
        <f ca="1">INDEX(Calculations!$AC$5:$AG$51, MATCH('Rotation Assembler'!$A30, Calculations!$AC$5:$AC$51, 0), MATCH('Rotation Assembler'!M$21, Calculations!$AC$5:$AG$5, 0))</f>
        <v>1.3605999999999998</v>
      </c>
      <c r="N30" s="128">
        <f ca="1">INDEX(Calculations!$AC$5:$AG$51, MATCH('Rotation Assembler'!$A30, Calculations!$AC$5:$AC$51, 0), MATCH('Rotation Assembler'!N$21, Calculations!$AC$5:$AG$5, 0))</f>
        <v>1.3605999999999998</v>
      </c>
      <c r="O30" s="128">
        <f ca="1">INDEX(Calculations!$AC$5:$AG$51, MATCH('Rotation Assembler'!$A30, Calculations!$AC$5:$AC$51, 0), MATCH('Rotation Assembler'!O$21, Calculations!$AC$5:$AG$5, 0))</f>
        <v>1.3605999999999998</v>
      </c>
      <c r="P30" s="128">
        <f ca="1">INDEX(Calculations!$AC$5:$AG$51, MATCH('Rotation Assembler'!$A30, Calculations!$AC$5:$AC$51, 0), MATCH('Rotation Assembler'!P$21, Calculations!$AC$5:$AG$5, 0))</f>
        <v>1.3605999999999998</v>
      </c>
      <c r="Q30" s="128">
        <f ca="1">INDEX(Calculations!$AC$5:$AG$51, MATCH('Rotation Assembler'!$A30, Calculations!$AC$5:$AC$51, 0), MATCH('Rotation Assembler'!Q$21, Calculations!$AC$5:$AG$5, 0))</f>
        <v>1.3605999999999998</v>
      </c>
      <c r="R30" s="128">
        <f ca="1">INDEX(Calculations!$AC$5:$AG$51, MATCH('Rotation Assembler'!$A30, Calculations!$AC$5:$AC$51, 0), MATCH('Rotation Assembler'!R$21, Calculations!$AC$5:$AG$5, 0))</f>
        <v>1.3605999999999998</v>
      </c>
      <c r="S30" s="128">
        <f ca="1">INDEX(Calculations!$AC$5:$AG$51, MATCH('Rotation Assembler'!$A30, Calculations!$AC$5:$AC$51, 0), MATCH('Rotation Assembler'!S$21, Calculations!$AC$5:$AG$5, 0))</f>
        <v>1.3605999999999998</v>
      </c>
      <c r="T30" s="128">
        <f ca="1">INDEX(Calculations!$AC$5:$AG$51, MATCH('Rotation Assembler'!$A30, Calculations!$AC$5:$AC$51, 0), MATCH('Rotation Assembler'!T$21, Calculations!$AC$5:$AG$5, 0))</f>
        <v>1.3605999999999998</v>
      </c>
      <c r="U30" s="128">
        <f ca="1">INDEX(Calculations!$AC$5:$AG$51, MATCH('Rotation Assembler'!$A30, Calculations!$AC$5:$AC$51, 0), MATCH('Rotation Assembler'!U$21, Calculations!$AC$5:$AG$5, 0))</f>
        <v>1.3605999999999998</v>
      </c>
      <c r="V30" s="128">
        <f ca="1">INDEX(Calculations!$AC$5:$AG$51, MATCH('Rotation Assembler'!$A30, Calculations!$AC$5:$AC$51, 0), MATCH('Rotation Assembler'!V$21, Calculations!$AC$5:$AG$5, 0))</f>
        <v>1.3605999999999998</v>
      </c>
      <c r="W30" s="128">
        <f ca="1">INDEX(Calculations!$AC$5:$AG$51, MATCH('Rotation Assembler'!$A30, Calculations!$AC$5:$AC$51, 0), MATCH('Rotation Assembler'!W$21, Calculations!$AC$5:$AG$5, 0))</f>
        <v>1.3605999999999998</v>
      </c>
      <c r="X30" s="128">
        <f ca="1">INDEX(Calculations!$AC$5:$AG$51, MATCH('Rotation Assembler'!$A30, Calculations!$AC$5:$AC$51, 0), MATCH('Rotation Assembler'!X$21, Calculations!$AC$5:$AG$5, 0))</f>
        <v>1.4929999999999999</v>
      </c>
      <c r="Y30" s="128">
        <f ca="1">INDEX(Calculations!$AC$5:$AG$51, MATCH('Rotation Assembler'!$A30, Calculations!$AC$5:$AC$51, 0), MATCH('Rotation Assembler'!Y$21, Calculations!$AC$5:$AG$5, 0))</f>
        <v>1.4929999999999999</v>
      </c>
      <c r="Z30" s="128">
        <f ca="1">INDEX(Calculations!$AC$5:$AG$51, MATCH('Rotation Assembler'!$A30, Calculations!$AC$5:$AC$51, 0), MATCH('Rotation Assembler'!Z$21, Calculations!$AC$5:$AG$5, 0))</f>
        <v>1.4929999999999999</v>
      </c>
      <c r="AA30" s="128">
        <f ca="1">INDEX(Calculations!$AC$5:$AG$51, MATCH('Rotation Assembler'!$A30, Calculations!$AC$5:$AC$51, 0), MATCH('Rotation Assembler'!AA$21, Calculations!$AC$5:$AG$5, 0))</f>
        <v>1.4929999999999999</v>
      </c>
      <c r="AB30" s="128">
        <f ca="1">INDEX(Calculations!$AC$5:$AG$51, MATCH('Rotation Assembler'!$A30, Calculations!$AC$5:$AC$51, 0), MATCH('Rotation Assembler'!AB$21, Calculations!$AC$5:$AG$5, 0))</f>
        <v>1.4929999999999999</v>
      </c>
      <c r="AC30" s="128">
        <f ca="1">INDEX(Calculations!$AC$5:$AG$51, MATCH('Rotation Assembler'!$A30, Calculations!$AC$5:$AC$51, 0), MATCH('Rotation Assembler'!AC$21, Calculations!$AC$5:$AG$5, 0))</f>
        <v>1.4929999999999999</v>
      </c>
      <c r="AD30" s="128">
        <f ca="1">INDEX(Calculations!$AC$5:$AG$51, MATCH('Rotation Assembler'!$A30, Calculations!$AC$5:$AC$51, 0), MATCH('Rotation Assembler'!AD$21, Calculations!$AC$5:$AG$5, 0))</f>
        <v>1.4929999999999999</v>
      </c>
      <c r="AE30" s="128">
        <f ca="1">INDEX(Calculations!$AC$5:$AG$51, MATCH('Rotation Assembler'!$A30, Calculations!$AC$5:$AC$51, 0), MATCH('Rotation Assembler'!AE$21, Calculations!$AC$5:$AG$5, 0))</f>
        <v>1.4929999999999999</v>
      </c>
      <c r="AF30" s="128">
        <f ca="1">INDEX(Calculations!$AC$5:$AG$51, MATCH('Rotation Assembler'!$A30, Calculations!$AC$5:$AC$51, 0), MATCH('Rotation Assembler'!AF$21, Calculations!$AC$5:$AG$5, 0))</f>
        <v>1.4929999999999999</v>
      </c>
      <c r="AG30" s="128">
        <f ca="1">INDEX(Calculations!$AC$5:$AG$51, MATCH('Rotation Assembler'!$A30, Calculations!$AC$5:$AC$51, 0), MATCH('Rotation Assembler'!AG$21, Calculations!$AC$5:$AG$5, 0))</f>
        <v>1.3605999999999998</v>
      </c>
      <c r="AH30" s="128">
        <f ca="1">INDEX(Calculations!$AC$5:$AG$51, MATCH('Rotation Assembler'!$A30, Calculations!$AC$5:$AC$51, 0), MATCH('Rotation Assembler'!AH$21, Calculations!$AC$5:$AG$5, 0))</f>
        <v>1.3605999999999998</v>
      </c>
      <c r="AI30" s="128">
        <f ca="1">INDEX(Calculations!$AC$5:$AG$51, MATCH('Rotation Assembler'!$A30, Calculations!$AC$5:$AC$51, 0), MATCH('Rotation Assembler'!AI$21, Calculations!$AC$5:$AG$5, 0))</f>
        <v>0.63239999999999996</v>
      </c>
      <c r="AJ30" s="128">
        <f ca="1">INDEX(Calculations!$AC$5:$AG$51, MATCH('Rotation Assembler'!$A30, Calculations!$AC$5:$AC$51, 0), MATCH('Rotation Assembler'!AJ$21, Calculations!$AC$5:$AG$5, 0))</f>
        <v>0.63239999999999996</v>
      </c>
      <c r="AK30" s="128"/>
      <c r="AL30" s="128"/>
      <c r="AM30" s="128"/>
      <c r="AN30" s="128"/>
      <c r="AO30" s="128"/>
      <c r="AP30" s="128"/>
      <c r="AQ30" s="128"/>
      <c r="AR30" s="128"/>
      <c r="AS30" s="128"/>
      <c r="AT30" s="128"/>
      <c r="AU30" s="128"/>
      <c r="AV30" s="128"/>
      <c r="AW30" s="128"/>
      <c r="AX30" s="128"/>
      <c r="AY30" s="128"/>
      <c r="AZ30" s="128"/>
      <c r="BA30" s="128"/>
      <c r="BB30" s="128"/>
      <c r="BC30" s="128"/>
      <c r="BD30" s="128"/>
      <c r="BE30" s="128"/>
      <c r="BF30" s="128"/>
      <c r="BG30" s="128"/>
      <c r="BH30" s="128"/>
      <c r="BI30" s="128"/>
      <c r="BJ30" s="128"/>
      <c r="BK30" s="128"/>
      <c r="BL30" s="128"/>
      <c r="BM30" s="128"/>
      <c r="BN30" s="128"/>
      <c r="BO30" s="128"/>
      <c r="BP30" s="128"/>
      <c r="BQ30" s="128"/>
      <c r="BR30" s="128"/>
      <c r="BS30" s="128"/>
      <c r="BT30" s="128"/>
    </row>
    <row r="31" spans="1:72" hidden="1" outlineLevel="1" x14ac:dyDescent="0.25">
      <c r="A31" s="124" t="s">
        <v>68</v>
      </c>
      <c r="B31" s="128">
        <f ca="1">INDEX(Calculations!$AC$5:$AG$51, MATCH('Rotation Assembler'!$A31, Calculations!$AC$5:$AC$51, 0), MATCH('Rotation Assembler'!B$21, Calculations!$AC$5:$AG$5, 0))</f>
        <v>2.0891999999999999</v>
      </c>
      <c r="C31" s="128">
        <f ca="1">INDEX(Calculations!$AC$5:$AG$51, MATCH('Rotation Assembler'!$A31, Calculations!$AC$5:$AC$51, 0), MATCH('Rotation Assembler'!C$21, Calculations!$AC$5:$AG$5, 0))</f>
        <v>2.0891999999999999</v>
      </c>
      <c r="D31" s="128">
        <f ca="1">INDEX(Calculations!$AC$5:$AG$51, MATCH('Rotation Assembler'!$A31, Calculations!$AC$5:$AC$51, 0), MATCH('Rotation Assembler'!D$21, Calculations!$AC$5:$AG$5, 0))</f>
        <v>2.0891999999999999</v>
      </c>
      <c r="E31" s="128">
        <f ca="1">INDEX(Calculations!$AC$5:$AG$51, MATCH('Rotation Assembler'!$A31, Calculations!$AC$5:$AC$51, 0), MATCH('Rotation Assembler'!E$21, Calculations!$AC$5:$AG$5, 0))</f>
        <v>2.0891999999999999</v>
      </c>
      <c r="F31" s="128">
        <f>INDEX(Calculations!$AC$5:$AG$51, MATCH('Rotation Assembler'!$A31, Calculations!$AC$5:$AC$51, 0), MATCH('Rotation Assembler'!F$21, Calculations!$AC$5:$AG$5, 0))</f>
        <v>1.8281999999999998</v>
      </c>
      <c r="G31" s="128">
        <f>INDEX(Calculations!$AC$5:$AG$51, MATCH('Rotation Assembler'!$A31, Calculations!$AC$5:$AC$51, 0), MATCH('Rotation Assembler'!G$21, Calculations!$AC$5:$AG$5, 0))</f>
        <v>1.8281999999999998</v>
      </c>
      <c r="H31" s="128">
        <f>INDEX(Calculations!$AC$5:$AG$51, MATCH('Rotation Assembler'!$A31, Calculations!$AC$5:$AC$51, 0), MATCH('Rotation Assembler'!H$21, Calculations!$AC$5:$AG$5, 0))</f>
        <v>1.8281999999999998</v>
      </c>
      <c r="I31" s="128">
        <f>INDEX(Calculations!$AC$5:$AG$51, MATCH('Rotation Assembler'!$A31, Calculations!$AC$5:$AC$51, 0), MATCH('Rotation Assembler'!I$21, Calculations!$AC$5:$AG$5, 0))</f>
        <v>1.8281999999999998</v>
      </c>
      <c r="J31" s="128">
        <f ca="1">INDEX(Calculations!$AC$5:$AG$51, MATCH('Rotation Assembler'!$A31, Calculations!$AC$5:$AC$51, 0), MATCH('Rotation Assembler'!J$21, Calculations!$AC$5:$AG$5, 0))</f>
        <v>1.3772</v>
      </c>
      <c r="K31" s="128">
        <f ca="1">INDEX(Calculations!$AC$5:$AG$51, MATCH('Rotation Assembler'!$A31, Calculations!$AC$5:$AC$51, 0), MATCH('Rotation Assembler'!K$21, Calculations!$AC$5:$AG$5, 0))</f>
        <v>1.3772</v>
      </c>
      <c r="L31" s="128">
        <f ca="1">INDEX(Calculations!$AC$5:$AG$51, MATCH('Rotation Assembler'!$A31, Calculations!$AC$5:$AC$51, 0), MATCH('Rotation Assembler'!L$21, Calculations!$AC$5:$AG$5, 0))</f>
        <v>1.3772</v>
      </c>
      <c r="M31" s="128">
        <f>INDEX(Calculations!$AC$5:$AG$51, MATCH('Rotation Assembler'!$A31, Calculations!$AC$5:$AC$51, 0), MATCH('Rotation Assembler'!M$21, Calculations!$AC$5:$AG$5, 0))</f>
        <v>1.8447</v>
      </c>
      <c r="N31" s="128">
        <f>INDEX(Calculations!$AC$5:$AG$51, MATCH('Rotation Assembler'!$A31, Calculations!$AC$5:$AC$51, 0), MATCH('Rotation Assembler'!N$21, Calculations!$AC$5:$AG$5, 0))</f>
        <v>1.8447</v>
      </c>
      <c r="O31" s="128">
        <f>INDEX(Calculations!$AC$5:$AG$51, MATCH('Rotation Assembler'!$A31, Calculations!$AC$5:$AC$51, 0), MATCH('Rotation Assembler'!O$21, Calculations!$AC$5:$AG$5, 0))</f>
        <v>1.8447</v>
      </c>
      <c r="P31" s="128">
        <f>INDEX(Calculations!$AC$5:$AG$51, MATCH('Rotation Assembler'!$A31, Calculations!$AC$5:$AC$51, 0), MATCH('Rotation Assembler'!P$21, Calculations!$AC$5:$AG$5, 0))</f>
        <v>1.8447</v>
      </c>
      <c r="Q31" s="128">
        <f>INDEX(Calculations!$AC$5:$AG$51, MATCH('Rotation Assembler'!$A31, Calculations!$AC$5:$AC$51, 0), MATCH('Rotation Assembler'!Q$21, Calculations!$AC$5:$AG$5, 0))</f>
        <v>1.8447</v>
      </c>
      <c r="R31" s="128">
        <f>INDEX(Calculations!$AC$5:$AG$51, MATCH('Rotation Assembler'!$A31, Calculations!$AC$5:$AC$51, 0), MATCH('Rotation Assembler'!R$21, Calculations!$AC$5:$AG$5, 0))</f>
        <v>1.8447</v>
      </c>
      <c r="S31" s="128">
        <f>INDEX(Calculations!$AC$5:$AG$51, MATCH('Rotation Assembler'!$A31, Calculations!$AC$5:$AC$51, 0), MATCH('Rotation Assembler'!S$21, Calculations!$AC$5:$AG$5, 0))</f>
        <v>1.8447</v>
      </c>
      <c r="T31" s="128">
        <f>INDEX(Calculations!$AC$5:$AG$51, MATCH('Rotation Assembler'!$A31, Calculations!$AC$5:$AC$51, 0), MATCH('Rotation Assembler'!T$21, Calculations!$AC$5:$AG$5, 0))</f>
        <v>1.8447</v>
      </c>
      <c r="U31" s="128">
        <f>INDEX(Calculations!$AC$5:$AG$51, MATCH('Rotation Assembler'!$A31, Calculations!$AC$5:$AC$51, 0), MATCH('Rotation Assembler'!U$21, Calculations!$AC$5:$AG$5, 0))</f>
        <v>1.8447</v>
      </c>
      <c r="V31" s="128">
        <f>INDEX(Calculations!$AC$5:$AG$51, MATCH('Rotation Assembler'!$A31, Calculations!$AC$5:$AC$51, 0), MATCH('Rotation Assembler'!V$21, Calculations!$AC$5:$AG$5, 0))</f>
        <v>1.8447</v>
      </c>
      <c r="W31" s="128">
        <f>INDEX(Calculations!$AC$5:$AG$51, MATCH('Rotation Assembler'!$A31, Calculations!$AC$5:$AC$51, 0), MATCH('Rotation Assembler'!W$21, Calculations!$AC$5:$AG$5, 0))</f>
        <v>1.8447</v>
      </c>
      <c r="X31" s="128">
        <f ca="1">INDEX(Calculations!$AC$5:$AG$51, MATCH('Rotation Assembler'!$A31, Calculations!$AC$5:$AC$51, 0), MATCH('Rotation Assembler'!X$21, Calculations!$AC$5:$AG$5, 0))</f>
        <v>2.0891999999999999</v>
      </c>
      <c r="Y31" s="128">
        <f ca="1">INDEX(Calculations!$AC$5:$AG$51, MATCH('Rotation Assembler'!$A31, Calculations!$AC$5:$AC$51, 0), MATCH('Rotation Assembler'!Y$21, Calculations!$AC$5:$AG$5, 0))</f>
        <v>2.0891999999999999</v>
      </c>
      <c r="Z31" s="128">
        <f ca="1">INDEX(Calculations!$AC$5:$AG$51, MATCH('Rotation Assembler'!$A31, Calculations!$AC$5:$AC$51, 0), MATCH('Rotation Assembler'!Z$21, Calculations!$AC$5:$AG$5, 0))</f>
        <v>2.0891999999999999</v>
      </c>
      <c r="AA31" s="128">
        <f ca="1">INDEX(Calculations!$AC$5:$AG$51, MATCH('Rotation Assembler'!$A31, Calculations!$AC$5:$AC$51, 0), MATCH('Rotation Assembler'!AA$21, Calculations!$AC$5:$AG$5, 0))</f>
        <v>2.0891999999999999</v>
      </c>
      <c r="AB31" s="128">
        <f ca="1">INDEX(Calculations!$AC$5:$AG$51, MATCH('Rotation Assembler'!$A31, Calculations!$AC$5:$AC$51, 0), MATCH('Rotation Assembler'!AB$21, Calculations!$AC$5:$AG$5, 0))</f>
        <v>2.0891999999999999</v>
      </c>
      <c r="AC31" s="128">
        <f ca="1">INDEX(Calculations!$AC$5:$AG$51, MATCH('Rotation Assembler'!$A31, Calculations!$AC$5:$AC$51, 0), MATCH('Rotation Assembler'!AC$21, Calculations!$AC$5:$AG$5, 0))</f>
        <v>2.0891999999999999</v>
      </c>
      <c r="AD31" s="128">
        <f ca="1">INDEX(Calculations!$AC$5:$AG$51, MATCH('Rotation Assembler'!$A31, Calculations!$AC$5:$AC$51, 0), MATCH('Rotation Assembler'!AD$21, Calculations!$AC$5:$AG$5, 0))</f>
        <v>2.0891999999999999</v>
      </c>
      <c r="AE31" s="128">
        <f ca="1">INDEX(Calculations!$AC$5:$AG$51, MATCH('Rotation Assembler'!$A31, Calculations!$AC$5:$AC$51, 0), MATCH('Rotation Assembler'!AE$21, Calculations!$AC$5:$AG$5, 0))</f>
        <v>2.0891999999999999</v>
      </c>
      <c r="AF31" s="128">
        <f ca="1">INDEX(Calculations!$AC$5:$AG$51, MATCH('Rotation Assembler'!$A31, Calculations!$AC$5:$AC$51, 0), MATCH('Rotation Assembler'!AF$21, Calculations!$AC$5:$AG$5, 0))</f>
        <v>2.0891999999999999</v>
      </c>
      <c r="AG31" s="128">
        <f>INDEX(Calculations!$AC$5:$AG$51, MATCH('Rotation Assembler'!$A31, Calculations!$AC$5:$AC$51, 0), MATCH('Rotation Assembler'!AG$21, Calculations!$AC$5:$AG$5, 0))</f>
        <v>1.8447</v>
      </c>
      <c r="AH31" s="128">
        <f>INDEX(Calculations!$AC$5:$AG$51, MATCH('Rotation Assembler'!$A31, Calculations!$AC$5:$AC$51, 0), MATCH('Rotation Assembler'!AH$21, Calculations!$AC$5:$AG$5, 0))</f>
        <v>1.8447</v>
      </c>
      <c r="AI31" s="128">
        <f ca="1">INDEX(Calculations!$AC$5:$AG$51, MATCH('Rotation Assembler'!$A31, Calculations!$AC$5:$AC$51, 0), MATCH('Rotation Assembler'!AI$21, Calculations!$AC$5:$AG$5, 0))</f>
        <v>1.3772</v>
      </c>
      <c r="AJ31" s="128">
        <f ca="1">INDEX(Calculations!$AC$5:$AG$51, MATCH('Rotation Assembler'!$A31, Calculations!$AC$5:$AC$51, 0), MATCH('Rotation Assembler'!AJ$21, Calculations!$AC$5:$AG$5, 0))</f>
        <v>1.3772</v>
      </c>
      <c r="AK31" s="128"/>
      <c r="AL31" s="128"/>
      <c r="AM31" s="128"/>
      <c r="AN31" s="128"/>
      <c r="AO31" s="128"/>
      <c r="AP31" s="128"/>
      <c r="AQ31" s="128"/>
      <c r="AR31" s="128"/>
      <c r="AS31" s="128"/>
      <c r="AT31" s="128"/>
      <c r="AU31" s="128"/>
      <c r="AV31" s="128"/>
      <c r="AW31" s="128"/>
      <c r="AX31" s="128"/>
      <c r="AY31" s="128"/>
      <c r="AZ31" s="128"/>
      <c r="BA31" s="128"/>
      <c r="BB31" s="128"/>
      <c r="BC31" s="128"/>
      <c r="BD31" s="128"/>
      <c r="BE31" s="128"/>
      <c r="BF31" s="128"/>
      <c r="BG31" s="128"/>
      <c r="BH31" s="128"/>
      <c r="BI31" s="128"/>
      <c r="BJ31" s="128"/>
      <c r="BK31" s="128"/>
      <c r="BL31" s="128"/>
      <c r="BM31" s="128"/>
      <c r="BN31" s="128"/>
      <c r="BO31" s="128"/>
      <c r="BP31" s="128"/>
      <c r="BQ31" s="128"/>
      <c r="BR31" s="128"/>
      <c r="BS31" s="128"/>
      <c r="BT31" s="128"/>
    </row>
    <row r="32" spans="1:72" hidden="1" outlineLevel="1" x14ac:dyDescent="0.25">
      <c r="A32" s="124" t="s">
        <v>82</v>
      </c>
      <c r="B32" s="128">
        <f>INDEX(Calculations!$AC$5:$AG$51, MATCH('Rotation Assembler'!$A32, Calculations!$AC$5:$AC$51, 0), MATCH('Rotation Assembler'!B$21, Calculations!$AC$5:$AG$5, 0))</f>
        <v>0</v>
      </c>
      <c r="C32" s="128">
        <f>INDEX(Calculations!$AC$5:$AG$51, MATCH('Rotation Assembler'!$A32, Calculations!$AC$5:$AC$51, 0), MATCH('Rotation Assembler'!C$21, Calculations!$AC$5:$AG$5, 0))</f>
        <v>0</v>
      </c>
      <c r="D32" s="128">
        <f>INDEX(Calculations!$AC$5:$AG$51, MATCH('Rotation Assembler'!$A32, Calculations!$AC$5:$AC$51, 0), MATCH('Rotation Assembler'!D$21, Calculations!$AC$5:$AG$5, 0))</f>
        <v>0</v>
      </c>
      <c r="E32" s="128">
        <f>INDEX(Calculations!$AC$5:$AG$51, MATCH('Rotation Assembler'!$A32, Calculations!$AC$5:$AC$51, 0), MATCH('Rotation Assembler'!E$21, Calculations!$AC$5:$AG$5, 0))</f>
        <v>0</v>
      </c>
      <c r="F32" s="128">
        <f>INDEX(Calculations!$AC$5:$AG$51, MATCH('Rotation Assembler'!$A32, Calculations!$AC$5:$AC$51, 0), MATCH('Rotation Assembler'!F$21, Calculations!$AC$5:$AG$5, 0))</f>
        <v>0.2</v>
      </c>
      <c r="G32" s="128">
        <f>INDEX(Calculations!$AC$5:$AG$51, MATCH('Rotation Assembler'!$A32, Calculations!$AC$5:$AC$51, 0), MATCH('Rotation Assembler'!G$21, Calculations!$AC$5:$AG$5, 0))</f>
        <v>0.2</v>
      </c>
      <c r="H32" s="128">
        <f>INDEX(Calculations!$AC$5:$AG$51, MATCH('Rotation Assembler'!$A32, Calculations!$AC$5:$AC$51, 0), MATCH('Rotation Assembler'!H$21, Calculations!$AC$5:$AG$5, 0))</f>
        <v>0.2</v>
      </c>
      <c r="I32" s="128">
        <f>INDEX(Calculations!$AC$5:$AG$51, MATCH('Rotation Assembler'!$A32, Calculations!$AC$5:$AC$51, 0), MATCH('Rotation Assembler'!I$21, Calculations!$AC$5:$AG$5, 0))</f>
        <v>0.2</v>
      </c>
      <c r="J32" s="128">
        <f>INDEX(Calculations!$AC$5:$AG$51, MATCH('Rotation Assembler'!$A32, Calculations!$AC$5:$AC$51, 0), MATCH('Rotation Assembler'!J$21, Calculations!$AC$5:$AG$5, 0))</f>
        <v>0.12</v>
      </c>
      <c r="K32" s="128">
        <f>INDEX(Calculations!$AC$5:$AG$51, MATCH('Rotation Assembler'!$A32, Calculations!$AC$5:$AC$51, 0), MATCH('Rotation Assembler'!K$21, Calculations!$AC$5:$AG$5, 0))</f>
        <v>0.12</v>
      </c>
      <c r="L32" s="128">
        <f>INDEX(Calculations!$AC$5:$AG$51, MATCH('Rotation Assembler'!$A32, Calculations!$AC$5:$AC$51, 0), MATCH('Rotation Assembler'!L$21, Calculations!$AC$5:$AG$5, 0))</f>
        <v>0.12</v>
      </c>
      <c r="M32" s="128">
        <f>INDEX(Calculations!$AC$5:$AG$51, MATCH('Rotation Assembler'!$A32, Calculations!$AC$5:$AC$51, 0), MATCH('Rotation Assembler'!M$21, Calculations!$AC$5:$AG$5, 0))</f>
        <v>0</v>
      </c>
      <c r="N32" s="128">
        <f>INDEX(Calculations!$AC$5:$AG$51, MATCH('Rotation Assembler'!$A32, Calculations!$AC$5:$AC$51, 0), MATCH('Rotation Assembler'!N$21, Calculations!$AC$5:$AG$5, 0))</f>
        <v>0</v>
      </c>
      <c r="O32" s="128">
        <f>INDEX(Calculations!$AC$5:$AG$51, MATCH('Rotation Assembler'!$A32, Calculations!$AC$5:$AC$51, 0), MATCH('Rotation Assembler'!O$21, Calculations!$AC$5:$AG$5, 0))</f>
        <v>0</v>
      </c>
      <c r="P32" s="128">
        <f>INDEX(Calculations!$AC$5:$AG$51, MATCH('Rotation Assembler'!$A32, Calculations!$AC$5:$AC$51, 0), MATCH('Rotation Assembler'!P$21, Calculations!$AC$5:$AG$5, 0))</f>
        <v>0</v>
      </c>
      <c r="Q32" s="128">
        <f>INDEX(Calculations!$AC$5:$AG$51, MATCH('Rotation Assembler'!$A32, Calculations!$AC$5:$AC$51, 0), MATCH('Rotation Assembler'!Q$21, Calculations!$AC$5:$AG$5, 0))</f>
        <v>0</v>
      </c>
      <c r="R32" s="128">
        <f>INDEX(Calculations!$AC$5:$AG$51, MATCH('Rotation Assembler'!$A32, Calculations!$AC$5:$AC$51, 0), MATCH('Rotation Assembler'!R$21, Calculations!$AC$5:$AG$5, 0))</f>
        <v>0</v>
      </c>
      <c r="S32" s="128">
        <f>INDEX(Calculations!$AC$5:$AG$51, MATCH('Rotation Assembler'!$A32, Calculations!$AC$5:$AC$51, 0), MATCH('Rotation Assembler'!S$21, Calculations!$AC$5:$AG$5, 0))</f>
        <v>0</v>
      </c>
      <c r="T32" s="128">
        <f>INDEX(Calculations!$AC$5:$AG$51, MATCH('Rotation Assembler'!$A32, Calculations!$AC$5:$AC$51, 0), MATCH('Rotation Assembler'!T$21, Calculations!$AC$5:$AG$5, 0))</f>
        <v>0</v>
      </c>
      <c r="U32" s="128">
        <f>INDEX(Calculations!$AC$5:$AG$51, MATCH('Rotation Assembler'!$A32, Calculations!$AC$5:$AC$51, 0), MATCH('Rotation Assembler'!U$21, Calculations!$AC$5:$AG$5, 0))</f>
        <v>0</v>
      </c>
      <c r="V32" s="128">
        <f>INDEX(Calculations!$AC$5:$AG$51, MATCH('Rotation Assembler'!$A32, Calculations!$AC$5:$AC$51, 0), MATCH('Rotation Assembler'!V$21, Calculations!$AC$5:$AG$5, 0))</f>
        <v>0</v>
      </c>
      <c r="W32" s="128">
        <f>INDEX(Calculations!$AC$5:$AG$51, MATCH('Rotation Assembler'!$A32, Calculations!$AC$5:$AC$51, 0), MATCH('Rotation Assembler'!W$21, Calculations!$AC$5:$AG$5, 0))</f>
        <v>0</v>
      </c>
      <c r="X32" s="128">
        <f>INDEX(Calculations!$AC$5:$AG$51, MATCH('Rotation Assembler'!$A32, Calculations!$AC$5:$AC$51, 0), MATCH('Rotation Assembler'!X$21, Calculations!$AC$5:$AG$5, 0))</f>
        <v>0</v>
      </c>
      <c r="Y32" s="128">
        <f>INDEX(Calculations!$AC$5:$AG$51, MATCH('Rotation Assembler'!$A32, Calculations!$AC$5:$AC$51, 0), MATCH('Rotation Assembler'!Y$21, Calculations!$AC$5:$AG$5, 0))</f>
        <v>0</v>
      </c>
      <c r="Z32" s="128">
        <f>INDEX(Calculations!$AC$5:$AG$51, MATCH('Rotation Assembler'!$A32, Calculations!$AC$5:$AC$51, 0), MATCH('Rotation Assembler'!Z$21, Calculations!$AC$5:$AG$5, 0))</f>
        <v>0</v>
      </c>
      <c r="AA32" s="128">
        <f>INDEX(Calculations!$AC$5:$AG$51, MATCH('Rotation Assembler'!$A32, Calculations!$AC$5:$AC$51, 0), MATCH('Rotation Assembler'!AA$21, Calculations!$AC$5:$AG$5, 0))</f>
        <v>0</v>
      </c>
      <c r="AB32" s="128">
        <f>INDEX(Calculations!$AC$5:$AG$51, MATCH('Rotation Assembler'!$A32, Calculations!$AC$5:$AC$51, 0), MATCH('Rotation Assembler'!AB$21, Calculations!$AC$5:$AG$5, 0))</f>
        <v>0</v>
      </c>
      <c r="AC32" s="128">
        <f>INDEX(Calculations!$AC$5:$AG$51, MATCH('Rotation Assembler'!$A32, Calculations!$AC$5:$AC$51, 0), MATCH('Rotation Assembler'!AC$21, Calculations!$AC$5:$AG$5, 0))</f>
        <v>0</v>
      </c>
      <c r="AD32" s="128">
        <f>INDEX(Calculations!$AC$5:$AG$51, MATCH('Rotation Assembler'!$A32, Calculations!$AC$5:$AC$51, 0), MATCH('Rotation Assembler'!AD$21, Calculations!$AC$5:$AG$5, 0))</f>
        <v>0</v>
      </c>
      <c r="AE32" s="128">
        <f>INDEX(Calculations!$AC$5:$AG$51, MATCH('Rotation Assembler'!$A32, Calculations!$AC$5:$AC$51, 0), MATCH('Rotation Assembler'!AE$21, Calculations!$AC$5:$AG$5, 0))</f>
        <v>0</v>
      </c>
      <c r="AF32" s="128">
        <f>INDEX(Calculations!$AC$5:$AG$51, MATCH('Rotation Assembler'!$A32, Calculations!$AC$5:$AC$51, 0), MATCH('Rotation Assembler'!AF$21, Calculations!$AC$5:$AG$5, 0))</f>
        <v>0</v>
      </c>
      <c r="AG32" s="128">
        <f>INDEX(Calculations!$AC$5:$AG$51, MATCH('Rotation Assembler'!$A32, Calculations!$AC$5:$AC$51, 0), MATCH('Rotation Assembler'!AG$21, Calculations!$AC$5:$AG$5, 0))</f>
        <v>0</v>
      </c>
      <c r="AH32" s="128">
        <f>INDEX(Calculations!$AC$5:$AG$51, MATCH('Rotation Assembler'!$A32, Calculations!$AC$5:$AC$51, 0), MATCH('Rotation Assembler'!AH$21, Calculations!$AC$5:$AG$5, 0))</f>
        <v>0</v>
      </c>
      <c r="AI32" s="128">
        <f>INDEX(Calculations!$AC$5:$AG$51, MATCH('Rotation Assembler'!$A32, Calculations!$AC$5:$AC$51, 0), MATCH('Rotation Assembler'!AI$21, Calculations!$AC$5:$AG$5, 0))</f>
        <v>0.12</v>
      </c>
      <c r="AJ32" s="128">
        <f>INDEX(Calculations!$AC$5:$AG$51, MATCH('Rotation Assembler'!$A32, Calculations!$AC$5:$AC$51, 0), MATCH('Rotation Assembler'!AJ$21, Calculations!$AC$5:$AG$5, 0))</f>
        <v>0.12</v>
      </c>
      <c r="AK32" s="128"/>
      <c r="AL32" s="128"/>
      <c r="AM32" s="128"/>
      <c r="AN32" s="128"/>
      <c r="AO32" s="128"/>
      <c r="AP32" s="128"/>
      <c r="AQ32" s="128"/>
      <c r="AR32" s="128"/>
      <c r="AS32" s="128"/>
      <c r="AT32" s="128"/>
      <c r="AU32" s="128"/>
      <c r="AV32" s="128"/>
      <c r="AW32" s="128"/>
      <c r="AX32" s="128"/>
      <c r="AY32" s="128"/>
      <c r="AZ32" s="128"/>
      <c r="BA32" s="128"/>
      <c r="BB32" s="128"/>
      <c r="BC32" s="128"/>
      <c r="BD32" s="128"/>
      <c r="BE32" s="128"/>
      <c r="BF32" s="128"/>
      <c r="BG32" s="128"/>
      <c r="BH32" s="128"/>
      <c r="BI32" s="128"/>
      <c r="BJ32" s="128"/>
      <c r="BK32" s="128"/>
      <c r="BL32" s="128"/>
      <c r="BM32" s="128"/>
      <c r="BN32" s="128"/>
      <c r="BO32" s="128"/>
      <c r="BP32" s="128"/>
      <c r="BQ32" s="128"/>
      <c r="BR32" s="128"/>
      <c r="BS32" s="128"/>
      <c r="BT32" s="128"/>
    </row>
    <row r="33" spans="1:72" hidden="1" outlineLevel="1" x14ac:dyDescent="0.25">
      <c r="A33" s="124" t="s">
        <v>70</v>
      </c>
      <c r="B33" s="128">
        <f>INDEX(Calculations!$AC$5:$AG$51, MATCH('Rotation Assembler'!$A33, Calculations!$AC$5:$AC$51, 0), MATCH('Rotation Assembler'!B$21, Calculations!$AC$5:$AG$5, 0))</f>
        <v>0</v>
      </c>
      <c r="C33" s="128">
        <f>INDEX(Calculations!$AC$5:$AG$51, MATCH('Rotation Assembler'!$A33, Calculations!$AC$5:$AC$51, 0), MATCH('Rotation Assembler'!C$21, Calculations!$AC$5:$AG$5, 0))</f>
        <v>0</v>
      </c>
      <c r="D33" s="128">
        <f>INDEX(Calculations!$AC$5:$AG$51, MATCH('Rotation Assembler'!$A33, Calculations!$AC$5:$AC$51, 0), MATCH('Rotation Assembler'!D$21, Calculations!$AC$5:$AG$5, 0))</f>
        <v>0</v>
      </c>
      <c r="E33" s="128">
        <f>INDEX(Calculations!$AC$5:$AG$51, MATCH('Rotation Assembler'!$A33, Calculations!$AC$5:$AC$51, 0), MATCH('Rotation Assembler'!E$21, Calculations!$AC$5:$AG$5, 0))</f>
        <v>0</v>
      </c>
      <c r="F33" s="128">
        <f>INDEX(Calculations!$AC$5:$AG$51, MATCH('Rotation Assembler'!$A33, Calculations!$AC$5:$AC$51, 0), MATCH('Rotation Assembler'!F$21, Calculations!$AC$5:$AG$5, 0))</f>
        <v>0</v>
      </c>
      <c r="G33" s="128">
        <f>INDEX(Calculations!$AC$5:$AG$51, MATCH('Rotation Assembler'!$A33, Calculations!$AC$5:$AC$51, 0), MATCH('Rotation Assembler'!G$21, Calculations!$AC$5:$AG$5, 0))</f>
        <v>0</v>
      </c>
      <c r="H33" s="128">
        <f>INDEX(Calculations!$AC$5:$AG$51, MATCH('Rotation Assembler'!$A33, Calculations!$AC$5:$AC$51, 0), MATCH('Rotation Assembler'!H$21, Calculations!$AC$5:$AG$5, 0))</f>
        <v>0</v>
      </c>
      <c r="I33" s="128">
        <f>INDEX(Calculations!$AC$5:$AG$51, MATCH('Rotation Assembler'!$A33, Calculations!$AC$5:$AC$51, 0), MATCH('Rotation Assembler'!I$21, Calculations!$AC$5:$AG$5, 0))</f>
        <v>0</v>
      </c>
      <c r="J33" s="128">
        <f>INDEX(Calculations!$AC$5:$AG$51, MATCH('Rotation Assembler'!$A33, Calculations!$AC$5:$AC$51, 0), MATCH('Rotation Assembler'!J$21, Calculations!$AC$5:$AG$5, 0))</f>
        <v>0</v>
      </c>
      <c r="K33" s="128">
        <f>INDEX(Calculations!$AC$5:$AG$51, MATCH('Rotation Assembler'!$A33, Calculations!$AC$5:$AC$51, 0), MATCH('Rotation Assembler'!K$21, Calculations!$AC$5:$AG$5, 0))</f>
        <v>0</v>
      </c>
      <c r="L33" s="128">
        <f>INDEX(Calculations!$AC$5:$AG$51, MATCH('Rotation Assembler'!$A33, Calculations!$AC$5:$AC$51, 0), MATCH('Rotation Assembler'!L$21, Calculations!$AC$5:$AG$5, 0))</f>
        <v>0</v>
      </c>
      <c r="M33" s="128">
        <f>INDEX(Calculations!$AC$5:$AG$51, MATCH('Rotation Assembler'!$A33, Calculations!$AC$5:$AC$51, 0), MATCH('Rotation Assembler'!M$21, Calculations!$AC$5:$AG$5, 0))</f>
        <v>0</v>
      </c>
      <c r="N33" s="128">
        <f>INDEX(Calculations!$AC$5:$AG$51, MATCH('Rotation Assembler'!$A33, Calculations!$AC$5:$AC$51, 0), MATCH('Rotation Assembler'!N$21, Calculations!$AC$5:$AG$5, 0))</f>
        <v>0</v>
      </c>
      <c r="O33" s="128">
        <f>INDEX(Calculations!$AC$5:$AG$51, MATCH('Rotation Assembler'!$A33, Calculations!$AC$5:$AC$51, 0), MATCH('Rotation Assembler'!O$21, Calculations!$AC$5:$AG$5, 0))</f>
        <v>0</v>
      </c>
      <c r="P33" s="128">
        <f>INDEX(Calculations!$AC$5:$AG$51, MATCH('Rotation Assembler'!$A33, Calculations!$AC$5:$AC$51, 0), MATCH('Rotation Assembler'!P$21, Calculations!$AC$5:$AG$5, 0))</f>
        <v>0</v>
      </c>
      <c r="Q33" s="128">
        <f>INDEX(Calculations!$AC$5:$AG$51, MATCH('Rotation Assembler'!$A33, Calculations!$AC$5:$AC$51, 0), MATCH('Rotation Assembler'!Q$21, Calculations!$AC$5:$AG$5, 0))</f>
        <v>0</v>
      </c>
      <c r="R33" s="128">
        <f>INDEX(Calculations!$AC$5:$AG$51, MATCH('Rotation Assembler'!$A33, Calculations!$AC$5:$AC$51, 0), MATCH('Rotation Assembler'!R$21, Calculations!$AC$5:$AG$5, 0))</f>
        <v>0</v>
      </c>
      <c r="S33" s="128">
        <f>INDEX(Calculations!$AC$5:$AG$51, MATCH('Rotation Assembler'!$A33, Calculations!$AC$5:$AC$51, 0), MATCH('Rotation Assembler'!S$21, Calculations!$AC$5:$AG$5, 0))</f>
        <v>0</v>
      </c>
      <c r="T33" s="128">
        <f>INDEX(Calculations!$AC$5:$AG$51, MATCH('Rotation Assembler'!$A33, Calculations!$AC$5:$AC$51, 0), MATCH('Rotation Assembler'!T$21, Calculations!$AC$5:$AG$5, 0))</f>
        <v>0</v>
      </c>
      <c r="U33" s="128">
        <f>INDEX(Calculations!$AC$5:$AG$51, MATCH('Rotation Assembler'!$A33, Calculations!$AC$5:$AC$51, 0), MATCH('Rotation Assembler'!U$21, Calculations!$AC$5:$AG$5, 0))</f>
        <v>0</v>
      </c>
      <c r="V33" s="128">
        <f>INDEX(Calculations!$AC$5:$AG$51, MATCH('Rotation Assembler'!$A33, Calculations!$AC$5:$AC$51, 0), MATCH('Rotation Assembler'!V$21, Calculations!$AC$5:$AG$5, 0))</f>
        <v>0</v>
      </c>
      <c r="W33" s="128">
        <f>INDEX(Calculations!$AC$5:$AG$51, MATCH('Rotation Assembler'!$A33, Calculations!$AC$5:$AC$51, 0), MATCH('Rotation Assembler'!W$21, Calculations!$AC$5:$AG$5, 0))</f>
        <v>0</v>
      </c>
      <c r="X33" s="128">
        <f>INDEX(Calculations!$AC$5:$AG$51, MATCH('Rotation Assembler'!$A33, Calculations!$AC$5:$AC$51, 0), MATCH('Rotation Assembler'!X$21, Calculations!$AC$5:$AG$5, 0))</f>
        <v>0</v>
      </c>
      <c r="Y33" s="128">
        <f>INDEX(Calculations!$AC$5:$AG$51, MATCH('Rotation Assembler'!$A33, Calculations!$AC$5:$AC$51, 0), MATCH('Rotation Assembler'!Y$21, Calculations!$AC$5:$AG$5, 0))</f>
        <v>0</v>
      </c>
      <c r="Z33" s="128">
        <f>INDEX(Calculations!$AC$5:$AG$51, MATCH('Rotation Assembler'!$A33, Calculations!$AC$5:$AC$51, 0), MATCH('Rotation Assembler'!Z$21, Calculations!$AC$5:$AG$5, 0))</f>
        <v>0</v>
      </c>
      <c r="AA33" s="128">
        <f>INDEX(Calculations!$AC$5:$AG$51, MATCH('Rotation Assembler'!$A33, Calculations!$AC$5:$AC$51, 0), MATCH('Rotation Assembler'!AA$21, Calculations!$AC$5:$AG$5, 0))</f>
        <v>0</v>
      </c>
      <c r="AB33" s="128">
        <f>INDEX(Calculations!$AC$5:$AG$51, MATCH('Rotation Assembler'!$A33, Calculations!$AC$5:$AC$51, 0), MATCH('Rotation Assembler'!AB$21, Calculations!$AC$5:$AG$5, 0))</f>
        <v>0</v>
      </c>
      <c r="AC33" s="128">
        <f>INDEX(Calculations!$AC$5:$AG$51, MATCH('Rotation Assembler'!$A33, Calculations!$AC$5:$AC$51, 0), MATCH('Rotation Assembler'!AC$21, Calculations!$AC$5:$AG$5, 0))</f>
        <v>0</v>
      </c>
      <c r="AD33" s="128">
        <f>INDEX(Calculations!$AC$5:$AG$51, MATCH('Rotation Assembler'!$A33, Calculations!$AC$5:$AC$51, 0), MATCH('Rotation Assembler'!AD$21, Calculations!$AC$5:$AG$5, 0))</f>
        <v>0</v>
      </c>
      <c r="AE33" s="128">
        <f>INDEX(Calculations!$AC$5:$AG$51, MATCH('Rotation Assembler'!$A33, Calculations!$AC$5:$AC$51, 0), MATCH('Rotation Assembler'!AE$21, Calculations!$AC$5:$AG$5, 0))</f>
        <v>0</v>
      </c>
      <c r="AF33" s="128">
        <f>INDEX(Calculations!$AC$5:$AG$51, MATCH('Rotation Assembler'!$A33, Calculations!$AC$5:$AC$51, 0), MATCH('Rotation Assembler'!AF$21, Calculations!$AC$5:$AG$5, 0))</f>
        <v>0</v>
      </c>
      <c r="AG33" s="128">
        <f>INDEX(Calculations!$AC$5:$AG$51, MATCH('Rotation Assembler'!$A33, Calculations!$AC$5:$AC$51, 0), MATCH('Rotation Assembler'!AG$21, Calculations!$AC$5:$AG$5, 0))</f>
        <v>0</v>
      </c>
      <c r="AH33" s="128">
        <f>INDEX(Calculations!$AC$5:$AG$51, MATCH('Rotation Assembler'!$A33, Calculations!$AC$5:$AC$51, 0), MATCH('Rotation Assembler'!AH$21, Calculations!$AC$5:$AG$5, 0))</f>
        <v>0</v>
      </c>
      <c r="AI33" s="128">
        <f>INDEX(Calculations!$AC$5:$AG$51, MATCH('Rotation Assembler'!$A33, Calculations!$AC$5:$AC$51, 0), MATCH('Rotation Assembler'!AI$21, Calculations!$AC$5:$AG$5, 0))</f>
        <v>0</v>
      </c>
      <c r="AJ33" s="128">
        <f>INDEX(Calculations!$AC$5:$AG$51, MATCH('Rotation Assembler'!$A33, Calculations!$AC$5:$AC$51, 0), MATCH('Rotation Assembler'!AJ$21, Calculations!$AC$5:$AG$5, 0))</f>
        <v>0</v>
      </c>
      <c r="AK33" s="128"/>
      <c r="AL33" s="128"/>
      <c r="AM33" s="128"/>
      <c r="AN33" s="128"/>
      <c r="AO33" s="128"/>
      <c r="AP33" s="128"/>
      <c r="AQ33" s="128"/>
      <c r="AR33" s="128"/>
      <c r="AS33" s="128"/>
      <c r="AT33" s="128"/>
      <c r="AU33" s="128"/>
      <c r="AV33" s="128"/>
      <c r="AW33" s="128"/>
      <c r="AX33" s="128"/>
      <c r="AY33" s="128"/>
      <c r="AZ33" s="128"/>
      <c r="BA33" s="128"/>
      <c r="BB33" s="128"/>
      <c r="BC33" s="128"/>
      <c r="BD33" s="128"/>
      <c r="BE33" s="128"/>
      <c r="BF33" s="128"/>
      <c r="BG33" s="128"/>
      <c r="BH33" s="128"/>
      <c r="BI33" s="128"/>
      <c r="BJ33" s="128"/>
      <c r="BK33" s="128"/>
      <c r="BL33" s="128"/>
      <c r="BM33" s="128"/>
      <c r="BN33" s="128"/>
      <c r="BO33" s="128"/>
      <c r="BP33" s="128"/>
      <c r="BQ33" s="128"/>
      <c r="BR33" s="128"/>
      <c r="BS33" s="128"/>
      <c r="BT33" s="128"/>
    </row>
    <row r="34" spans="1:72" hidden="1" outlineLevel="1" x14ac:dyDescent="0.25">
      <c r="A34" s="124" t="s">
        <v>71</v>
      </c>
      <c r="B34" s="128">
        <f>INDEX(Calculations!$AC$5:$AG$51, MATCH('Rotation Assembler'!$A34, Calculations!$AC$5:$AC$51, 0), MATCH('Rotation Assembler'!B$21, Calculations!$AC$5:$AG$5, 0))</f>
        <v>0</v>
      </c>
      <c r="C34" s="128">
        <f>INDEX(Calculations!$AC$5:$AG$51, MATCH('Rotation Assembler'!$A34, Calculations!$AC$5:$AC$51, 0), MATCH('Rotation Assembler'!C$21, Calculations!$AC$5:$AG$5, 0))</f>
        <v>0</v>
      </c>
      <c r="D34" s="128">
        <f>INDEX(Calculations!$AC$5:$AG$51, MATCH('Rotation Assembler'!$A34, Calculations!$AC$5:$AC$51, 0), MATCH('Rotation Assembler'!D$21, Calculations!$AC$5:$AG$5, 0))</f>
        <v>0</v>
      </c>
      <c r="E34" s="128">
        <f>INDEX(Calculations!$AC$5:$AG$51, MATCH('Rotation Assembler'!$A34, Calculations!$AC$5:$AC$51, 0), MATCH('Rotation Assembler'!E$21, Calculations!$AC$5:$AG$5, 0))</f>
        <v>0</v>
      </c>
      <c r="F34" s="128">
        <f>INDEX(Calculations!$AC$5:$AG$51, MATCH('Rotation Assembler'!$A34, Calculations!$AC$5:$AC$51, 0), MATCH('Rotation Assembler'!F$21, Calculations!$AC$5:$AG$5, 0))</f>
        <v>0</v>
      </c>
      <c r="G34" s="128">
        <f>INDEX(Calculations!$AC$5:$AG$51, MATCH('Rotation Assembler'!$A34, Calculations!$AC$5:$AC$51, 0), MATCH('Rotation Assembler'!G$21, Calculations!$AC$5:$AG$5, 0))</f>
        <v>0</v>
      </c>
      <c r="H34" s="128">
        <f>INDEX(Calculations!$AC$5:$AG$51, MATCH('Rotation Assembler'!$A34, Calculations!$AC$5:$AC$51, 0), MATCH('Rotation Assembler'!H$21, Calculations!$AC$5:$AG$5, 0))</f>
        <v>0</v>
      </c>
      <c r="I34" s="128">
        <f>INDEX(Calculations!$AC$5:$AG$51, MATCH('Rotation Assembler'!$A34, Calculations!$AC$5:$AC$51, 0), MATCH('Rotation Assembler'!I$21, Calculations!$AC$5:$AG$5, 0))</f>
        <v>0</v>
      </c>
      <c r="J34" s="128">
        <f>INDEX(Calculations!$AC$5:$AG$51, MATCH('Rotation Assembler'!$A34, Calculations!$AC$5:$AC$51, 0), MATCH('Rotation Assembler'!J$21, Calculations!$AC$5:$AG$5, 0))</f>
        <v>0</v>
      </c>
      <c r="K34" s="128">
        <f>INDEX(Calculations!$AC$5:$AG$51, MATCH('Rotation Assembler'!$A34, Calculations!$AC$5:$AC$51, 0), MATCH('Rotation Assembler'!K$21, Calculations!$AC$5:$AG$5, 0))</f>
        <v>0</v>
      </c>
      <c r="L34" s="128">
        <f>INDEX(Calculations!$AC$5:$AG$51, MATCH('Rotation Assembler'!$A34, Calculations!$AC$5:$AC$51, 0), MATCH('Rotation Assembler'!L$21, Calculations!$AC$5:$AG$5, 0))</f>
        <v>0</v>
      </c>
      <c r="M34" s="128">
        <f>INDEX(Calculations!$AC$5:$AG$51, MATCH('Rotation Assembler'!$A34, Calculations!$AC$5:$AC$51, 0), MATCH('Rotation Assembler'!M$21, Calculations!$AC$5:$AG$5, 0))</f>
        <v>0</v>
      </c>
      <c r="N34" s="128">
        <f>INDEX(Calculations!$AC$5:$AG$51, MATCH('Rotation Assembler'!$A34, Calculations!$AC$5:$AC$51, 0), MATCH('Rotation Assembler'!N$21, Calculations!$AC$5:$AG$5, 0))</f>
        <v>0</v>
      </c>
      <c r="O34" s="128">
        <f>INDEX(Calculations!$AC$5:$AG$51, MATCH('Rotation Assembler'!$A34, Calculations!$AC$5:$AC$51, 0), MATCH('Rotation Assembler'!O$21, Calculations!$AC$5:$AG$5, 0))</f>
        <v>0</v>
      </c>
      <c r="P34" s="128">
        <f>INDEX(Calculations!$AC$5:$AG$51, MATCH('Rotation Assembler'!$A34, Calculations!$AC$5:$AC$51, 0), MATCH('Rotation Assembler'!P$21, Calculations!$AC$5:$AG$5, 0))</f>
        <v>0</v>
      </c>
      <c r="Q34" s="128">
        <f>INDEX(Calculations!$AC$5:$AG$51, MATCH('Rotation Assembler'!$A34, Calculations!$AC$5:$AC$51, 0), MATCH('Rotation Assembler'!Q$21, Calculations!$AC$5:$AG$5, 0))</f>
        <v>0</v>
      </c>
      <c r="R34" s="128">
        <f>INDEX(Calculations!$AC$5:$AG$51, MATCH('Rotation Assembler'!$A34, Calculations!$AC$5:$AC$51, 0), MATCH('Rotation Assembler'!R$21, Calculations!$AC$5:$AG$5, 0))</f>
        <v>0</v>
      </c>
      <c r="S34" s="128">
        <f>INDEX(Calculations!$AC$5:$AG$51, MATCH('Rotation Assembler'!$A34, Calculations!$AC$5:$AC$51, 0), MATCH('Rotation Assembler'!S$21, Calculations!$AC$5:$AG$5, 0))</f>
        <v>0</v>
      </c>
      <c r="T34" s="128">
        <f>INDEX(Calculations!$AC$5:$AG$51, MATCH('Rotation Assembler'!$A34, Calculations!$AC$5:$AC$51, 0), MATCH('Rotation Assembler'!T$21, Calculations!$AC$5:$AG$5, 0))</f>
        <v>0</v>
      </c>
      <c r="U34" s="128">
        <f>INDEX(Calculations!$AC$5:$AG$51, MATCH('Rotation Assembler'!$A34, Calculations!$AC$5:$AC$51, 0), MATCH('Rotation Assembler'!U$21, Calculations!$AC$5:$AG$5, 0))</f>
        <v>0</v>
      </c>
      <c r="V34" s="128">
        <f>INDEX(Calculations!$AC$5:$AG$51, MATCH('Rotation Assembler'!$A34, Calculations!$AC$5:$AC$51, 0), MATCH('Rotation Assembler'!V$21, Calculations!$AC$5:$AG$5, 0))</f>
        <v>0</v>
      </c>
      <c r="W34" s="128">
        <f>INDEX(Calculations!$AC$5:$AG$51, MATCH('Rotation Assembler'!$A34, Calculations!$AC$5:$AC$51, 0), MATCH('Rotation Assembler'!W$21, Calculations!$AC$5:$AG$5, 0))</f>
        <v>0</v>
      </c>
      <c r="X34" s="128">
        <f>INDEX(Calculations!$AC$5:$AG$51, MATCH('Rotation Assembler'!$A34, Calculations!$AC$5:$AC$51, 0), MATCH('Rotation Assembler'!X$21, Calculations!$AC$5:$AG$5, 0))</f>
        <v>0</v>
      </c>
      <c r="Y34" s="128">
        <f>INDEX(Calculations!$AC$5:$AG$51, MATCH('Rotation Assembler'!$A34, Calculations!$AC$5:$AC$51, 0), MATCH('Rotation Assembler'!Y$21, Calculations!$AC$5:$AG$5, 0))</f>
        <v>0</v>
      </c>
      <c r="Z34" s="128">
        <f>INDEX(Calculations!$AC$5:$AG$51, MATCH('Rotation Assembler'!$A34, Calculations!$AC$5:$AC$51, 0), MATCH('Rotation Assembler'!Z$21, Calculations!$AC$5:$AG$5, 0))</f>
        <v>0</v>
      </c>
      <c r="AA34" s="128">
        <f>INDEX(Calculations!$AC$5:$AG$51, MATCH('Rotation Assembler'!$A34, Calculations!$AC$5:$AC$51, 0), MATCH('Rotation Assembler'!AA$21, Calculations!$AC$5:$AG$5, 0))</f>
        <v>0</v>
      </c>
      <c r="AB34" s="128">
        <f>INDEX(Calculations!$AC$5:$AG$51, MATCH('Rotation Assembler'!$A34, Calculations!$AC$5:$AC$51, 0), MATCH('Rotation Assembler'!AB$21, Calculations!$AC$5:$AG$5, 0))</f>
        <v>0</v>
      </c>
      <c r="AC34" s="128">
        <f>INDEX(Calculations!$AC$5:$AG$51, MATCH('Rotation Assembler'!$A34, Calculations!$AC$5:$AC$51, 0), MATCH('Rotation Assembler'!AC$21, Calculations!$AC$5:$AG$5, 0))</f>
        <v>0</v>
      </c>
      <c r="AD34" s="128">
        <f>INDEX(Calculations!$AC$5:$AG$51, MATCH('Rotation Assembler'!$A34, Calculations!$AC$5:$AC$51, 0), MATCH('Rotation Assembler'!AD$21, Calculations!$AC$5:$AG$5, 0))</f>
        <v>0</v>
      </c>
      <c r="AE34" s="128">
        <f>INDEX(Calculations!$AC$5:$AG$51, MATCH('Rotation Assembler'!$A34, Calculations!$AC$5:$AC$51, 0), MATCH('Rotation Assembler'!AE$21, Calculations!$AC$5:$AG$5, 0))</f>
        <v>0</v>
      </c>
      <c r="AF34" s="128">
        <f>INDEX(Calculations!$AC$5:$AG$51, MATCH('Rotation Assembler'!$A34, Calculations!$AC$5:$AC$51, 0), MATCH('Rotation Assembler'!AF$21, Calculations!$AC$5:$AG$5, 0))</f>
        <v>0</v>
      </c>
      <c r="AG34" s="128">
        <f>INDEX(Calculations!$AC$5:$AG$51, MATCH('Rotation Assembler'!$A34, Calculations!$AC$5:$AC$51, 0), MATCH('Rotation Assembler'!AG$21, Calculations!$AC$5:$AG$5, 0))</f>
        <v>0</v>
      </c>
      <c r="AH34" s="128">
        <f>INDEX(Calculations!$AC$5:$AG$51, MATCH('Rotation Assembler'!$A34, Calculations!$AC$5:$AC$51, 0), MATCH('Rotation Assembler'!AH$21, Calculations!$AC$5:$AG$5, 0))</f>
        <v>0</v>
      </c>
      <c r="AI34" s="128">
        <f>INDEX(Calculations!$AC$5:$AG$51, MATCH('Rotation Assembler'!$A34, Calculations!$AC$5:$AC$51, 0), MATCH('Rotation Assembler'!AI$21, Calculations!$AC$5:$AG$5, 0))</f>
        <v>0</v>
      </c>
      <c r="AJ34" s="128">
        <f>INDEX(Calculations!$AC$5:$AG$51, MATCH('Rotation Assembler'!$A34, Calculations!$AC$5:$AC$51, 0), MATCH('Rotation Assembler'!AJ$21, Calculations!$AC$5:$AG$5, 0))</f>
        <v>0</v>
      </c>
      <c r="AK34" s="128"/>
      <c r="AL34" s="128"/>
      <c r="AM34" s="128"/>
      <c r="AN34" s="128"/>
      <c r="AO34" s="128"/>
      <c r="AP34" s="128"/>
      <c r="AQ34" s="128"/>
      <c r="AR34" s="128"/>
      <c r="AS34" s="128"/>
      <c r="AT34" s="128"/>
      <c r="AU34" s="128"/>
      <c r="AV34" s="128"/>
      <c r="AW34" s="128"/>
      <c r="AX34" s="128"/>
      <c r="AY34" s="128"/>
      <c r="AZ34" s="128"/>
      <c r="BA34" s="128"/>
      <c r="BB34" s="128"/>
      <c r="BC34" s="128"/>
      <c r="BD34" s="128"/>
      <c r="BE34" s="128"/>
      <c r="BF34" s="128"/>
      <c r="BG34" s="128"/>
      <c r="BH34" s="128"/>
      <c r="BI34" s="128"/>
      <c r="BJ34" s="128"/>
      <c r="BK34" s="128"/>
      <c r="BL34" s="128"/>
      <c r="BM34" s="128"/>
      <c r="BN34" s="128"/>
      <c r="BO34" s="128"/>
      <c r="BP34" s="128"/>
      <c r="BQ34" s="128"/>
      <c r="BR34" s="128"/>
      <c r="BS34" s="128"/>
      <c r="BT34" s="128"/>
    </row>
    <row r="35" spans="1:72" hidden="1" outlineLevel="1" x14ac:dyDescent="0.25">
      <c r="A35" s="124" t="s">
        <v>72</v>
      </c>
      <c r="B35" s="128">
        <f>INDEX(Calculations!$AC$5:$AG$51, MATCH('Rotation Assembler'!$A35, Calculations!$AC$5:$AC$51, 0), MATCH('Rotation Assembler'!B$21, Calculations!$AC$5:$AG$5, 0))</f>
        <v>0</v>
      </c>
      <c r="C35" s="128">
        <f>INDEX(Calculations!$AC$5:$AG$51, MATCH('Rotation Assembler'!$A35, Calculations!$AC$5:$AC$51, 0), MATCH('Rotation Assembler'!C$21, Calculations!$AC$5:$AG$5, 0))</f>
        <v>0</v>
      </c>
      <c r="D35" s="128">
        <f>INDEX(Calculations!$AC$5:$AG$51, MATCH('Rotation Assembler'!$A35, Calculations!$AC$5:$AC$51, 0), MATCH('Rotation Assembler'!D$21, Calculations!$AC$5:$AG$5, 0))</f>
        <v>0</v>
      </c>
      <c r="E35" s="128">
        <f>INDEX(Calculations!$AC$5:$AG$51, MATCH('Rotation Assembler'!$A35, Calculations!$AC$5:$AC$51, 0), MATCH('Rotation Assembler'!E$21, Calculations!$AC$5:$AG$5, 0))</f>
        <v>0</v>
      </c>
      <c r="F35" s="128">
        <f>INDEX(Calculations!$AC$5:$AG$51, MATCH('Rotation Assembler'!$A35, Calculations!$AC$5:$AC$51, 0), MATCH('Rotation Assembler'!F$21, Calculations!$AC$5:$AG$5, 0))</f>
        <v>0</v>
      </c>
      <c r="G35" s="128">
        <f>INDEX(Calculations!$AC$5:$AG$51, MATCH('Rotation Assembler'!$A35, Calculations!$AC$5:$AC$51, 0), MATCH('Rotation Assembler'!G$21, Calculations!$AC$5:$AG$5, 0))</f>
        <v>0</v>
      </c>
      <c r="H35" s="128">
        <f>INDEX(Calculations!$AC$5:$AG$51, MATCH('Rotation Assembler'!$A35, Calculations!$AC$5:$AC$51, 0), MATCH('Rotation Assembler'!H$21, Calculations!$AC$5:$AG$5, 0))</f>
        <v>0</v>
      </c>
      <c r="I35" s="128">
        <f>INDEX(Calculations!$AC$5:$AG$51, MATCH('Rotation Assembler'!$A35, Calculations!$AC$5:$AC$51, 0), MATCH('Rotation Assembler'!I$21, Calculations!$AC$5:$AG$5, 0))</f>
        <v>0</v>
      </c>
      <c r="J35" s="128">
        <f>INDEX(Calculations!$AC$5:$AG$51, MATCH('Rotation Assembler'!$A35, Calculations!$AC$5:$AC$51, 0), MATCH('Rotation Assembler'!J$21, Calculations!$AC$5:$AG$5, 0))</f>
        <v>0</v>
      </c>
      <c r="K35" s="128">
        <f>INDEX(Calculations!$AC$5:$AG$51, MATCH('Rotation Assembler'!$A35, Calculations!$AC$5:$AC$51, 0), MATCH('Rotation Assembler'!K$21, Calculations!$AC$5:$AG$5, 0))</f>
        <v>0</v>
      </c>
      <c r="L35" s="128">
        <f>INDEX(Calculations!$AC$5:$AG$51, MATCH('Rotation Assembler'!$A35, Calculations!$AC$5:$AC$51, 0), MATCH('Rotation Assembler'!L$21, Calculations!$AC$5:$AG$5, 0))</f>
        <v>0</v>
      </c>
      <c r="M35" s="128">
        <f>INDEX(Calculations!$AC$5:$AG$51, MATCH('Rotation Assembler'!$A35, Calculations!$AC$5:$AC$51, 0), MATCH('Rotation Assembler'!M$21, Calculations!$AC$5:$AG$5, 0))</f>
        <v>0</v>
      </c>
      <c r="N35" s="128">
        <f>INDEX(Calculations!$AC$5:$AG$51, MATCH('Rotation Assembler'!$A35, Calculations!$AC$5:$AC$51, 0), MATCH('Rotation Assembler'!N$21, Calculations!$AC$5:$AG$5, 0))</f>
        <v>0</v>
      </c>
      <c r="O35" s="128">
        <f>INDEX(Calculations!$AC$5:$AG$51, MATCH('Rotation Assembler'!$A35, Calculations!$AC$5:$AC$51, 0), MATCH('Rotation Assembler'!O$21, Calculations!$AC$5:$AG$5, 0))</f>
        <v>0</v>
      </c>
      <c r="P35" s="128">
        <f>INDEX(Calculations!$AC$5:$AG$51, MATCH('Rotation Assembler'!$A35, Calculations!$AC$5:$AC$51, 0), MATCH('Rotation Assembler'!P$21, Calculations!$AC$5:$AG$5, 0))</f>
        <v>0</v>
      </c>
      <c r="Q35" s="128">
        <f>INDEX(Calculations!$AC$5:$AG$51, MATCH('Rotation Assembler'!$A35, Calculations!$AC$5:$AC$51, 0), MATCH('Rotation Assembler'!Q$21, Calculations!$AC$5:$AG$5, 0))</f>
        <v>0</v>
      </c>
      <c r="R35" s="128">
        <f>INDEX(Calculations!$AC$5:$AG$51, MATCH('Rotation Assembler'!$A35, Calculations!$AC$5:$AC$51, 0), MATCH('Rotation Assembler'!R$21, Calculations!$AC$5:$AG$5, 0))</f>
        <v>0</v>
      </c>
      <c r="S35" s="128">
        <f>INDEX(Calculations!$AC$5:$AG$51, MATCH('Rotation Assembler'!$A35, Calculations!$AC$5:$AC$51, 0), MATCH('Rotation Assembler'!S$21, Calculations!$AC$5:$AG$5, 0))</f>
        <v>0</v>
      </c>
      <c r="T35" s="128">
        <f>INDEX(Calculations!$AC$5:$AG$51, MATCH('Rotation Assembler'!$A35, Calculations!$AC$5:$AC$51, 0), MATCH('Rotation Assembler'!T$21, Calculations!$AC$5:$AG$5, 0))</f>
        <v>0</v>
      </c>
      <c r="U35" s="128">
        <f>INDEX(Calculations!$AC$5:$AG$51, MATCH('Rotation Assembler'!$A35, Calculations!$AC$5:$AC$51, 0), MATCH('Rotation Assembler'!U$21, Calculations!$AC$5:$AG$5, 0))</f>
        <v>0</v>
      </c>
      <c r="V35" s="128">
        <f>INDEX(Calculations!$AC$5:$AG$51, MATCH('Rotation Assembler'!$A35, Calculations!$AC$5:$AC$51, 0), MATCH('Rotation Assembler'!V$21, Calculations!$AC$5:$AG$5, 0))</f>
        <v>0</v>
      </c>
      <c r="W35" s="128">
        <f>INDEX(Calculations!$AC$5:$AG$51, MATCH('Rotation Assembler'!$A35, Calculations!$AC$5:$AC$51, 0), MATCH('Rotation Assembler'!W$21, Calculations!$AC$5:$AG$5, 0))</f>
        <v>0</v>
      </c>
      <c r="X35" s="128">
        <f>INDEX(Calculations!$AC$5:$AG$51, MATCH('Rotation Assembler'!$A35, Calculations!$AC$5:$AC$51, 0), MATCH('Rotation Assembler'!X$21, Calculations!$AC$5:$AG$5, 0))</f>
        <v>0</v>
      </c>
      <c r="Y35" s="128">
        <f>INDEX(Calculations!$AC$5:$AG$51, MATCH('Rotation Assembler'!$A35, Calculations!$AC$5:$AC$51, 0), MATCH('Rotation Assembler'!Y$21, Calculations!$AC$5:$AG$5, 0))</f>
        <v>0</v>
      </c>
      <c r="Z35" s="128">
        <f>INDEX(Calculations!$AC$5:$AG$51, MATCH('Rotation Assembler'!$A35, Calculations!$AC$5:$AC$51, 0), MATCH('Rotation Assembler'!Z$21, Calculations!$AC$5:$AG$5, 0))</f>
        <v>0</v>
      </c>
      <c r="AA35" s="128">
        <f>INDEX(Calculations!$AC$5:$AG$51, MATCH('Rotation Assembler'!$A35, Calculations!$AC$5:$AC$51, 0), MATCH('Rotation Assembler'!AA$21, Calculations!$AC$5:$AG$5, 0))</f>
        <v>0</v>
      </c>
      <c r="AB35" s="128">
        <f>INDEX(Calculations!$AC$5:$AG$51, MATCH('Rotation Assembler'!$A35, Calculations!$AC$5:$AC$51, 0), MATCH('Rotation Assembler'!AB$21, Calculations!$AC$5:$AG$5, 0))</f>
        <v>0</v>
      </c>
      <c r="AC35" s="128">
        <f>INDEX(Calculations!$AC$5:$AG$51, MATCH('Rotation Assembler'!$A35, Calculations!$AC$5:$AC$51, 0), MATCH('Rotation Assembler'!AC$21, Calculations!$AC$5:$AG$5, 0))</f>
        <v>0</v>
      </c>
      <c r="AD35" s="128">
        <f>INDEX(Calculations!$AC$5:$AG$51, MATCH('Rotation Assembler'!$A35, Calculations!$AC$5:$AC$51, 0), MATCH('Rotation Assembler'!AD$21, Calculations!$AC$5:$AG$5, 0))</f>
        <v>0</v>
      </c>
      <c r="AE35" s="128">
        <f>INDEX(Calculations!$AC$5:$AG$51, MATCH('Rotation Assembler'!$A35, Calculations!$AC$5:$AC$51, 0), MATCH('Rotation Assembler'!AE$21, Calculations!$AC$5:$AG$5, 0))</f>
        <v>0</v>
      </c>
      <c r="AF35" s="128">
        <f>INDEX(Calculations!$AC$5:$AG$51, MATCH('Rotation Assembler'!$A35, Calculations!$AC$5:$AC$51, 0), MATCH('Rotation Assembler'!AF$21, Calculations!$AC$5:$AG$5, 0))</f>
        <v>0</v>
      </c>
      <c r="AG35" s="128">
        <f>INDEX(Calculations!$AC$5:$AG$51, MATCH('Rotation Assembler'!$A35, Calculations!$AC$5:$AC$51, 0), MATCH('Rotation Assembler'!AG$21, Calculations!$AC$5:$AG$5, 0))</f>
        <v>0</v>
      </c>
      <c r="AH35" s="128">
        <f>INDEX(Calculations!$AC$5:$AG$51, MATCH('Rotation Assembler'!$A35, Calculations!$AC$5:$AC$51, 0), MATCH('Rotation Assembler'!AH$21, Calculations!$AC$5:$AG$5, 0))</f>
        <v>0</v>
      </c>
      <c r="AI35" s="128">
        <f>INDEX(Calculations!$AC$5:$AG$51, MATCH('Rotation Assembler'!$A35, Calculations!$AC$5:$AC$51, 0), MATCH('Rotation Assembler'!AI$21, Calculations!$AC$5:$AG$5, 0))</f>
        <v>0</v>
      </c>
      <c r="AJ35" s="128">
        <f>INDEX(Calculations!$AC$5:$AG$51, MATCH('Rotation Assembler'!$A35, Calculations!$AC$5:$AC$51, 0), MATCH('Rotation Assembler'!AJ$21, Calculations!$AC$5:$AG$5, 0))</f>
        <v>0</v>
      </c>
      <c r="AK35" s="128"/>
      <c r="AL35" s="128"/>
      <c r="AM35" s="128"/>
      <c r="AN35" s="128"/>
      <c r="AO35" s="128"/>
      <c r="AP35" s="128"/>
      <c r="AQ35" s="128"/>
      <c r="AR35" s="128"/>
      <c r="AS35" s="128"/>
      <c r="AT35" s="128"/>
      <c r="AU35" s="128"/>
      <c r="AV35" s="128"/>
      <c r="AW35" s="128"/>
      <c r="AX35" s="128"/>
      <c r="AY35" s="128"/>
      <c r="AZ35" s="128"/>
      <c r="BA35" s="128"/>
      <c r="BB35" s="128"/>
      <c r="BC35" s="128"/>
      <c r="BD35" s="128"/>
      <c r="BE35" s="128"/>
      <c r="BF35" s="128"/>
      <c r="BG35" s="128"/>
      <c r="BH35" s="128"/>
      <c r="BI35" s="128"/>
      <c r="BJ35" s="128"/>
      <c r="BK35" s="128"/>
      <c r="BL35" s="128"/>
      <c r="BM35" s="128"/>
      <c r="BN35" s="128"/>
      <c r="BO35" s="128"/>
      <c r="BP35" s="128"/>
      <c r="BQ35" s="128"/>
      <c r="BR35" s="128"/>
      <c r="BS35" s="128"/>
      <c r="BT35" s="128"/>
    </row>
    <row r="36" spans="1:72" hidden="1" outlineLevel="1" x14ac:dyDescent="0.25">
      <c r="A36" s="124" t="s">
        <v>73</v>
      </c>
      <c r="B36" s="128">
        <f>INDEX(Calculations!$AC$5:$AG$51, MATCH('Rotation Assembler'!$A36, Calculations!$AC$5:$AC$51, 0), MATCH('Rotation Assembler'!B$21, Calculations!$AC$5:$AG$5, 0))</f>
        <v>0</v>
      </c>
      <c r="C36" s="128">
        <f>INDEX(Calculations!$AC$5:$AG$51, MATCH('Rotation Assembler'!$A36, Calculations!$AC$5:$AC$51, 0), MATCH('Rotation Assembler'!C$21, Calculations!$AC$5:$AG$5, 0))</f>
        <v>0</v>
      </c>
      <c r="D36" s="128">
        <f>INDEX(Calculations!$AC$5:$AG$51, MATCH('Rotation Assembler'!$A36, Calculations!$AC$5:$AC$51, 0), MATCH('Rotation Assembler'!D$21, Calculations!$AC$5:$AG$5, 0))</f>
        <v>0</v>
      </c>
      <c r="E36" s="128">
        <f>INDEX(Calculations!$AC$5:$AG$51, MATCH('Rotation Assembler'!$A36, Calculations!$AC$5:$AC$51, 0), MATCH('Rotation Assembler'!E$21, Calculations!$AC$5:$AG$5, 0))</f>
        <v>0</v>
      </c>
      <c r="F36" s="128">
        <f>INDEX(Calculations!$AC$5:$AG$51, MATCH('Rotation Assembler'!$A36, Calculations!$AC$5:$AC$51, 0), MATCH('Rotation Assembler'!F$21, Calculations!$AC$5:$AG$5, 0))</f>
        <v>0</v>
      </c>
      <c r="G36" s="128">
        <f>INDEX(Calculations!$AC$5:$AG$51, MATCH('Rotation Assembler'!$A36, Calculations!$AC$5:$AC$51, 0), MATCH('Rotation Assembler'!G$21, Calculations!$AC$5:$AG$5, 0))</f>
        <v>0</v>
      </c>
      <c r="H36" s="128">
        <f>INDEX(Calculations!$AC$5:$AG$51, MATCH('Rotation Assembler'!$A36, Calculations!$AC$5:$AC$51, 0), MATCH('Rotation Assembler'!H$21, Calculations!$AC$5:$AG$5, 0))</f>
        <v>0</v>
      </c>
      <c r="I36" s="128">
        <f>INDEX(Calculations!$AC$5:$AG$51, MATCH('Rotation Assembler'!$A36, Calculations!$AC$5:$AC$51, 0), MATCH('Rotation Assembler'!I$21, Calculations!$AC$5:$AG$5, 0))</f>
        <v>0</v>
      </c>
      <c r="J36" s="128">
        <f>INDEX(Calculations!$AC$5:$AG$51, MATCH('Rotation Assembler'!$A36, Calculations!$AC$5:$AC$51, 0), MATCH('Rotation Assembler'!J$21, Calculations!$AC$5:$AG$5, 0))</f>
        <v>0.46600000000000003</v>
      </c>
      <c r="K36" s="128">
        <f>INDEX(Calculations!$AC$5:$AG$51, MATCH('Rotation Assembler'!$A36, Calculations!$AC$5:$AC$51, 0), MATCH('Rotation Assembler'!K$21, Calculations!$AC$5:$AG$5, 0))</f>
        <v>0.46600000000000003</v>
      </c>
      <c r="L36" s="128">
        <f>INDEX(Calculations!$AC$5:$AG$51, MATCH('Rotation Assembler'!$A36, Calculations!$AC$5:$AC$51, 0), MATCH('Rotation Assembler'!L$21, Calculations!$AC$5:$AG$5, 0))</f>
        <v>0.46600000000000003</v>
      </c>
      <c r="M36" s="128">
        <f>INDEX(Calculations!$AC$5:$AG$51, MATCH('Rotation Assembler'!$A36, Calculations!$AC$5:$AC$51, 0), MATCH('Rotation Assembler'!M$21, Calculations!$AC$5:$AG$5, 0))</f>
        <v>0.69100000000000006</v>
      </c>
      <c r="N36" s="128">
        <f>INDEX(Calculations!$AC$5:$AG$51, MATCH('Rotation Assembler'!$A36, Calculations!$AC$5:$AC$51, 0), MATCH('Rotation Assembler'!N$21, Calculations!$AC$5:$AG$5, 0))</f>
        <v>0.69100000000000006</v>
      </c>
      <c r="O36" s="128">
        <f>INDEX(Calculations!$AC$5:$AG$51, MATCH('Rotation Assembler'!$A36, Calculations!$AC$5:$AC$51, 0), MATCH('Rotation Assembler'!O$21, Calculations!$AC$5:$AG$5, 0))</f>
        <v>0.69100000000000006</v>
      </c>
      <c r="P36" s="128">
        <f>INDEX(Calculations!$AC$5:$AG$51, MATCH('Rotation Assembler'!$A36, Calculations!$AC$5:$AC$51, 0), MATCH('Rotation Assembler'!P$21, Calculations!$AC$5:$AG$5, 0))</f>
        <v>0.69100000000000006</v>
      </c>
      <c r="Q36" s="128">
        <f>INDEX(Calculations!$AC$5:$AG$51, MATCH('Rotation Assembler'!$A36, Calculations!$AC$5:$AC$51, 0), MATCH('Rotation Assembler'!Q$21, Calculations!$AC$5:$AG$5, 0))</f>
        <v>0.69100000000000006</v>
      </c>
      <c r="R36" s="128">
        <f>INDEX(Calculations!$AC$5:$AG$51, MATCH('Rotation Assembler'!$A36, Calculations!$AC$5:$AC$51, 0), MATCH('Rotation Assembler'!R$21, Calculations!$AC$5:$AG$5, 0))</f>
        <v>0.69100000000000006</v>
      </c>
      <c r="S36" s="128">
        <f>INDEX(Calculations!$AC$5:$AG$51, MATCH('Rotation Assembler'!$A36, Calculations!$AC$5:$AC$51, 0), MATCH('Rotation Assembler'!S$21, Calculations!$AC$5:$AG$5, 0))</f>
        <v>0.69100000000000006</v>
      </c>
      <c r="T36" s="128">
        <f>INDEX(Calculations!$AC$5:$AG$51, MATCH('Rotation Assembler'!$A36, Calculations!$AC$5:$AC$51, 0), MATCH('Rotation Assembler'!T$21, Calculations!$AC$5:$AG$5, 0))</f>
        <v>0.69100000000000006</v>
      </c>
      <c r="U36" s="128">
        <f>INDEX(Calculations!$AC$5:$AG$51, MATCH('Rotation Assembler'!$A36, Calculations!$AC$5:$AC$51, 0), MATCH('Rotation Assembler'!U$21, Calculations!$AC$5:$AG$5, 0))</f>
        <v>0.69100000000000006</v>
      </c>
      <c r="V36" s="128">
        <f>INDEX(Calculations!$AC$5:$AG$51, MATCH('Rotation Assembler'!$A36, Calculations!$AC$5:$AC$51, 0), MATCH('Rotation Assembler'!V$21, Calculations!$AC$5:$AG$5, 0))</f>
        <v>0.69100000000000006</v>
      </c>
      <c r="W36" s="128">
        <f>INDEX(Calculations!$AC$5:$AG$51, MATCH('Rotation Assembler'!$A36, Calculations!$AC$5:$AC$51, 0), MATCH('Rotation Assembler'!W$21, Calculations!$AC$5:$AG$5, 0))</f>
        <v>0.69100000000000006</v>
      </c>
      <c r="X36" s="128">
        <f>INDEX(Calculations!$AC$5:$AG$51, MATCH('Rotation Assembler'!$A36, Calculations!$AC$5:$AC$51, 0), MATCH('Rotation Assembler'!X$21, Calculations!$AC$5:$AG$5, 0))</f>
        <v>0</v>
      </c>
      <c r="Y36" s="128">
        <f>INDEX(Calculations!$AC$5:$AG$51, MATCH('Rotation Assembler'!$A36, Calculations!$AC$5:$AC$51, 0), MATCH('Rotation Assembler'!Y$21, Calculations!$AC$5:$AG$5, 0))</f>
        <v>0</v>
      </c>
      <c r="Z36" s="128">
        <f>INDEX(Calculations!$AC$5:$AG$51, MATCH('Rotation Assembler'!$A36, Calculations!$AC$5:$AC$51, 0), MATCH('Rotation Assembler'!Z$21, Calculations!$AC$5:$AG$5, 0))</f>
        <v>0</v>
      </c>
      <c r="AA36" s="128">
        <f>INDEX(Calculations!$AC$5:$AG$51, MATCH('Rotation Assembler'!$A36, Calculations!$AC$5:$AC$51, 0), MATCH('Rotation Assembler'!AA$21, Calculations!$AC$5:$AG$5, 0))</f>
        <v>0</v>
      </c>
      <c r="AB36" s="128">
        <f>INDEX(Calculations!$AC$5:$AG$51, MATCH('Rotation Assembler'!$A36, Calculations!$AC$5:$AC$51, 0), MATCH('Rotation Assembler'!AB$21, Calculations!$AC$5:$AG$5, 0))</f>
        <v>0</v>
      </c>
      <c r="AC36" s="128">
        <f>INDEX(Calculations!$AC$5:$AG$51, MATCH('Rotation Assembler'!$A36, Calculations!$AC$5:$AC$51, 0), MATCH('Rotation Assembler'!AC$21, Calculations!$AC$5:$AG$5, 0))</f>
        <v>0</v>
      </c>
      <c r="AD36" s="128">
        <f>INDEX(Calculations!$AC$5:$AG$51, MATCH('Rotation Assembler'!$A36, Calculations!$AC$5:$AC$51, 0), MATCH('Rotation Assembler'!AD$21, Calculations!$AC$5:$AG$5, 0))</f>
        <v>0</v>
      </c>
      <c r="AE36" s="128">
        <f>INDEX(Calculations!$AC$5:$AG$51, MATCH('Rotation Assembler'!$A36, Calculations!$AC$5:$AC$51, 0), MATCH('Rotation Assembler'!AE$21, Calculations!$AC$5:$AG$5, 0))</f>
        <v>0</v>
      </c>
      <c r="AF36" s="128">
        <f>INDEX(Calculations!$AC$5:$AG$51, MATCH('Rotation Assembler'!$A36, Calculations!$AC$5:$AC$51, 0), MATCH('Rotation Assembler'!AF$21, Calculations!$AC$5:$AG$5, 0))</f>
        <v>0</v>
      </c>
      <c r="AG36" s="128">
        <f>INDEX(Calculations!$AC$5:$AG$51, MATCH('Rotation Assembler'!$A36, Calculations!$AC$5:$AC$51, 0), MATCH('Rotation Assembler'!AG$21, Calculations!$AC$5:$AG$5, 0))</f>
        <v>0.69100000000000006</v>
      </c>
      <c r="AH36" s="128">
        <f>INDEX(Calculations!$AC$5:$AG$51, MATCH('Rotation Assembler'!$A36, Calculations!$AC$5:$AC$51, 0), MATCH('Rotation Assembler'!AH$21, Calculations!$AC$5:$AG$5, 0))</f>
        <v>0.69100000000000006</v>
      </c>
      <c r="AI36" s="128">
        <f>INDEX(Calculations!$AC$5:$AG$51, MATCH('Rotation Assembler'!$A36, Calculations!$AC$5:$AC$51, 0), MATCH('Rotation Assembler'!AI$21, Calculations!$AC$5:$AG$5, 0))</f>
        <v>0.46600000000000003</v>
      </c>
      <c r="AJ36" s="128">
        <f>INDEX(Calculations!$AC$5:$AG$51, MATCH('Rotation Assembler'!$A36, Calculations!$AC$5:$AC$51, 0), MATCH('Rotation Assembler'!AJ$21, Calculations!$AC$5:$AG$5, 0))</f>
        <v>0.46600000000000003</v>
      </c>
      <c r="AK36" s="128"/>
      <c r="AL36" s="128"/>
      <c r="AM36" s="128"/>
      <c r="AN36" s="128"/>
      <c r="AO36" s="128"/>
      <c r="AP36" s="128"/>
      <c r="AQ36" s="128"/>
      <c r="AR36" s="128"/>
      <c r="AS36" s="128"/>
      <c r="AT36" s="128"/>
      <c r="AU36" s="128"/>
      <c r="AV36" s="128"/>
      <c r="AW36" s="128"/>
      <c r="AX36" s="128"/>
      <c r="AY36" s="128"/>
      <c r="AZ36" s="128"/>
      <c r="BA36" s="128"/>
      <c r="BB36" s="128"/>
      <c r="BC36" s="128"/>
      <c r="BD36" s="128"/>
      <c r="BE36" s="128"/>
      <c r="BF36" s="128"/>
      <c r="BG36" s="128"/>
      <c r="BH36" s="128"/>
      <c r="BI36" s="128"/>
      <c r="BJ36" s="128"/>
      <c r="BK36" s="128"/>
      <c r="BL36" s="128"/>
      <c r="BM36" s="128"/>
      <c r="BN36" s="128"/>
      <c r="BO36" s="128"/>
      <c r="BP36" s="128"/>
      <c r="BQ36" s="128"/>
      <c r="BR36" s="128"/>
      <c r="BS36" s="128"/>
      <c r="BT36" s="128"/>
    </row>
    <row r="37" spans="1:72" hidden="1" outlineLevel="1" x14ac:dyDescent="0.25">
      <c r="A37" s="124" t="s">
        <v>74</v>
      </c>
      <c r="B37" s="128">
        <f>INDEX(Calculations!$AC$5:$AG$51, MATCH('Rotation Assembler'!$A37, Calculations!$AC$5:$AC$51, 0), MATCH('Rotation Assembler'!B$21, Calculations!$AC$5:$AG$5, 0))</f>
        <v>0</v>
      </c>
      <c r="C37" s="128">
        <f>INDEX(Calculations!$AC$5:$AG$51, MATCH('Rotation Assembler'!$A37, Calculations!$AC$5:$AC$51, 0), MATCH('Rotation Assembler'!C$21, Calculations!$AC$5:$AG$5, 0))</f>
        <v>0</v>
      </c>
      <c r="D37" s="128">
        <f>INDEX(Calculations!$AC$5:$AG$51, MATCH('Rotation Assembler'!$A37, Calculations!$AC$5:$AC$51, 0), MATCH('Rotation Assembler'!D$21, Calculations!$AC$5:$AG$5, 0))</f>
        <v>0</v>
      </c>
      <c r="E37" s="128">
        <f>INDEX(Calculations!$AC$5:$AG$51, MATCH('Rotation Assembler'!$A37, Calculations!$AC$5:$AC$51, 0), MATCH('Rotation Assembler'!E$21, Calculations!$AC$5:$AG$5, 0))</f>
        <v>0</v>
      </c>
      <c r="F37" s="128">
        <f>INDEX(Calculations!$AC$5:$AG$51, MATCH('Rotation Assembler'!$A37, Calculations!$AC$5:$AC$51, 0), MATCH('Rotation Assembler'!F$21, Calculations!$AC$5:$AG$5, 0))</f>
        <v>0</v>
      </c>
      <c r="G37" s="128">
        <f>INDEX(Calculations!$AC$5:$AG$51, MATCH('Rotation Assembler'!$A37, Calculations!$AC$5:$AC$51, 0), MATCH('Rotation Assembler'!G$21, Calculations!$AC$5:$AG$5, 0))</f>
        <v>0</v>
      </c>
      <c r="H37" s="128">
        <f>INDEX(Calculations!$AC$5:$AG$51, MATCH('Rotation Assembler'!$A37, Calculations!$AC$5:$AC$51, 0), MATCH('Rotation Assembler'!H$21, Calculations!$AC$5:$AG$5, 0))</f>
        <v>0</v>
      </c>
      <c r="I37" s="128">
        <f>INDEX(Calculations!$AC$5:$AG$51, MATCH('Rotation Assembler'!$A37, Calculations!$AC$5:$AC$51, 0), MATCH('Rotation Assembler'!I$21, Calculations!$AC$5:$AG$5, 0))</f>
        <v>0</v>
      </c>
      <c r="J37" s="128">
        <f>INDEX(Calculations!$AC$5:$AG$51, MATCH('Rotation Assembler'!$A37, Calculations!$AC$5:$AC$51, 0), MATCH('Rotation Assembler'!J$21, Calculations!$AC$5:$AG$5, 0))</f>
        <v>0</v>
      </c>
      <c r="K37" s="128">
        <f>INDEX(Calculations!$AC$5:$AG$51, MATCH('Rotation Assembler'!$A37, Calculations!$AC$5:$AC$51, 0), MATCH('Rotation Assembler'!K$21, Calculations!$AC$5:$AG$5, 0))</f>
        <v>0</v>
      </c>
      <c r="L37" s="128">
        <f>INDEX(Calculations!$AC$5:$AG$51, MATCH('Rotation Assembler'!$A37, Calculations!$AC$5:$AC$51, 0), MATCH('Rotation Assembler'!L$21, Calculations!$AC$5:$AG$5, 0))</f>
        <v>0</v>
      </c>
      <c r="M37" s="128">
        <f>INDEX(Calculations!$AC$5:$AG$51, MATCH('Rotation Assembler'!$A37, Calculations!$AC$5:$AC$51, 0), MATCH('Rotation Assembler'!M$21, Calculations!$AC$5:$AG$5, 0))</f>
        <v>0</v>
      </c>
      <c r="N37" s="128">
        <f>INDEX(Calculations!$AC$5:$AG$51, MATCH('Rotation Assembler'!$A37, Calculations!$AC$5:$AC$51, 0), MATCH('Rotation Assembler'!N$21, Calculations!$AC$5:$AG$5, 0))</f>
        <v>0</v>
      </c>
      <c r="O37" s="128">
        <f>INDEX(Calculations!$AC$5:$AG$51, MATCH('Rotation Assembler'!$A37, Calculations!$AC$5:$AC$51, 0), MATCH('Rotation Assembler'!O$21, Calculations!$AC$5:$AG$5, 0))</f>
        <v>0</v>
      </c>
      <c r="P37" s="128">
        <f>INDEX(Calculations!$AC$5:$AG$51, MATCH('Rotation Assembler'!$A37, Calculations!$AC$5:$AC$51, 0), MATCH('Rotation Assembler'!P$21, Calculations!$AC$5:$AG$5, 0))</f>
        <v>0</v>
      </c>
      <c r="Q37" s="128">
        <f>INDEX(Calculations!$AC$5:$AG$51, MATCH('Rotation Assembler'!$A37, Calculations!$AC$5:$AC$51, 0), MATCH('Rotation Assembler'!Q$21, Calculations!$AC$5:$AG$5, 0))</f>
        <v>0</v>
      </c>
      <c r="R37" s="128">
        <f>INDEX(Calculations!$AC$5:$AG$51, MATCH('Rotation Assembler'!$A37, Calculations!$AC$5:$AC$51, 0), MATCH('Rotation Assembler'!R$21, Calculations!$AC$5:$AG$5, 0))</f>
        <v>0</v>
      </c>
      <c r="S37" s="128">
        <f>INDEX(Calculations!$AC$5:$AG$51, MATCH('Rotation Assembler'!$A37, Calculations!$AC$5:$AC$51, 0), MATCH('Rotation Assembler'!S$21, Calculations!$AC$5:$AG$5, 0))</f>
        <v>0</v>
      </c>
      <c r="T37" s="128">
        <f>INDEX(Calculations!$AC$5:$AG$51, MATCH('Rotation Assembler'!$A37, Calculations!$AC$5:$AC$51, 0), MATCH('Rotation Assembler'!T$21, Calculations!$AC$5:$AG$5, 0))</f>
        <v>0</v>
      </c>
      <c r="U37" s="128">
        <f>INDEX(Calculations!$AC$5:$AG$51, MATCH('Rotation Assembler'!$A37, Calculations!$AC$5:$AC$51, 0), MATCH('Rotation Assembler'!U$21, Calculations!$AC$5:$AG$5, 0))</f>
        <v>0</v>
      </c>
      <c r="V37" s="128">
        <f>INDEX(Calculations!$AC$5:$AG$51, MATCH('Rotation Assembler'!$A37, Calculations!$AC$5:$AC$51, 0), MATCH('Rotation Assembler'!V$21, Calculations!$AC$5:$AG$5, 0))</f>
        <v>0</v>
      </c>
      <c r="W37" s="128">
        <f>INDEX(Calculations!$AC$5:$AG$51, MATCH('Rotation Assembler'!$A37, Calculations!$AC$5:$AC$51, 0), MATCH('Rotation Assembler'!W$21, Calculations!$AC$5:$AG$5, 0))</f>
        <v>0</v>
      </c>
      <c r="X37" s="128">
        <f>INDEX(Calculations!$AC$5:$AG$51, MATCH('Rotation Assembler'!$A37, Calculations!$AC$5:$AC$51, 0), MATCH('Rotation Assembler'!X$21, Calculations!$AC$5:$AG$5, 0))</f>
        <v>0</v>
      </c>
      <c r="Y37" s="128">
        <f>INDEX(Calculations!$AC$5:$AG$51, MATCH('Rotation Assembler'!$A37, Calculations!$AC$5:$AC$51, 0), MATCH('Rotation Assembler'!Y$21, Calculations!$AC$5:$AG$5, 0))</f>
        <v>0</v>
      </c>
      <c r="Z37" s="128">
        <f>INDEX(Calculations!$AC$5:$AG$51, MATCH('Rotation Assembler'!$A37, Calculations!$AC$5:$AC$51, 0), MATCH('Rotation Assembler'!Z$21, Calculations!$AC$5:$AG$5, 0))</f>
        <v>0</v>
      </c>
      <c r="AA37" s="128">
        <f>INDEX(Calculations!$AC$5:$AG$51, MATCH('Rotation Assembler'!$A37, Calculations!$AC$5:$AC$51, 0), MATCH('Rotation Assembler'!AA$21, Calculations!$AC$5:$AG$5, 0))</f>
        <v>0</v>
      </c>
      <c r="AB37" s="128">
        <f>INDEX(Calculations!$AC$5:$AG$51, MATCH('Rotation Assembler'!$A37, Calculations!$AC$5:$AC$51, 0), MATCH('Rotation Assembler'!AB$21, Calculations!$AC$5:$AG$5, 0))</f>
        <v>0</v>
      </c>
      <c r="AC37" s="128">
        <f>INDEX(Calculations!$AC$5:$AG$51, MATCH('Rotation Assembler'!$A37, Calculations!$AC$5:$AC$51, 0), MATCH('Rotation Assembler'!AC$21, Calculations!$AC$5:$AG$5, 0))</f>
        <v>0</v>
      </c>
      <c r="AD37" s="128">
        <f>INDEX(Calculations!$AC$5:$AG$51, MATCH('Rotation Assembler'!$A37, Calculations!$AC$5:$AC$51, 0), MATCH('Rotation Assembler'!AD$21, Calculations!$AC$5:$AG$5, 0))</f>
        <v>0</v>
      </c>
      <c r="AE37" s="128">
        <f>INDEX(Calculations!$AC$5:$AG$51, MATCH('Rotation Assembler'!$A37, Calculations!$AC$5:$AC$51, 0), MATCH('Rotation Assembler'!AE$21, Calculations!$AC$5:$AG$5, 0))</f>
        <v>0</v>
      </c>
      <c r="AF37" s="128">
        <f>INDEX(Calculations!$AC$5:$AG$51, MATCH('Rotation Assembler'!$A37, Calculations!$AC$5:$AC$51, 0), MATCH('Rotation Assembler'!AF$21, Calculations!$AC$5:$AG$5, 0))</f>
        <v>0</v>
      </c>
      <c r="AG37" s="128">
        <f>INDEX(Calculations!$AC$5:$AG$51, MATCH('Rotation Assembler'!$A37, Calculations!$AC$5:$AC$51, 0), MATCH('Rotation Assembler'!AG$21, Calculations!$AC$5:$AG$5, 0))</f>
        <v>0</v>
      </c>
      <c r="AH37" s="128">
        <f>INDEX(Calculations!$AC$5:$AG$51, MATCH('Rotation Assembler'!$A37, Calculations!$AC$5:$AC$51, 0), MATCH('Rotation Assembler'!AH$21, Calculations!$AC$5:$AG$5, 0))</f>
        <v>0</v>
      </c>
      <c r="AI37" s="128">
        <f>INDEX(Calculations!$AC$5:$AG$51, MATCH('Rotation Assembler'!$A37, Calculations!$AC$5:$AC$51, 0), MATCH('Rotation Assembler'!AI$21, Calculations!$AC$5:$AG$5, 0))</f>
        <v>0</v>
      </c>
      <c r="AJ37" s="128">
        <f>INDEX(Calculations!$AC$5:$AG$51, MATCH('Rotation Assembler'!$A37, Calculations!$AC$5:$AC$51, 0), MATCH('Rotation Assembler'!AJ$21, Calculations!$AC$5:$AG$5, 0))</f>
        <v>0</v>
      </c>
      <c r="AK37" s="128"/>
      <c r="AL37" s="128"/>
      <c r="AM37" s="128"/>
      <c r="AN37" s="128"/>
      <c r="AO37" s="128"/>
      <c r="AP37" s="128"/>
      <c r="AQ37" s="128"/>
      <c r="AR37" s="128"/>
      <c r="AS37" s="128"/>
      <c r="AT37" s="128"/>
      <c r="AU37" s="128"/>
      <c r="AV37" s="128"/>
      <c r="AW37" s="128"/>
      <c r="AX37" s="128"/>
      <c r="AY37" s="128"/>
      <c r="AZ37" s="128"/>
      <c r="BA37" s="128"/>
      <c r="BB37" s="128"/>
      <c r="BC37" s="128"/>
      <c r="BD37" s="128"/>
      <c r="BE37" s="128"/>
      <c r="BF37" s="128"/>
      <c r="BG37" s="128"/>
      <c r="BH37" s="128"/>
      <c r="BI37" s="128"/>
      <c r="BJ37" s="128"/>
      <c r="BK37" s="128"/>
      <c r="BL37" s="128"/>
      <c r="BM37" s="128"/>
      <c r="BN37" s="128"/>
      <c r="BO37" s="128"/>
      <c r="BP37" s="128"/>
      <c r="BQ37" s="128"/>
      <c r="BR37" s="128"/>
      <c r="BS37" s="128"/>
      <c r="BT37" s="128"/>
    </row>
    <row r="38" spans="1:72" hidden="1" outlineLevel="1" x14ac:dyDescent="0.25">
      <c r="A38" s="124" t="s">
        <v>75</v>
      </c>
      <c r="B38" s="128">
        <f>INDEX(Calculations!$AC$5:$AG$51, MATCH('Rotation Assembler'!$A38, Calculations!$AC$5:$AC$51, 0), MATCH('Rotation Assembler'!B$21, Calculations!$AC$5:$AG$5, 0))</f>
        <v>0</v>
      </c>
      <c r="C38" s="128">
        <f>INDEX(Calculations!$AC$5:$AG$51, MATCH('Rotation Assembler'!$A38, Calculations!$AC$5:$AC$51, 0), MATCH('Rotation Assembler'!C$21, Calculations!$AC$5:$AG$5, 0))</f>
        <v>0</v>
      </c>
      <c r="D38" s="128">
        <f>INDEX(Calculations!$AC$5:$AG$51, MATCH('Rotation Assembler'!$A38, Calculations!$AC$5:$AC$51, 0), MATCH('Rotation Assembler'!D$21, Calculations!$AC$5:$AG$5, 0))</f>
        <v>0</v>
      </c>
      <c r="E38" s="128">
        <f>INDEX(Calculations!$AC$5:$AG$51, MATCH('Rotation Assembler'!$A38, Calculations!$AC$5:$AC$51, 0), MATCH('Rotation Assembler'!E$21, Calculations!$AC$5:$AG$5, 0))</f>
        <v>0</v>
      </c>
      <c r="F38" s="128">
        <f>INDEX(Calculations!$AC$5:$AG$51, MATCH('Rotation Assembler'!$A38, Calculations!$AC$5:$AC$51, 0), MATCH('Rotation Assembler'!F$21, Calculations!$AC$5:$AG$5, 0))</f>
        <v>0.66600000000000004</v>
      </c>
      <c r="G38" s="128">
        <f>INDEX(Calculations!$AC$5:$AG$51, MATCH('Rotation Assembler'!$A38, Calculations!$AC$5:$AC$51, 0), MATCH('Rotation Assembler'!G$21, Calculations!$AC$5:$AG$5, 0))</f>
        <v>0.66600000000000004</v>
      </c>
      <c r="H38" s="128">
        <f>INDEX(Calculations!$AC$5:$AG$51, MATCH('Rotation Assembler'!$A38, Calculations!$AC$5:$AC$51, 0), MATCH('Rotation Assembler'!H$21, Calculations!$AC$5:$AG$5, 0))</f>
        <v>0.66600000000000004</v>
      </c>
      <c r="I38" s="128">
        <f>INDEX(Calculations!$AC$5:$AG$51, MATCH('Rotation Assembler'!$A38, Calculations!$AC$5:$AC$51, 0), MATCH('Rotation Assembler'!I$21, Calculations!$AC$5:$AG$5, 0))</f>
        <v>0.66600000000000004</v>
      </c>
      <c r="J38" s="128">
        <f>INDEX(Calculations!$AC$5:$AG$51, MATCH('Rotation Assembler'!$A38, Calculations!$AC$5:$AC$51, 0), MATCH('Rotation Assembler'!J$21, Calculations!$AC$5:$AG$5, 0))</f>
        <v>0</v>
      </c>
      <c r="K38" s="128">
        <f>INDEX(Calculations!$AC$5:$AG$51, MATCH('Rotation Assembler'!$A38, Calculations!$AC$5:$AC$51, 0), MATCH('Rotation Assembler'!K$21, Calculations!$AC$5:$AG$5, 0))</f>
        <v>0</v>
      </c>
      <c r="L38" s="128">
        <f>INDEX(Calculations!$AC$5:$AG$51, MATCH('Rotation Assembler'!$A38, Calculations!$AC$5:$AC$51, 0), MATCH('Rotation Assembler'!L$21, Calculations!$AC$5:$AG$5, 0))</f>
        <v>0</v>
      </c>
      <c r="M38" s="128">
        <f>INDEX(Calculations!$AC$5:$AG$51, MATCH('Rotation Assembler'!$A38, Calculations!$AC$5:$AC$51, 0), MATCH('Rotation Assembler'!M$21, Calculations!$AC$5:$AG$5, 0))</f>
        <v>0</v>
      </c>
      <c r="N38" s="128">
        <f>INDEX(Calculations!$AC$5:$AG$51, MATCH('Rotation Assembler'!$A38, Calculations!$AC$5:$AC$51, 0), MATCH('Rotation Assembler'!N$21, Calculations!$AC$5:$AG$5, 0))</f>
        <v>0</v>
      </c>
      <c r="O38" s="128">
        <f>INDEX(Calculations!$AC$5:$AG$51, MATCH('Rotation Assembler'!$A38, Calculations!$AC$5:$AC$51, 0), MATCH('Rotation Assembler'!O$21, Calculations!$AC$5:$AG$5, 0))</f>
        <v>0</v>
      </c>
      <c r="P38" s="128">
        <f>INDEX(Calculations!$AC$5:$AG$51, MATCH('Rotation Assembler'!$A38, Calculations!$AC$5:$AC$51, 0), MATCH('Rotation Assembler'!P$21, Calculations!$AC$5:$AG$5, 0))</f>
        <v>0</v>
      </c>
      <c r="Q38" s="128">
        <f>INDEX(Calculations!$AC$5:$AG$51, MATCH('Rotation Assembler'!$A38, Calculations!$AC$5:$AC$51, 0), MATCH('Rotation Assembler'!Q$21, Calculations!$AC$5:$AG$5, 0))</f>
        <v>0</v>
      </c>
      <c r="R38" s="128">
        <f>INDEX(Calculations!$AC$5:$AG$51, MATCH('Rotation Assembler'!$A38, Calculations!$AC$5:$AC$51, 0), MATCH('Rotation Assembler'!R$21, Calculations!$AC$5:$AG$5, 0))</f>
        <v>0</v>
      </c>
      <c r="S38" s="128">
        <f>INDEX(Calculations!$AC$5:$AG$51, MATCH('Rotation Assembler'!$A38, Calculations!$AC$5:$AC$51, 0), MATCH('Rotation Assembler'!S$21, Calculations!$AC$5:$AG$5, 0))</f>
        <v>0</v>
      </c>
      <c r="T38" s="128">
        <f>INDEX(Calculations!$AC$5:$AG$51, MATCH('Rotation Assembler'!$A38, Calculations!$AC$5:$AC$51, 0), MATCH('Rotation Assembler'!T$21, Calculations!$AC$5:$AG$5, 0))</f>
        <v>0</v>
      </c>
      <c r="U38" s="128">
        <f>INDEX(Calculations!$AC$5:$AG$51, MATCH('Rotation Assembler'!$A38, Calculations!$AC$5:$AC$51, 0), MATCH('Rotation Assembler'!U$21, Calculations!$AC$5:$AG$5, 0))</f>
        <v>0</v>
      </c>
      <c r="V38" s="128">
        <f>INDEX(Calculations!$AC$5:$AG$51, MATCH('Rotation Assembler'!$A38, Calculations!$AC$5:$AC$51, 0), MATCH('Rotation Assembler'!V$21, Calculations!$AC$5:$AG$5, 0))</f>
        <v>0</v>
      </c>
      <c r="W38" s="128">
        <f>INDEX(Calculations!$AC$5:$AG$51, MATCH('Rotation Assembler'!$A38, Calculations!$AC$5:$AC$51, 0), MATCH('Rotation Assembler'!W$21, Calculations!$AC$5:$AG$5, 0))</f>
        <v>0</v>
      </c>
      <c r="X38" s="128">
        <f>INDEX(Calculations!$AC$5:$AG$51, MATCH('Rotation Assembler'!$A38, Calculations!$AC$5:$AC$51, 0), MATCH('Rotation Assembler'!X$21, Calculations!$AC$5:$AG$5, 0))</f>
        <v>0</v>
      </c>
      <c r="Y38" s="128">
        <f>INDEX(Calculations!$AC$5:$AG$51, MATCH('Rotation Assembler'!$A38, Calculations!$AC$5:$AC$51, 0), MATCH('Rotation Assembler'!Y$21, Calculations!$AC$5:$AG$5, 0))</f>
        <v>0</v>
      </c>
      <c r="Z38" s="128">
        <f>INDEX(Calculations!$AC$5:$AG$51, MATCH('Rotation Assembler'!$A38, Calculations!$AC$5:$AC$51, 0), MATCH('Rotation Assembler'!Z$21, Calculations!$AC$5:$AG$5, 0))</f>
        <v>0</v>
      </c>
      <c r="AA38" s="128">
        <f>INDEX(Calculations!$AC$5:$AG$51, MATCH('Rotation Assembler'!$A38, Calculations!$AC$5:$AC$51, 0), MATCH('Rotation Assembler'!AA$21, Calculations!$AC$5:$AG$5, 0))</f>
        <v>0</v>
      </c>
      <c r="AB38" s="128">
        <f>INDEX(Calculations!$AC$5:$AG$51, MATCH('Rotation Assembler'!$A38, Calculations!$AC$5:$AC$51, 0), MATCH('Rotation Assembler'!AB$21, Calculations!$AC$5:$AG$5, 0))</f>
        <v>0</v>
      </c>
      <c r="AC38" s="128">
        <f>INDEX(Calculations!$AC$5:$AG$51, MATCH('Rotation Assembler'!$A38, Calculations!$AC$5:$AC$51, 0), MATCH('Rotation Assembler'!AC$21, Calculations!$AC$5:$AG$5, 0))</f>
        <v>0</v>
      </c>
      <c r="AD38" s="128">
        <f>INDEX(Calculations!$AC$5:$AG$51, MATCH('Rotation Assembler'!$A38, Calculations!$AC$5:$AC$51, 0), MATCH('Rotation Assembler'!AD$21, Calculations!$AC$5:$AG$5, 0))</f>
        <v>0</v>
      </c>
      <c r="AE38" s="128">
        <f>INDEX(Calculations!$AC$5:$AG$51, MATCH('Rotation Assembler'!$A38, Calculations!$AC$5:$AC$51, 0), MATCH('Rotation Assembler'!AE$21, Calculations!$AC$5:$AG$5, 0))</f>
        <v>0</v>
      </c>
      <c r="AF38" s="128">
        <f>INDEX(Calculations!$AC$5:$AG$51, MATCH('Rotation Assembler'!$A38, Calculations!$AC$5:$AC$51, 0), MATCH('Rotation Assembler'!AF$21, Calculations!$AC$5:$AG$5, 0))</f>
        <v>0</v>
      </c>
      <c r="AG38" s="128">
        <f>INDEX(Calculations!$AC$5:$AG$51, MATCH('Rotation Assembler'!$A38, Calculations!$AC$5:$AC$51, 0), MATCH('Rotation Assembler'!AG$21, Calculations!$AC$5:$AG$5, 0))</f>
        <v>0</v>
      </c>
      <c r="AH38" s="128">
        <f>INDEX(Calculations!$AC$5:$AG$51, MATCH('Rotation Assembler'!$A38, Calculations!$AC$5:$AC$51, 0), MATCH('Rotation Assembler'!AH$21, Calculations!$AC$5:$AG$5, 0))</f>
        <v>0</v>
      </c>
      <c r="AI38" s="128">
        <f>INDEX(Calculations!$AC$5:$AG$51, MATCH('Rotation Assembler'!$A38, Calculations!$AC$5:$AC$51, 0), MATCH('Rotation Assembler'!AI$21, Calculations!$AC$5:$AG$5, 0))</f>
        <v>0</v>
      </c>
      <c r="AJ38" s="128">
        <f>INDEX(Calculations!$AC$5:$AG$51, MATCH('Rotation Assembler'!$A38, Calculations!$AC$5:$AC$51, 0), MATCH('Rotation Assembler'!AJ$21, Calculations!$AC$5:$AG$5, 0))</f>
        <v>0</v>
      </c>
      <c r="AK38" s="128"/>
      <c r="AL38" s="128"/>
      <c r="AM38" s="128"/>
      <c r="AN38" s="128"/>
      <c r="AO38" s="128"/>
      <c r="AP38" s="128"/>
      <c r="AQ38" s="128"/>
      <c r="AR38" s="128"/>
      <c r="AS38" s="128"/>
      <c r="AT38" s="128"/>
      <c r="AU38" s="128"/>
      <c r="AV38" s="128"/>
      <c r="AW38" s="128"/>
      <c r="AX38" s="128"/>
      <c r="AY38" s="128"/>
      <c r="AZ38" s="128"/>
      <c r="BA38" s="128"/>
      <c r="BB38" s="128"/>
      <c r="BC38" s="128"/>
      <c r="BD38" s="128"/>
      <c r="BE38" s="128"/>
      <c r="BF38" s="128"/>
      <c r="BG38" s="128"/>
      <c r="BH38" s="128"/>
      <c r="BI38" s="128"/>
      <c r="BJ38" s="128"/>
      <c r="BK38" s="128"/>
      <c r="BL38" s="128"/>
      <c r="BM38" s="128"/>
      <c r="BN38" s="128"/>
      <c r="BO38" s="128"/>
      <c r="BP38" s="128"/>
      <c r="BQ38" s="128"/>
      <c r="BR38" s="128"/>
      <c r="BS38" s="128"/>
      <c r="BT38" s="128"/>
    </row>
    <row r="39" spans="1:72" hidden="1" outlineLevel="1" x14ac:dyDescent="0.25">
      <c r="A39" s="124" t="s">
        <v>76</v>
      </c>
      <c r="B39" s="128">
        <f ca="1">INDEX(Calculations!$AC$5:$AG$51, MATCH('Rotation Assembler'!$A39, Calculations!$AC$5:$AC$51, 0), MATCH('Rotation Assembler'!B$21, Calculations!$AC$5:$AG$5, 0))</f>
        <v>0.90168000000000004</v>
      </c>
      <c r="C39" s="128">
        <f ca="1">INDEX(Calculations!$AC$5:$AG$51, MATCH('Rotation Assembler'!$A39, Calculations!$AC$5:$AC$51, 0), MATCH('Rotation Assembler'!C$21, Calculations!$AC$5:$AG$5, 0))</f>
        <v>0.90168000000000004</v>
      </c>
      <c r="D39" s="128">
        <f ca="1">INDEX(Calculations!$AC$5:$AG$51, MATCH('Rotation Assembler'!$A39, Calculations!$AC$5:$AC$51, 0), MATCH('Rotation Assembler'!D$21, Calculations!$AC$5:$AG$5, 0))</f>
        <v>0.90168000000000004</v>
      </c>
      <c r="E39" s="128">
        <f ca="1">INDEX(Calculations!$AC$5:$AG$51, MATCH('Rotation Assembler'!$A39, Calculations!$AC$5:$AC$51, 0), MATCH('Rotation Assembler'!E$21, Calculations!$AC$5:$AG$5, 0))</f>
        <v>0.90168000000000004</v>
      </c>
      <c r="F39" s="128">
        <f>INDEX(Calculations!$AC$5:$AG$51, MATCH('Rotation Assembler'!$A39, Calculations!$AC$5:$AC$51, 0), MATCH('Rotation Assembler'!F$21, Calculations!$AC$5:$AG$5, 0))</f>
        <v>0</v>
      </c>
      <c r="G39" s="128">
        <f>INDEX(Calculations!$AC$5:$AG$51, MATCH('Rotation Assembler'!$A39, Calculations!$AC$5:$AC$51, 0), MATCH('Rotation Assembler'!G$21, Calculations!$AC$5:$AG$5, 0))</f>
        <v>0</v>
      </c>
      <c r="H39" s="128">
        <f>INDEX(Calculations!$AC$5:$AG$51, MATCH('Rotation Assembler'!$A39, Calculations!$AC$5:$AC$51, 0), MATCH('Rotation Assembler'!H$21, Calculations!$AC$5:$AG$5, 0))</f>
        <v>0</v>
      </c>
      <c r="I39" s="128">
        <f>INDEX(Calculations!$AC$5:$AG$51, MATCH('Rotation Assembler'!$A39, Calculations!$AC$5:$AC$51, 0), MATCH('Rotation Assembler'!I$21, Calculations!$AC$5:$AG$5, 0))</f>
        <v>0</v>
      </c>
      <c r="J39" s="128">
        <f>INDEX(Calculations!$AC$5:$AG$51, MATCH('Rotation Assembler'!$A39, Calculations!$AC$5:$AC$51, 0), MATCH('Rotation Assembler'!J$21, Calculations!$AC$5:$AG$5, 0))</f>
        <v>0</v>
      </c>
      <c r="K39" s="128">
        <f>INDEX(Calculations!$AC$5:$AG$51, MATCH('Rotation Assembler'!$A39, Calculations!$AC$5:$AC$51, 0), MATCH('Rotation Assembler'!K$21, Calculations!$AC$5:$AG$5, 0))</f>
        <v>0</v>
      </c>
      <c r="L39" s="128">
        <f>INDEX(Calculations!$AC$5:$AG$51, MATCH('Rotation Assembler'!$A39, Calculations!$AC$5:$AC$51, 0), MATCH('Rotation Assembler'!L$21, Calculations!$AC$5:$AG$5, 0))</f>
        <v>0</v>
      </c>
      <c r="M39" s="128">
        <f>INDEX(Calculations!$AC$5:$AG$51, MATCH('Rotation Assembler'!$A39, Calculations!$AC$5:$AC$51, 0), MATCH('Rotation Assembler'!M$21, Calculations!$AC$5:$AG$5, 0))</f>
        <v>0</v>
      </c>
      <c r="N39" s="128">
        <f>INDEX(Calculations!$AC$5:$AG$51, MATCH('Rotation Assembler'!$A39, Calculations!$AC$5:$AC$51, 0), MATCH('Rotation Assembler'!N$21, Calculations!$AC$5:$AG$5, 0))</f>
        <v>0</v>
      </c>
      <c r="O39" s="128">
        <f>INDEX(Calculations!$AC$5:$AG$51, MATCH('Rotation Assembler'!$A39, Calculations!$AC$5:$AC$51, 0), MATCH('Rotation Assembler'!O$21, Calculations!$AC$5:$AG$5, 0))</f>
        <v>0</v>
      </c>
      <c r="P39" s="128">
        <f>INDEX(Calculations!$AC$5:$AG$51, MATCH('Rotation Assembler'!$A39, Calculations!$AC$5:$AC$51, 0), MATCH('Rotation Assembler'!P$21, Calculations!$AC$5:$AG$5, 0))</f>
        <v>0</v>
      </c>
      <c r="Q39" s="128">
        <f>INDEX(Calculations!$AC$5:$AG$51, MATCH('Rotation Assembler'!$A39, Calculations!$AC$5:$AC$51, 0), MATCH('Rotation Assembler'!Q$21, Calculations!$AC$5:$AG$5, 0))</f>
        <v>0</v>
      </c>
      <c r="R39" s="128">
        <f>INDEX(Calculations!$AC$5:$AG$51, MATCH('Rotation Assembler'!$A39, Calculations!$AC$5:$AC$51, 0), MATCH('Rotation Assembler'!R$21, Calculations!$AC$5:$AG$5, 0))</f>
        <v>0</v>
      </c>
      <c r="S39" s="128">
        <f>INDEX(Calculations!$AC$5:$AG$51, MATCH('Rotation Assembler'!$A39, Calculations!$AC$5:$AC$51, 0), MATCH('Rotation Assembler'!S$21, Calculations!$AC$5:$AG$5, 0))</f>
        <v>0</v>
      </c>
      <c r="T39" s="128">
        <f>INDEX(Calculations!$AC$5:$AG$51, MATCH('Rotation Assembler'!$A39, Calculations!$AC$5:$AC$51, 0), MATCH('Rotation Assembler'!T$21, Calculations!$AC$5:$AG$5, 0))</f>
        <v>0</v>
      </c>
      <c r="U39" s="128">
        <f>INDEX(Calculations!$AC$5:$AG$51, MATCH('Rotation Assembler'!$A39, Calculations!$AC$5:$AC$51, 0), MATCH('Rotation Assembler'!U$21, Calculations!$AC$5:$AG$5, 0))</f>
        <v>0</v>
      </c>
      <c r="V39" s="128">
        <f>INDEX(Calculations!$AC$5:$AG$51, MATCH('Rotation Assembler'!$A39, Calculations!$AC$5:$AC$51, 0), MATCH('Rotation Assembler'!V$21, Calculations!$AC$5:$AG$5, 0))</f>
        <v>0</v>
      </c>
      <c r="W39" s="128">
        <f>INDEX(Calculations!$AC$5:$AG$51, MATCH('Rotation Assembler'!$A39, Calculations!$AC$5:$AC$51, 0), MATCH('Rotation Assembler'!W$21, Calculations!$AC$5:$AG$5, 0))</f>
        <v>0</v>
      </c>
      <c r="X39" s="128">
        <f ca="1">INDEX(Calculations!$AC$5:$AG$51, MATCH('Rotation Assembler'!$A39, Calculations!$AC$5:$AC$51, 0), MATCH('Rotation Assembler'!X$21, Calculations!$AC$5:$AG$5, 0))</f>
        <v>0.90168000000000004</v>
      </c>
      <c r="Y39" s="128">
        <f ca="1">INDEX(Calculations!$AC$5:$AG$51, MATCH('Rotation Assembler'!$A39, Calculations!$AC$5:$AC$51, 0), MATCH('Rotation Assembler'!Y$21, Calculations!$AC$5:$AG$5, 0))</f>
        <v>0.90168000000000004</v>
      </c>
      <c r="Z39" s="128">
        <f ca="1">INDEX(Calculations!$AC$5:$AG$51, MATCH('Rotation Assembler'!$A39, Calculations!$AC$5:$AC$51, 0), MATCH('Rotation Assembler'!Z$21, Calculations!$AC$5:$AG$5, 0))</f>
        <v>0.90168000000000004</v>
      </c>
      <c r="AA39" s="128">
        <f ca="1">INDEX(Calculations!$AC$5:$AG$51, MATCH('Rotation Assembler'!$A39, Calculations!$AC$5:$AC$51, 0), MATCH('Rotation Assembler'!AA$21, Calculations!$AC$5:$AG$5, 0))</f>
        <v>0.90168000000000004</v>
      </c>
      <c r="AB39" s="128">
        <f ca="1">INDEX(Calculations!$AC$5:$AG$51, MATCH('Rotation Assembler'!$A39, Calculations!$AC$5:$AC$51, 0), MATCH('Rotation Assembler'!AB$21, Calculations!$AC$5:$AG$5, 0))</f>
        <v>0.90168000000000004</v>
      </c>
      <c r="AC39" s="128">
        <f ca="1">INDEX(Calculations!$AC$5:$AG$51, MATCH('Rotation Assembler'!$A39, Calculations!$AC$5:$AC$51, 0), MATCH('Rotation Assembler'!AC$21, Calculations!$AC$5:$AG$5, 0))</f>
        <v>0.90168000000000004</v>
      </c>
      <c r="AD39" s="128">
        <f ca="1">INDEX(Calculations!$AC$5:$AG$51, MATCH('Rotation Assembler'!$A39, Calculations!$AC$5:$AC$51, 0), MATCH('Rotation Assembler'!AD$21, Calculations!$AC$5:$AG$5, 0))</f>
        <v>0.90168000000000004</v>
      </c>
      <c r="AE39" s="128">
        <f ca="1">INDEX(Calculations!$AC$5:$AG$51, MATCH('Rotation Assembler'!$A39, Calculations!$AC$5:$AC$51, 0), MATCH('Rotation Assembler'!AE$21, Calculations!$AC$5:$AG$5, 0))</f>
        <v>0.90168000000000004</v>
      </c>
      <c r="AF39" s="128">
        <f ca="1">INDEX(Calculations!$AC$5:$AG$51, MATCH('Rotation Assembler'!$A39, Calculations!$AC$5:$AC$51, 0), MATCH('Rotation Assembler'!AF$21, Calculations!$AC$5:$AG$5, 0))</f>
        <v>0.90168000000000004</v>
      </c>
      <c r="AG39" s="128">
        <f>INDEX(Calculations!$AC$5:$AG$51, MATCH('Rotation Assembler'!$A39, Calculations!$AC$5:$AC$51, 0), MATCH('Rotation Assembler'!AG$21, Calculations!$AC$5:$AG$5, 0))</f>
        <v>0</v>
      </c>
      <c r="AH39" s="128">
        <f>INDEX(Calculations!$AC$5:$AG$51, MATCH('Rotation Assembler'!$A39, Calculations!$AC$5:$AC$51, 0), MATCH('Rotation Assembler'!AH$21, Calculations!$AC$5:$AG$5, 0))</f>
        <v>0</v>
      </c>
      <c r="AI39" s="128">
        <f>INDEX(Calculations!$AC$5:$AG$51, MATCH('Rotation Assembler'!$A39, Calculations!$AC$5:$AC$51, 0), MATCH('Rotation Assembler'!AI$21, Calculations!$AC$5:$AG$5, 0))</f>
        <v>0</v>
      </c>
      <c r="AJ39" s="128">
        <f>INDEX(Calculations!$AC$5:$AG$51, MATCH('Rotation Assembler'!$A39, Calculations!$AC$5:$AC$51, 0), MATCH('Rotation Assembler'!AJ$21, Calculations!$AC$5:$AG$5, 0))</f>
        <v>0</v>
      </c>
      <c r="AK39" s="128"/>
      <c r="AL39" s="128"/>
      <c r="AM39" s="128"/>
      <c r="AN39" s="128"/>
      <c r="AO39" s="128"/>
      <c r="AP39" s="128"/>
      <c r="AQ39" s="128"/>
      <c r="AR39" s="128"/>
      <c r="AS39" s="128"/>
      <c r="AT39" s="128"/>
      <c r="AU39" s="128"/>
      <c r="AV39" s="128"/>
      <c r="AW39" s="128"/>
      <c r="AX39" s="128"/>
      <c r="AY39" s="128"/>
      <c r="AZ39" s="128"/>
      <c r="BA39" s="128"/>
      <c r="BB39" s="128"/>
      <c r="BC39" s="128"/>
      <c r="BD39" s="128"/>
      <c r="BE39" s="128"/>
      <c r="BF39" s="128"/>
      <c r="BG39" s="128"/>
      <c r="BH39" s="128"/>
      <c r="BI39" s="128"/>
      <c r="BJ39" s="128"/>
      <c r="BK39" s="128"/>
      <c r="BL39" s="128"/>
      <c r="BM39" s="128"/>
      <c r="BN39" s="128"/>
      <c r="BO39" s="128"/>
      <c r="BP39" s="128"/>
      <c r="BQ39" s="128"/>
      <c r="BR39" s="128"/>
      <c r="BS39" s="128"/>
      <c r="BT39" s="128"/>
    </row>
    <row r="40" spans="1:72" hidden="1" outlineLevel="1" x14ac:dyDescent="0.25">
      <c r="A40" s="124" t="s">
        <v>77</v>
      </c>
      <c r="B40" s="128">
        <f>INDEX(Calculations!$AC$5:$AG$51, MATCH('Rotation Assembler'!$A40, Calculations!$AC$5:$AC$51, 0), MATCH('Rotation Assembler'!B$21, Calculations!$AC$5:$AG$5, 0))</f>
        <v>0</v>
      </c>
      <c r="C40" s="128">
        <f>INDEX(Calculations!$AC$5:$AG$51, MATCH('Rotation Assembler'!$A40, Calculations!$AC$5:$AC$51, 0), MATCH('Rotation Assembler'!C$21, Calculations!$AC$5:$AG$5, 0))</f>
        <v>0</v>
      </c>
      <c r="D40" s="128">
        <f>INDEX(Calculations!$AC$5:$AG$51, MATCH('Rotation Assembler'!$A40, Calculations!$AC$5:$AC$51, 0), MATCH('Rotation Assembler'!D$21, Calculations!$AC$5:$AG$5, 0))</f>
        <v>0</v>
      </c>
      <c r="E40" s="128">
        <f>INDEX(Calculations!$AC$5:$AG$51, MATCH('Rotation Assembler'!$A40, Calculations!$AC$5:$AC$51, 0), MATCH('Rotation Assembler'!E$21, Calculations!$AC$5:$AG$5, 0))</f>
        <v>0</v>
      </c>
      <c r="F40" s="128">
        <f>INDEX(Calculations!$AC$5:$AG$51, MATCH('Rotation Assembler'!$A40, Calculations!$AC$5:$AC$51, 0), MATCH('Rotation Assembler'!F$21, Calculations!$AC$5:$AG$5, 0))</f>
        <v>0</v>
      </c>
      <c r="G40" s="128">
        <f>INDEX(Calculations!$AC$5:$AG$51, MATCH('Rotation Assembler'!$A40, Calculations!$AC$5:$AC$51, 0), MATCH('Rotation Assembler'!G$21, Calculations!$AC$5:$AG$5, 0))</f>
        <v>0</v>
      </c>
      <c r="H40" s="128">
        <f>INDEX(Calculations!$AC$5:$AG$51, MATCH('Rotation Assembler'!$A40, Calculations!$AC$5:$AC$51, 0), MATCH('Rotation Assembler'!H$21, Calculations!$AC$5:$AG$5, 0))</f>
        <v>0</v>
      </c>
      <c r="I40" s="128">
        <f>INDEX(Calculations!$AC$5:$AG$51, MATCH('Rotation Assembler'!$A40, Calculations!$AC$5:$AC$51, 0), MATCH('Rotation Assembler'!I$21, Calculations!$AC$5:$AG$5, 0))</f>
        <v>0</v>
      </c>
      <c r="J40" s="128">
        <f>INDEX(Calculations!$AC$5:$AG$51, MATCH('Rotation Assembler'!$A40, Calculations!$AC$5:$AC$51, 0), MATCH('Rotation Assembler'!J$21, Calculations!$AC$5:$AG$5, 0))</f>
        <v>0</v>
      </c>
      <c r="K40" s="128">
        <f>INDEX(Calculations!$AC$5:$AG$51, MATCH('Rotation Assembler'!$A40, Calculations!$AC$5:$AC$51, 0), MATCH('Rotation Assembler'!K$21, Calculations!$AC$5:$AG$5, 0))</f>
        <v>0</v>
      </c>
      <c r="L40" s="128">
        <f>INDEX(Calculations!$AC$5:$AG$51, MATCH('Rotation Assembler'!$A40, Calculations!$AC$5:$AC$51, 0), MATCH('Rotation Assembler'!L$21, Calculations!$AC$5:$AG$5, 0))</f>
        <v>0</v>
      </c>
      <c r="M40" s="128">
        <f>INDEX(Calculations!$AC$5:$AG$51, MATCH('Rotation Assembler'!$A40, Calculations!$AC$5:$AC$51, 0), MATCH('Rotation Assembler'!M$21, Calculations!$AC$5:$AG$5, 0))</f>
        <v>0</v>
      </c>
      <c r="N40" s="128">
        <f>INDEX(Calculations!$AC$5:$AG$51, MATCH('Rotation Assembler'!$A40, Calculations!$AC$5:$AC$51, 0), MATCH('Rotation Assembler'!N$21, Calculations!$AC$5:$AG$5, 0))</f>
        <v>0</v>
      </c>
      <c r="O40" s="128">
        <f>INDEX(Calculations!$AC$5:$AG$51, MATCH('Rotation Assembler'!$A40, Calculations!$AC$5:$AC$51, 0), MATCH('Rotation Assembler'!O$21, Calculations!$AC$5:$AG$5, 0))</f>
        <v>0</v>
      </c>
      <c r="P40" s="128">
        <f>INDEX(Calculations!$AC$5:$AG$51, MATCH('Rotation Assembler'!$A40, Calculations!$AC$5:$AC$51, 0), MATCH('Rotation Assembler'!P$21, Calculations!$AC$5:$AG$5, 0))</f>
        <v>0</v>
      </c>
      <c r="Q40" s="128">
        <f>INDEX(Calculations!$AC$5:$AG$51, MATCH('Rotation Assembler'!$A40, Calculations!$AC$5:$AC$51, 0), MATCH('Rotation Assembler'!Q$21, Calculations!$AC$5:$AG$5, 0))</f>
        <v>0</v>
      </c>
      <c r="R40" s="128">
        <f>INDEX(Calculations!$AC$5:$AG$51, MATCH('Rotation Assembler'!$A40, Calculations!$AC$5:$AC$51, 0), MATCH('Rotation Assembler'!R$21, Calculations!$AC$5:$AG$5, 0))</f>
        <v>0</v>
      </c>
      <c r="S40" s="128">
        <f>INDEX(Calculations!$AC$5:$AG$51, MATCH('Rotation Assembler'!$A40, Calculations!$AC$5:$AC$51, 0), MATCH('Rotation Assembler'!S$21, Calculations!$AC$5:$AG$5, 0))</f>
        <v>0</v>
      </c>
      <c r="T40" s="128">
        <f>INDEX(Calculations!$AC$5:$AG$51, MATCH('Rotation Assembler'!$A40, Calculations!$AC$5:$AC$51, 0), MATCH('Rotation Assembler'!T$21, Calculations!$AC$5:$AG$5, 0))</f>
        <v>0</v>
      </c>
      <c r="U40" s="128">
        <f>INDEX(Calculations!$AC$5:$AG$51, MATCH('Rotation Assembler'!$A40, Calculations!$AC$5:$AC$51, 0), MATCH('Rotation Assembler'!U$21, Calculations!$AC$5:$AG$5, 0))</f>
        <v>0</v>
      </c>
      <c r="V40" s="128">
        <f>INDEX(Calculations!$AC$5:$AG$51, MATCH('Rotation Assembler'!$A40, Calculations!$AC$5:$AC$51, 0), MATCH('Rotation Assembler'!V$21, Calculations!$AC$5:$AG$5, 0))</f>
        <v>0</v>
      </c>
      <c r="W40" s="128">
        <f>INDEX(Calculations!$AC$5:$AG$51, MATCH('Rotation Assembler'!$A40, Calculations!$AC$5:$AC$51, 0), MATCH('Rotation Assembler'!W$21, Calculations!$AC$5:$AG$5, 0))</f>
        <v>0</v>
      </c>
      <c r="X40" s="128">
        <f>INDEX(Calculations!$AC$5:$AG$51, MATCH('Rotation Assembler'!$A40, Calculations!$AC$5:$AC$51, 0), MATCH('Rotation Assembler'!X$21, Calculations!$AC$5:$AG$5, 0))</f>
        <v>0</v>
      </c>
      <c r="Y40" s="128">
        <f>INDEX(Calculations!$AC$5:$AG$51, MATCH('Rotation Assembler'!$A40, Calculations!$AC$5:$AC$51, 0), MATCH('Rotation Assembler'!Y$21, Calculations!$AC$5:$AG$5, 0))</f>
        <v>0</v>
      </c>
      <c r="Z40" s="128">
        <f>INDEX(Calculations!$AC$5:$AG$51, MATCH('Rotation Assembler'!$A40, Calculations!$AC$5:$AC$51, 0), MATCH('Rotation Assembler'!Z$21, Calculations!$AC$5:$AG$5, 0))</f>
        <v>0</v>
      </c>
      <c r="AA40" s="128">
        <f>INDEX(Calculations!$AC$5:$AG$51, MATCH('Rotation Assembler'!$A40, Calculations!$AC$5:$AC$51, 0), MATCH('Rotation Assembler'!AA$21, Calculations!$AC$5:$AG$5, 0))</f>
        <v>0</v>
      </c>
      <c r="AB40" s="128">
        <f>INDEX(Calculations!$AC$5:$AG$51, MATCH('Rotation Assembler'!$A40, Calculations!$AC$5:$AC$51, 0), MATCH('Rotation Assembler'!AB$21, Calculations!$AC$5:$AG$5, 0))</f>
        <v>0</v>
      </c>
      <c r="AC40" s="128">
        <f>INDEX(Calculations!$AC$5:$AG$51, MATCH('Rotation Assembler'!$A40, Calculations!$AC$5:$AC$51, 0), MATCH('Rotation Assembler'!AC$21, Calculations!$AC$5:$AG$5, 0))</f>
        <v>0</v>
      </c>
      <c r="AD40" s="128">
        <f>INDEX(Calculations!$AC$5:$AG$51, MATCH('Rotation Assembler'!$A40, Calculations!$AC$5:$AC$51, 0), MATCH('Rotation Assembler'!AD$21, Calculations!$AC$5:$AG$5, 0))</f>
        <v>0</v>
      </c>
      <c r="AE40" s="128">
        <f>INDEX(Calculations!$AC$5:$AG$51, MATCH('Rotation Assembler'!$A40, Calculations!$AC$5:$AC$51, 0), MATCH('Rotation Assembler'!AE$21, Calculations!$AC$5:$AG$5, 0))</f>
        <v>0</v>
      </c>
      <c r="AF40" s="128">
        <f>INDEX(Calculations!$AC$5:$AG$51, MATCH('Rotation Assembler'!$A40, Calculations!$AC$5:$AC$51, 0), MATCH('Rotation Assembler'!AF$21, Calculations!$AC$5:$AG$5, 0))</f>
        <v>0</v>
      </c>
      <c r="AG40" s="128">
        <f>INDEX(Calculations!$AC$5:$AG$51, MATCH('Rotation Assembler'!$A40, Calculations!$AC$5:$AC$51, 0), MATCH('Rotation Assembler'!AG$21, Calculations!$AC$5:$AG$5, 0))</f>
        <v>0</v>
      </c>
      <c r="AH40" s="128">
        <f>INDEX(Calculations!$AC$5:$AG$51, MATCH('Rotation Assembler'!$A40, Calculations!$AC$5:$AC$51, 0), MATCH('Rotation Assembler'!AH$21, Calculations!$AC$5:$AG$5, 0))</f>
        <v>0</v>
      </c>
      <c r="AI40" s="128">
        <f>INDEX(Calculations!$AC$5:$AG$51, MATCH('Rotation Assembler'!$A40, Calculations!$AC$5:$AC$51, 0), MATCH('Rotation Assembler'!AI$21, Calculations!$AC$5:$AG$5, 0))</f>
        <v>0</v>
      </c>
      <c r="AJ40" s="128">
        <f>INDEX(Calculations!$AC$5:$AG$51, MATCH('Rotation Assembler'!$A40, Calculations!$AC$5:$AC$51, 0), MATCH('Rotation Assembler'!AJ$21, Calculations!$AC$5:$AG$5, 0))</f>
        <v>0</v>
      </c>
      <c r="AK40" s="128"/>
      <c r="AL40" s="128"/>
      <c r="AM40" s="128"/>
      <c r="AN40" s="128"/>
      <c r="AO40" s="128"/>
      <c r="AP40" s="128"/>
      <c r="AQ40" s="128"/>
      <c r="AR40" s="128"/>
      <c r="AS40" s="128"/>
      <c r="AT40" s="128"/>
      <c r="AU40" s="128"/>
      <c r="AV40" s="128"/>
      <c r="AW40" s="128"/>
      <c r="AX40" s="128"/>
      <c r="AY40" s="128"/>
      <c r="AZ40" s="128"/>
      <c r="BA40" s="128"/>
      <c r="BB40" s="128"/>
      <c r="BC40" s="128"/>
      <c r="BD40" s="128"/>
      <c r="BE40" s="128"/>
      <c r="BF40" s="128"/>
      <c r="BG40" s="128"/>
      <c r="BH40" s="128"/>
      <c r="BI40" s="128"/>
      <c r="BJ40" s="128"/>
      <c r="BK40" s="128"/>
      <c r="BL40" s="128"/>
      <c r="BM40" s="128"/>
      <c r="BN40" s="128"/>
      <c r="BO40" s="128"/>
      <c r="BP40" s="128"/>
      <c r="BQ40" s="128"/>
      <c r="BR40" s="128"/>
      <c r="BS40" s="128"/>
      <c r="BT40" s="128"/>
    </row>
    <row r="41" spans="1:72" hidden="1" outlineLevel="1" x14ac:dyDescent="0.25">
      <c r="A41" s="124" t="s">
        <v>78</v>
      </c>
      <c r="B41" s="128">
        <f>INDEX(Calculations!$AC$5:$AG$51, MATCH('Rotation Assembler'!$A41, Calculations!$AC$5:$AC$51, 0), MATCH('Rotation Assembler'!B$21, Calculations!$AC$5:$AG$5, 0))</f>
        <v>0</v>
      </c>
      <c r="C41" s="128">
        <f>INDEX(Calculations!$AC$5:$AG$51, MATCH('Rotation Assembler'!$A41, Calculations!$AC$5:$AC$51, 0), MATCH('Rotation Assembler'!C$21, Calculations!$AC$5:$AG$5, 0))</f>
        <v>0</v>
      </c>
      <c r="D41" s="128">
        <f>INDEX(Calculations!$AC$5:$AG$51, MATCH('Rotation Assembler'!$A41, Calculations!$AC$5:$AC$51, 0), MATCH('Rotation Assembler'!D$21, Calculations!$AC$5:$AG$5, 0))</f>
        <v>0</v>
      </c>
      <c r="E41" s="128">
        <f>INDEX(Calculations!$AC$5:$AG$51, MATCH('Rotation Assembler'!$A41, Calculations!$AC$5:$AC$51, 0), MATCH('Rotation Assembler'!E$21, Calculations!$AC$5:$AG$5, 0))</f>
        <v>0</v>
      </c>
      <c r="F41" s="128">
        <f>INDEX(Calculations!$AC$5:$AG$51, MATCH('Rotation Assembler'!$A41, Calculations!$AC$5:$AC$51, 0), MATCH('Rotation Assembler'!F$21, Calculations!$AC$5:$AG$5, 0))</f>
        <v>0</v>
      </c>
      <c r="G41" s="128">
        <f>INDEX(Calculations!$AC$5:$AG$51, MATCH('Rotation Assembler'!$A41, Calculations!$AC$5:$AC$51, 0), MATCH('Rotation Assembler'!G$21, Calculations!$AC$5:$AG$5, 0))</f>
        <v>0</v>
      </c>
      <c r="H41" s="128">
        <f>INDEX(Calculations!$AC$5:$AG$51, MATCH('Rotation Assembler'!$A41, Calculations!$AC$5:$AC$51, 0), MATCH('Rotation Assembler'!H$21, Calculations!$AC$5:$AG$5, 0))</f>
        <v>0</v>
      </c>
      <c r="I41" s="128">
        <f>INDEX(Calculations!$AC$5:$AG$51, MATCH('Rotation Assembler'!$A41, Calculations!$AC$5:$AC$51, 0), MATCH('Rotation Assembler'!I$21, Calculations!$AC$5:$AG$5, 0))</f>
        <v>0</v>
      </c>
      <c r="J41" s="128">
        <f>INDEX(Calculations!$AC$5:$AG$51, MATCH('Rotation Assembler'!$A41, Calculations!$AC$5:$AC$51, 0), MATCH('Rotation Assembler'!J$21, Calculations!$AC$5:$AG$5, 0))</f>
        <v>0</v>
      </c>
      <c r="K41" s="128">
        <f>INDEX(Calculations!$AC$5:$AG$51, MATCH('Rotation Assembler'!$A41, Calculations!$AC$5:$AC$51, 0), MATCH('Rotation Assembler'!K$21, Calculations!$AC$5:$AG$5, 0))</f>
        <v>0</v>
      </c>
      <c r="L41" s="128">
        <f>INDEX(Calculations!$AC$5:$AG$51, MATCH('Rotation Assembler'!$A41, Calculations!$AC$5:$AC$51, 0), MATCH('Rotation Assembler'!L$21, Calculations!$AC$5:$AG$5, 0))</f>
        <v>0</v>
      </c>
      <c r="M41" s="128">
        <f>INDEX(Calculations!$AC$5:$AG$51, MATCH('Rotation Assembler'!$A41, Calculations!$AC$5:$AC$51, 0), MATCH('Rotation Assembler'!M$21, Calculations!$AC$5:$AG$5, 0))</f>
        <v>0</v>
      </c>
      <c r="N41" s="128">
        <f>INDEX(Calculations!$AC$5:$AG$51, MATCH('Rotation Assembler'!$A41, Calculations!$AC$5:$AC$51, 0), MATCH('Rotation Assembler'!N$21, Calculations!$AC$5:$AG$5, 0))</f>
        <v>0</v>
      </c>
      <c r="O41" s="128">
        <f>INDEX(Calculations!$AC$5:$AG$51, MATCH('Rotation Assembler'!$A41, Calculations!$AC$5:$AC$51, 0), MATCH('Rotation Assembler'!O$21, Calculations!$AC$5:$AG$5, 0))</f>
        <v>0</v>
      </c>
      <c r="P41" s="128">
        <f>INDEX(Calculations!$AC$5:$AG$51, MATCH('Rotation Assembler'!$A41, Calculations!$AC$5:$AC$51, 0), MATCH('Rotation Assembler'!P$21, Calculations!$AC$5:$AG$5, 0))</f>
        <v>0</v>
      </c>
      <c r="Q41" s="128">
        <f>INDEX(Calculations!$AC$5:$AG$51, MATCH('Rotation Assembler'!$A41, Calculations!$AC$5:$AC$51, 0), MATCH('Rotation Assembler'!Q$21, Calculations!$AC$5:$AG$5, 0))</f>
        <v>0</v>
      </c>
      <c r="R41" s="128">
        <f>INDEX(Calculations!$AC$5:$AG$51, MATCH('Rotation Assembler'!$A41, Calculations!$AC$5:$AC$51, 0), MATCH('Rotation Assembler'!R$21, Calculations!$AC$5:$AG$5, 0))</f>
        <v>0</v>
      </c>
      <c r="S41" s="128">
        <f>INDEX(Calculations!$AC$5:$AG$51, MATCH('Rotation Assembler'!$A41, Calculations!$AC$5:$AC$51, 0), MATCH('Rotation Assembler'!S$21, Calculations!$AC$5:$AG$5, 0))</f>
        <v>0</v>
      </c>
      <c r="T41" s="128">
        <f>INDEX(Calculations!$AC$5:$AG$51, MATCH('Rotation Assembler'!$A41, Calculations!$AC$5:$AC$51, 0), MATCH('Rotation Assembler'!T$21, Calculations!$AC$5:$AG$5, 0))</f>
        <v>0</v>
      </c>
      <c r="U41" s="128">
        <f>INDEX(Calculations!$AC$5:$AG$51, MATCH('Rotation Assembler'!$A41, Calculations!$AC$5:$AC$51, 0), MATCH('Rotation Assembler'!U$21, Calculations!$AC$5:$AG$5, 0))</f>
        <v>0</v>
      </c>
      <c r="V41" s="128">
        <f>INDEX(Calculations!$AC$5:$AG$51, MATCH('Rotation Assembler'!$A41, Calculations!$AC$5:$AC$51, 0), MATCH('Rotation Assembler'!V$21, Calculations!$AC$5:$AG$5, 0))</f>
        <v>0</v>
      </c>
      <c r="W41" s="128">
        <f>INDEX(Calculations!$AC$5:$AG$51, MATCH('Rotation Assembler'!$A41, Calculations!$AC$5:$AC$51, 0), MATCH('Rotation Assembler'!W$21, Calculations!$AC$5:$AG$5, 0))</f>
        <v>0</v>
      </c>
      <c r="X41" s="128">
        <f>INDEX(Calculations!$AC$5:$AG$51, MATCH('Rotation Assembler'!$A41, Calculations!$AC$5:$AC$51, 0), MATCH('Rotation Assembler'!X$21, Calculations!$AC$5:$AG$5, 0))</f>
        <v>0</v>
      </c>
      <c r="Y41" s="128">
        <f>INDEX(Calculations!$AC$5:$AG$51, MATCH('Rotation Assembler'!$A41, Calculations!$AC$5:$AC$51, 0), MATCH('Rotation Assembler'!Y$21, Calculations!$AC$5:$AG$5, 0))</f>
        <v>0</v>
      </c>
      <c r="Z41" s="128">
        <f>INDEX(Calculations!$AC$5:$AG$51, MATCH('Rotation Assembler'!$A41, Calculations!$AC$5:$AC$51, 0), MATCH('Rotation Assembler'!Z$21, Calculations!$AC$5:$AG$5, 0))</f>
        <v>0</v>
      </c>
      <c r="AA41" s="128">
        <f>INDEX(Calculations!$AC$5:$AG$51, MATCH('Rotation Assembler'!$A41, Calculations!$AC$5:$AC$51, 0), MATCH('Rotation Assembler'!AA$21, Calculations!$AC$5:$AG$5, 0))</f>
        <v>0</v>
      </c>
      <c r="AB41" s="128">
        <f>INDEX(Calculations!$AC$5:$AG$51, MATCH('Rotation Assembler'!$A41, Calculations!$AC$5:$AC$51, 0), MATCH('Rotation Assembler'!AB$21, Calculations!$AC$5:$AG$5, 0))</f>
        <v>0</v>
      </c>
      <c r="AC41" s="128">
        <f>INDEX(Calculations!$AC$5:$AG$51, MATCH('Rotation Assembler'!$A41, Calculations!$AC$5:$AC$51, 0), MATCH('Rotation Assembler'!AC$21, Calculations!$AC$5:$AG$5, 0))</f>
        <v>0</v>
      </c>
      <c r="AD41" s="128">
        <f>INDEX(Calculations!$AC$5:$AG$51, MATCH('Rotation Assembler'!$A41, Calculations!$AC$5:$AC$51, 0), MATCH('Rotation Assembler'!AD$21, Calculations!$AC$5:$AG$5, 0))</f>
        <v>0</v>
      </c>
      <c r="AE41" s="128">
        <f>INDEX(Calculations!$AC$5:$AG$51, MATCH('Rotation Assembler'!$A41, Calculations!$AC$5:$AC$51, 0), MATCH('Rotation Assembler'!AE$21, Calculations!$AC$5:$AG$5, 0))</f>
        <v>0</v>
      </c>
      <c r="AF41" s="128">
        <f>INDEX(Calculations!$AC$5:$AG$51, MATCH('Rotation Assembler'!$A41, Calculations!$AC$5:$AC$51, 0), MATCH('Rotation Assembler'!AF$21, Calculations!$AC$5:$AG$5, 0))</f>
        <v>0</v>
      </c>
      <c r="AG41" s="128">
        <f>INDEX(Calculations!$AC$5:$AG$51, MATCH('Rotation Assembler'!$A41, Calculations!$AC$5:$AC$51, 0), MATCH('Rotation Assembler'!AG$21, Calculations!$AC$5:$AG$5, 0))</f>
        <v>0</v>
      </c>
      <c r="AH41" s="128">
        <f>INDEX(Calculations!$AC$5:$AG$51, MATCH('Rotation Assembler'!$A41, Calculations!$AC$5:$AC$51, 0), MATCH('Rotation Assembler'!AH$21, Calculations!$AC$5:$AG$5, 0))</f>
        <v>0</v>
      </c>
      <c r="AI41" s="128">
        <f>INDEX(Calculations!$AC$5:$AG$51, MATCH('Rotation Assembler'!$A41, Calculations!$AC$5:$AC$51, 0), MATCH('Rotation Assembler'!AI$21, Calculations!$AC$5:$AG$5, 0))</f>
        <v>0</v>
      </c>
      <c r="AJ41" s="128">
        <f>INDEX(Calculations!$AC$5:$AG$51, MATCH('Rotation Assembler'!$A41, Calculations!$AC$5:$AC$51, 0), MATCH('Rotation Assembler'!AJ$21, Calculations!$AC$5:$AG$5, 0))</f>
        <v>0</v>
      </c>
      <c r="AK41" s="128"/>
      <c r="AL41" s="128"/>
      <c r="AM41" s="128"/>
      <c r="AN41" s="128"/>
      <c r="AO41" s="128"/>
      <c r="AP41" s="128"/>
      <c r="AQ41" s="128"/>
      <c r="AR41" s="128"/>
      <c r="AS41" s="128"/>
      <c r="AT41" s="128"/>
      <c r="AU41" s="128"/>
      <c r="AV41" s="128"/>
      <c r="AW41" s="128"/>
      <c r="AX41" s="128"/>
      <c r="AY41" s="128"/>
      <c r="AZ41" s="128"/>
      <c r="BA41" s="128"/>
      <c r="BB41" s="128"/>
      <c r="BC41" s="128"/>
      <c r="BD41" s="128"/>
      <c r="BE41" s="128"/>
      <c r="BF41" s="128"/>
      <c r="BG41" s="128"/>
      <c r="BH41" s="128"/>
      <c r="BI41" s="128"/>
      <c r="BJ41" s="128"/>
      <c r="BK41" s="128"/>
      <c r="BL41" s="128"/>
      <c r="BM41" s="128"/>
      <c r="BN41" s="128"/>
      <c r="BO41" s="128"/>
      <c r="BP41" s="128"/>
      <c r="BQ41" s="128"/>
      <c r="BR41" s="128"/>
      <c r="BS41" s="128"/>
      <c r="BT41" s="128"/>
    </row>
    <row r="42" spans="1:72" hidden="1" outlineLevel="1" x14ac:dyDescent="0.25">
      <c r="A42" s="124" t="s">
        <v>79</v>
      </c>
      <c r="B42" s="128">
        <f>INDEX(Calculations!$AC$5:$AG$51, MATCH('Rotation Assembler'!$A42, Calculations!$AC$5:$AC$51, 0), MATCH('Rotation Assembler'!B$21, Calculations!$AC$5:$AG$5, 0))</f>
        <v>0</v>
      </c>
      <c r="C42" s="128">
        <f>INDEX(Calculations!$AC$5:$AG$51, MATCH('Rotation Assembler'!$A42, Calculations!$AC$5:$AC$51, 0), MATCH('Rotation Assembler'!C$21, Calculations!$AC$5:$AG$5, 0))</f>
        <v>0</v>
      </c>
      <c r="D42" s="128">
        <f>INDEX(Calculations!$AC$5:$AG$51, MATCH('Rotation Assembler'!$A42, Calculations!$AC$5:$AC$51, 0), MATCH('Rotation Assembler'!D$21, Calculations!$AC$5:$AG$5, 0))</f>
        <v>0</v>
      </c>
      <c r="E42" s="128">
        <f>INDEX(Calculations!$AC$5:$AG$51, MATCH('Rotation Assembler'!$A42, Calculations!$AC$5:$AC$51, 0), MATCH('Rotation Assembler'!E$21, Calculations!$AC$5:$AG$5, 0))</f>
        <v>0</v>
      </c>
      <c r="F42" s="128">
        <f>INDEX(Calculations!$AC$5:$AG$51, MATCH('Rotation Assembler'!$A42, Calculations!$AC$5:$AC$51, 0), MATCH('Rotation Assembler'!F$21, Calculations!$AC$5:$AG$5, 0))</f>
        <v>0</v>
      </c>
      <c r="G42" s="128">
        <f>INDEX(Calculations!$AC$5:$AG$51, MATCH('Rotation Assembler'!$A42, Calculations!$AC$5:$AC$51, 0), MATCH('Rotation Assembler'!G$21, Calculations!$AC$5:$AG$5, 0))</f>
        <v>0</v>
      </c>
      <c r="H42" s="128">
        <f>INDEX(Calculations!$AC$5:$AG$51, MATCH('Rotation Assembler'!$A42, Calculations!$AC$5:$AC$51, 0), MATCH('Rotation Assembler'!H$21, Calculations!$AC$5:$AG$5, 0))</f>
        <v>0</v>
      </c>
      <c r="I42" s="128">
        <f>INDEX(Calculations!$AC$5:$AG$51, MATCH('Rotation Assembler'!$A42, Calculations!$AC$5:$AC$51, 0), MATCH('Rotation Assembler'!I$21, Calculations!$AC$5:$AG$5, 0))</f>
        <v>0</v>
      </c>
      <c r="J42" s="128">
        <f>INDEX(Calculations!$AC$5:$AG$51, MATCH('Rotation Assembler'!$A42, Calculations!$AC$5:$AC$51, 0), MATCH('Rotation Assembler'!J$21, Calculations!$AC$5:$AG$5, 0))</f>
        <v>0</v>
      </c>
      <c r="K42" s="128">
        <f>INDEX(Calculations!$AC$5:$AG$51, MATCH('Rotation Assembler'!$A42, Calculations!$AC$5:$AC$51, 0), MATCH('Rotation Assembler'!K$21, Calculations!$AC$5:$AG$5, 0))</f>
        <v>0</v>
      </c>
      <c r="L42" s="128">
        <f>INDEX(Calculations!$AC$5:$AG$51, MATCH('Rotation Assembler'!$A42, Calculations!$AC$5:$AC$51, 0), MATCH('Rotation Assembler'!L$21, Calculations!$AC$5:$AG$5, 0))</f>
        <v>0</v>
      </c>
      <c r="M42" s="128">
        <f>INDEX(Calculations!$AC$5:$AG$51, MATCH('Rotation Assembler'!$A42, Calculations!$AC$5:$AC$51, 0), MATCH('Rotation Assembler'!M$21, Calculations!$AC$5:$AG$5, 0))</f>
        <v>0</v>
      </c>
      <c r="N42" s="128">
        <f>INDEX(Calculations!$AC$5:$AG$51, MATCH('Rotation Assembler'!$A42, Calculations!$AC$5:$AC$51, 0), MATCH('Rotation Assembler'!N$21, Calculations!$AC$5:$AG$5, 0))</f>
        <v>0</v>
      </c>
      <c r="O42" s="128">
        <f>INDEX(Calculations!$AC$5:$AG$51, MATCH('Rotation Assembler'!$A42, Calculations!$AC$5:$AC$51, 0), MATCH('Rotation Assembler'!O$21, Calculations!$AC$5:$AG$5, 0))</f>
        <v>0</v>
      </c>
      <c r="P42" s="128">
        <f>INDEX(Calculations!$AC$5:$AG$51, MATCH('Rotation Assembler'!$A42, Calculations!$AC$5:$AC$51, 0), MATCH('Rotation Assembler'!P$21, Calculations!$AC$5:$AG$5, 0))</f>
        <v>0</v>
      </c>
      <c r="Q42" s="128">
        <f>INDEX(Calculations!$AC$5:$AG$51, MATCH('Rotation Assembler'!$A42, Calculations!$AC$5:$AC$51, 0), MATCH('Rotation Assembler'!Q$21, Calculations!$AC$5:$AG$5, 0))</f>
        <v>0</v>
      </c>
      <c r="R42" s="128">
        <f>INDEX(Calculations!$AC$5:$AG$51, MATCH('Rotation Assembler'!$A42, Calculations!$AC$5:$AC$51, 0), MATCH('Rotation Assembler'!R$21, Calculations!$AC$5:$AG$5, 0))</f>
        <v>0</v>
      </c>
      <c r="S42" s="128">
        <f>INDEX(Calculations!$AC$5:$AG$51, MATCH('Rotation Assembler'!$A42, Calculations!$AC$5:$AC$51, 0), MATCH('Rotation Assembler'!S$21, Calculations!$AC$5:$AG$5, 0))</f>
        <v>0</v>
      </c>
      <c r="T42" s="128">
        <f>INDEX(Calculations!$AC$5:$AG$51, MATCH('Rotation Assembler'!$A42, Calculations!$AC$5:$AC$51, 0), MATCH('Rotation Assembler'!T$21, Calculations!$AC$5:$AG$5, 0))</f>
        <v>0</v>
      </c>
      <c r="U42" s="128">
        <f>INDEX(Calculations!$AC$5:$AG$51, MATCH('Rotation Assembler'!$A42, Calculations!$AC$5:$AC$51, 0), MATCH('Rotation Assembler'!U$21, Calculations!$AC$5:$AG$5, 0))</f>
        <v>0</v>
      </c>
      <c r="V42" s="128">
        <f>INDEX(Calculations!$AC$5:$AG$51, MATCH('Rotation Assembler'!$A42, Calculations!$AC$5:$AC$51, 0), MATCH('Rotation Assembler'!V$21, Calculations!$AC$5:$AG$5, 0))</f>
        <v>0</v>
      </c>
      <c r="W42" s="128">
        <f>INDEX(Calculations!$AC$5:$AG$51, MATCH('Rotation Assembler'!$A42, Calculations!$AC$5:$AC$51, 0), MATCH('Rotation Assembler'!W$21, Calculations!$AC$5:$AG$5, 0))</f>
        <v>0</v>
      </c>
      <c r="X42" s="128">
        <f>INDEX(Calculations!$AC$5:$AG$51, MATCH('Rotation Assembler'!$A42, Calculations!$AC$5:$AC$51, 0), MATCH('Rotation Assembler'!X$21, Calculations!$AC$5:$AG$5, 0))</f>
        <v>0</v>
      </c>
      <c r="Y42" s="128">
        <f>INDEX(Calculations!$AC$5:$AG$51, MATCH('Rotation Assembler'!$A42, Calculations!$AC$5:$AC$51, 0), MATCH('Rotation Assembler'!Y$21, Calculations!$AC$5:$AG$5, 0))</f>
        <v>0</v>
      </c>
      <c r="Z42" s="128">
        <f>INDEX(Calculations!$AC$5:$AG$51, MATCH('Rotation Assembler'!$A42, Calculations!$AC$5:$AC$51, 0), MATCH('Rotation Assembler'!Z$21, Calculations!$AC$5:$AG$5, 0))</f>
        <v>0</v>
      </c>
      <c r="AA42" s="128">
        <f>INDEX(Calculations!$AC$5:$AG$51, MATCH('Rotation Assembler'!$A42, Calculations!$AC$5:$AC$51, 0), MATCH('Rotation Assembler'!AA$21, Calculations!$AC$5:$AG$5, 0))</f>
        <v>0</v>
      </c>
      <c r="AB42" s="128">
        <f>INDEX(Calculations!$AC$5:$AG$51, MATCH('Rotation Assembler'!$A42, Calculations!$AC$5:$AC$51, 0), MATCH('Rotation Assembler'!AB$21, Calculations!$AC$5:$AG$5, 0))</f>
        <v>0</v>
      </c>
      <c r="AC42" s="128">
        <f>INDEX(Calculations!$AC$5:$AG$51, MATCH('Rotation Assembler'!$A42, Calculations!$AC$5:$AC$51, 0), MATCH('Rotation Assembler'!AC$21, Calculations!$AC$5:$AG$5, 0))</f>
        <v>0</v>
      </c>
      <c r="AD42" s="128">
        <f>INDEX(Calculations!$AC$5:$AG$51, MATCH('Rotation Assembler'!$A42, Calculations!$AC$5:$AC$51, 0), MATCH('Rotation Assembler'!AD$21, Calculations!$AC$5:$AG$5, 0))</f>
        <v>0</v>
      </c>
      <c r="AE42" s="128">
        <f>INDEX(Calculations!$AC$5:$AG$51, MATCH('Rotation Assembler'!$A42, Calculations!$AC$5:$AC$51, 0), MATCH('Rotation Assembler'!AE$21, Calculations!$AC$5:$AG$5, 0))</f>
        <v>0</v>
      </c>
      <c r="AF42" s="128">
        <f>INDEX(Calculations!$AC$5:$AG$51, MATCH('Rotation Assembler'!$A42, Calculations!$AC$5:$AC$51, 0), MATCH('Rotation Assembler'!AF$21, Calculations!$AC$5:$AG$5, 0))</f>
        <v>0</v>
      </c>
      <c r="AG42" s="128">
        <f>INDEX(Calculations!$AC$5:$AG$51, MATCH('Rotation Assembler'!$A42, Calculations!$AC$5:$AC$51, 0), MATCH('Rotation Assembler'!AG$21, Calculations!$AC$5:$AG$5, 0))</f>
        <v>0</v>
      </c>
      <c r="AH42" s="128">
        <f>INDEX(Calculations!$AC$5:$AG$51, MATCH('Rotation Assembler'!$A42, Calculations!$AC$5:$AC$51, 0), MATCH('Rotation Assembler'!AH$21, Calculations!$AC$5:$AG$5, 0))</f>
        <v>0</v>
      </c>
      <c r="AI42" s="128">
        <f>INDEX(Calculations!$AC$5:$AG$51, MATCH('Rotation Assembler'!$A42, Calculations!$AC$5:$AC$51, 0), MATCH('Rotation Assembler'!AI$21, Calculations!$AC$5:$AG$5, 0))</f>
        <v>0</v>
      </c>
      <c r="AJ42" s="128">
        <f>INDEX(Calculations!$AC$5:$AG$51, MATCH('Rotation Assembler'!$A42, Calculations!$AC$5:$AC$51, 0), MATCH('Rotation Assembler'!AJ$21, Calculations!$AC$5:$AG$5, 0))</f>
        <v>0</v>
      </c>
      <c r="AK42" s="128"/>
      <c r="AL42" s="128"/>
      <c r="AM42" s="128"/>
      <c r="AN42" s="128"/>
      <c r="AO42" s="128"/>
      <c r="AP42" s="128"/>
      <c r="AQ42" s="128"/>
      <c r="AR42" s="128"/>
      <c r="AS42" s="128"/>
      <c r="AT42" s="128"/>
      <c r="AU42" s="128"/>
      <c r="AV42" s="128"/>
      <c r="AW42" s="128"/>
      <c r="AX42" s="128"/>
      <c r="AY42" s="128"/>
      <c r="AZ42" s="128"/>
      <c r="BA42" s="128"/>
      <c r="BB42" s="128"/>
      <c r="BC42" s="128"/>
      <c r="BD42" s="128"/>
      <c r="BE42" s="128"/>
      <c r="BF42" s="128"/>
      <c r="BG42" s="128"/>
      <c r="BH42" s="128"/>
      <c r="BI42" s="128"/>
      <c r="BJ42" s="128"/>
      <c r="BK42" s="128"/>
      <c r="BL42" s="128"/>
      <c r="BM42" s="128"/>
      <c r="BN42" s="128"/>
      <c r="BO42" s="128"/>
      <c r="BP42" s="128"/>
      <c r="BQ42" s="128"/>
      <c r="BR42" s="128"/>
      <c r="BS42" s="128"/>
      <c r="BT42" s="128"/>
    </row>
    <row r="43" spans="1:72" hidden="1" outlineLevel="1" x14ac:dyDescent="0.25">
      <c r="A43" s="124" t="s">
        <v>80</v>
      </c>
      <c r="B43" s="128">
        <f>INDEX(Calculations!$AC$5:$AG$51, MATCH('Rotation Assembler'!$A43, Calculations!$AC$5:$AC$51, 0), MATCH('Rotation Assembler'!B$21, Calculations!$AC$5:$AG$5, 0))</f>
        <v>0</v>
      </c>
      <c r="C43" s="128">
        <f>INDEX(Calculations!$AC$5:$AG$51, MATCH('Rotation Assembler'!$A43, Calculations!$AC$5:$AC$51, 0), MATCH('Rotation Assembler'!C$21, Calculations!$AC$5:$AG$5, 0))</f>
        <v>0</v>
      </c>
      <c r="D43" s="128">
        <f>INDEX(Calculations!$AC$5:$AG$51, MATCH('Rotation Assembler'!$A43, Calculations!$AC$5:$AC$51, 0), MATCH('Rotation Assembler'!D$21, Calculations!$AC$5:$AG$5, 0))</f>
        <v>0</v>
      </c>
      <c r="E43" s="128">
        <f>INDEX(Calculations!$AC$5:$AG$51, MATCH('Rotation Assembler'!$A43, Calculations!$AC$5:$AC$51, 0), MATCH('Rotation Assembler'!E$21, Calculations!$AC$5:$AG$5, 0))</f>
        <v>0</v>
      </c>
      <c r="F43" s="128">
        <f>INDEX(Calculations!$AC$5:$AG$51, MATCH('Rotation Assembler'!$A43, Calculations!$AC$5:$AC$51, 0), MATCH('Rotation Assembler'!F$21, Calculations!$AC$5:$AG$5, 0))</f>
        <v>0</v>
      </c>
      <c r="G43" s="128">
        <f>INDEX(Calculations!$AC$5:$AG$51, MATCH('Rotation Assembler'!$A43, Calculations!$AC$5:$AC$51, 0), MATCH('Rotation Assembler'!G$21, Calculations!$AC$5:$AG$5, 0))</f>
        <v>0</v>
      </c>
      <c r="H43" s="128">
        <f>INDEX(Calculations!$AC$5:$AG$51, MATCH('Rotation Assembler'!$A43, Calculations!$AC$5:$AC$51, 0), MATCH('Rotation Assembler'!H$21, Calculations!$AC$5:$AG$5, 0))</f>
        <v>0</v>
      </c>
      <c r="I43" s="128">
        <f>INDEX(Calculations!$AC$5:$AG$51, MATCH('Rotation Assembler'!$A43, Calculations!$AC$5:$AC$51, 0), MATCH('Rotation Assembler'!I$21, Calculations!$AC$5:$AG$5, 0))</f>
        <v>0</v>
      </c>
      <c r="J43" s="128">
        <f>INDEX(Calculations!$AC$5:$AG$51, MATCH('Rotation Assembler'!$A43, Calculations!$AC$5:$AC$51, 0), MATCH('Rotation Assembler'!J$21, Calculations!$AC$5:$AG$5, 0))</f>
        <v>0</v>
      </c>
      <c r="K43" s="128">
        <f>INDEX(Calculations!$AC$5:$AG$51, MATCH('Rotation Assembler'!$A43, Calculations!$AC$5:$AC$51, 0), MATCH('Rotation Assembler'!K$21, Calculations!$AC$5:$AG$5, 0))</f>
        <v>0</v>
      </c>
      <c r="L43" s="128">
        <f>INDEX(Calculations!$AC$5:$AG$51, MATCH('Rotation Assembler'!$A43, Calculations!$AC$5:$AC$51, 0), MATCH('Rotation Assembler'!L$21, Calculations!$AC$5:$AG$5, 0))</f>
        <v>0</v>
      </c>
      <c r="M43" s="128">
        <f>INDEX(Calculations!$AC$5:$AG$51, MATCH('Rotation Assembler'!$A43, Calculations!$AC$5:$AC$51, 0), MATCH('Rotation Assembler'!M$21, Calculations!$AC$5:$AG$5, 0))</f>
        <v>0</v>
      </c>
      <c r="N43" s="128">
        <f>INDEX(Calculations!$AC$5:$AG$51, MATCH('Rotation Assembler'!$A43, Calculations!$AC$5:$AC$51, 0), MATCH('Rotation Assembler'!N$21, Calculations!$AC$5:$AG$5, 0))</f>
        <v>0</v>
      </c>
      <c r="O43" s="128">
        <f>INDEX(Calculations!$AC$5:$AG$51, MATCH('Rotation Assembler'!$A43, Calculations!$AC$5:$AC$51, 0), MATCH('Rotation Assembler'!O$21, Calculations!$AC$5:$AG$5, 0))</f>
        <v>0</v>
      </c>
      <c r="P43" s="128">
        <f>INDEX(Calculations!$AC$5:$AG$51, MATCH('Rotation Assembler'!$A43, Calculations!$AC$5:$AC$51, 0), MATCH('Rotation Assembler'!P$21, Calculations!$AC$5:$AG$5, 0))</f>
        <v>0</v>
      </c>
      <c r="Q43" s="128">
        <f>INDEX(Calculations!$AC$5:$AG$51, MATCH('Rotation Assembler'!$A43, Calculations!$AC$5:$AC$51, 0), MATCH('Rotation Assembler'!Q$21, Calculations!$AC$5:$AG$5, 0))</f>
        <v>0</v>
      </c>
      <c r="R43" s="128">
        <f>INDEX(Calculations!$AC$5:$AG$51, MATCH('Rotation Assembler'!$A43, Calculations!$AC$5:$AC$51, 0), MATCH('Rotation Assembler'!R$21, Calculations!$AC$5:$AG$5, 0))</f>
        <v>0</v>
      </c>
      <c r="S43" s="128">
        <f>INDEX(Calculations!$AC$5:$AG$51, MATCH('Rotation Assembler'!$A43, Calculations!$AC$5:$AC$51, 0), MATCH('Rotation Assembler'!S$21, Calculations!$AC$5:$AG$5, 0))</f>
        <v>0</v>
      </c>
      <c r="T43" s="128">
        <f>INDEX(Calculations!$AC$5:$AG$51, MATCH('Rotation Assembler'!$A43, Calculations!$AC$5:$AC$51, 0), MATCH('Rotation Assembler'!T$21, Calculations!$AC$5:$AG$5, 0))</f>
        <v>0</v>
      </c>
      <c r="U43" s="128">
        <f>INDEX(Calculations!$AC$5:$AG$51, MATCH('Rotation Assembler'!$A43, Calculations!$AC$5:$AC$51, 0), MATCH('Rotation Assembler'!U$21, Calculations!$AC$5:$AG$5, 0))</f>
        <v>0</v>
      </c>
      <c r="V43" s="128">
        <f>INDEX(Calculations!$AC$5:$AG$51, MATCH('Rotation Assembler'!$A43, Calculations!$AC$5:$AC$51, 0), MATCH('Rotation Assembler'!V$21, Calculations!$AC$5:$AG$5, 0))</f>
        <v>0</v>
      </c>
      <c r="W43" s="128">
        <f>INDEX(Calculations!$AC$5:$AG$51, MATCH('Rotation Assembler'!$A43, Calculations!$AC$5:$AC$51, 0), MATCH('Rotation Assembler'!W$21, Calculations!$AC$5:$AG$5, 0))</f>
        <v>0</v>
      </c>
      <c r="X43" s="128">
        <f>INDEX(Calculations!$AC$5:$AG$51, MATCH('Rotation Assembler'!$A43, Calculations!$AC$5:$AC$51, 0), MATCH('Rotation Assembler'!X$21, Calculations!$AC$5:$AG$5, 0))</f>
        <v>0</v>
      </c>
      <c r="Y43" s="128">
        <f>INDEX(Calculations!$AC$5:$AG$51, MATCH('Rotation Assembler'!$A43, Calculations!$AC$5:$AC$51, 0), MATCH('Rotation Assembler'!Y$21, Calculations!$AC$5:$AG$5, 0))</f>
        <v>0</v>
      </c>
      <c r="Z43" s="128">
        <f>INDEX(Calculations!$AC$5:$AG$51, MATCH('Rotation Assembler'!$A43, Calculations!$AC$5:$AC$51, 0), MATCH('Rotation Assembler'!Z$21, Calculations!$AC$5:$AG$5, 0))</f>
        <v>0</v>
      </c>
      <c r="AA43" s="128">
        <f>INDEX(Calculations!$AC$5:$AG$51, MATCH('Rotation Assembler'!$A43, Calculations!$AC$5:$AC$51, 0), MATCH('Rotation Assembler'!AA$21, Calculations!$AC$5:$AG$5, 0))</f>
        <v>0</v>
      </c>
      <c r="AB43" s="128">
        <f>INDEX(Calculations!$AC$5:$AG$51, MATCH('Rotation Assembler'!$A43, Calculations!$AC$5:$AC$51, 0), MATCH('Rotation Assembler'!AB$21, Calculations!$AC$5:$AG$5, 0))</f>
        <v>0</v>
      </c>
      <c r="AC43" s="128">
        <f>INDEX(Calculations!$AC$5:$AG$51, MATCH('Rotation Assembler'!$A43, Calculations!$AC$5:$AC$51, 0), MATCH('Rotation Assembler'!AC$21, Calculations!$AC$5:$AG$5, 0))</f>
        <v>0</v>
      </c>
      <c r="AD43" s="128">
        <f>INDEX(Calculations!$AC$5:$AG$51, MATCH('Rotation Assembler'!$A43, Calculations!$AC$5:$AC$51, 0), MATCH('Rotation Assembler'!AD$21, Calculations!$AC$5:$AG$5, 0))</f>
        <v>0</v>
      </c>
      <c r="AE43" s="128">
        <f>INDEX(Calculations!$AC$5:$AG$51, MATCH('Rotation Assembler'!$A43, Calculations!$AC$5:$AC$51, 0), MATCH('Rotation Assembler'!AE$21, Calculations!$AC$5:$AG$5, 0))</f>
        <v>0</v>
      </c>
      <c r="AF43" s="128">
        <f>INDEX(Calculations!$AC$5:$AG$51, MATCH('Rotation Assembler'!$A43, Calculations!$AC$5:$AC$51, 0), MATCH('Rotation Assembler'!AF$21, Calculations!$AC$5:$AG$5, 0))</f>
        <v>0</v>
      </c>
      <c r="AG43" s="128">
        <f>INDEX(Calculations!$AC$5:$AG$51, MATCH('Rotation Assembler'!$A43, Calculations!$AC$5:$AC$51, 0), MATCH('Rotation Assembler'!AG$21, Calculations!$AC$5:$AG$5, 0))</f>
        <v>0</v>
      </c>
      <c r="AH43" s="128">
        <f>INDEX(Calculations!$AC$5:$AG$51, MATCH('Rotation Assembler'!$A43, Calculations!$AC$5:$AC$51, 0), MATCH('Rotation Assembler'!AH$21, Calculations!$AC$5:$AG$5, 0))</f>
        <v>0</v>
      </c>
      <c r="AI43" s="128">
        <f>INDEX(Calculations!$AC$5:$AG$51, MATCH('Rotation Assembler'!$A43, Calculations!$AC$5:$AC$51, 0), MATCH('Rotation Assembler'!AI$21, Calculations!$AC$5:$AG$5, 0))</f>
        <v>0</v>
      </c>
      <c r="AJ43" s="128">
        <f>INDEX(Calculations!$AC$5:$AG$51, MATCH('Rotation Assembler'!$A43, Calculations!$AC$5:$AC$51, 0), MATCH('Rotation Assembler'!AJ$21, Calculations!$AC$5:$AG$5, 0))</f>
        <v>0</v>
      </c>
      <c r="AK43" s="128"/>
      <c r="AL43" s="128"/>
      <c r="AM43" s="128"/>
      <c r="AN43" s="128"/>
      <c r="AO43" s="128"/>
      <c r="AP43" s="128"/>
      <c r="AQ43" s="128"/>
      <c r="AR43" s="128"/>
      <c r="AS43" s="128"/>
      <c r="AT43" s="128"/>
      <c r="AU43" s="128"/>
      <c r="AV43" s="128"/>
      <c r="AW43" s="128"/>
      <c r="AX43" s="128"/>
      <c r="AY43" s="128"/>
      <c r="AZ43" s="128"/>
      <c r="BA43" s="128"/>
      <c r="BB43" s="128"/>
      <c r="BC43" s="128"/>
      <c r="BD43" s="128"/>
      <c r="BE43" s="128"/>
      <c r="BF43" s="128"/>
      <c r="BG43" s="128"/>
      <c r="BH43" s="128"/>
      <c r="BI43" s="128"/>
      <c r="BJ43" s="128"/>
      <c r="BK43" s="128"/>
      <c r="BL43" s="128"/>
      <c r="BM43" s="128"/>
      <c r="BN43" s="128"/>
      <c r="BO43" s="128"/>
      <c r="BP43" s="128"/>
      <c r="BQ43" s="128"/>
      <c r="BR43" s="128"/>
      <c r="BS43" s="128"/>
      <c r="BT43" s="128"/>
    </row>
    <row r="44" spans="1:72" hidden="1" outlineLevel="1" x14ac:dyDescent="0.25">
      <c r="A44" s="124" t="s">
        <v>81</v>
      </c>
      <c r="B44" s="128">
        <f ca="1">INDEX(Calculations!$AC$5:$AG$51, MATCH('Rotation Assembler'!$A44, Calculations!$AC$5:$AC$51, 0), MATCH('Rotation Assembler'!B$21, Calculations!$AC$5:$AG$5, 0))</f>
        <v>1.1123000000000001</v>
      </c>
      <c r="C44" s="128">
        <f ca="1">INDEX(Calculations!$AC$5:$AG$51, MATCH('Rotation Assembler'!$A44, Calculations!$AC$5:$AC$51, 0), MATCH('Rotation Assembler'!C$21, Calculations!$AC$5:$AG$5, 0))</f>
        <v>1.1123000000000001</v>
      </c>
      <c r="D44" s="128">
        <f ca="1">INDEX(Calculations!$AC$5:$AG$51, MATCH('Rotation Assembler'!$A44, Calculations!$AC$5:$AC$51, 0), MATCH('Rotation Assembler'!D$21, Calculations!$AC$5:$AG$5, 0))</f>
        <v>1.1123000000000001</v>
      </c>
      <c r="E44" s="128">
        <f ca="1">INDEX(Calculations!$AC$5:$AG$51, MATCH('Rotation Assembler'!$A44, Calculations!$AC$5:$AC$51, 0), MATCH('Rotation Assembler'!E$21, Calculations!$AC$5:$AG$5, 0))</f>
        <v>1.1123000000000001</v>
      </c>
      <c r="F44" s="128">
        <f>INDEX(Calculations!$AC$5:$AG$51, MATCH('Rotation Assembler'!$A44, Calculations!$AC$5:$AC$51, 0), MATCH('Rotation Assembler'!F$21, Calculations!$AC$5:$AG$5, 0))</f>
        <v>0.69704999999999995</v>
      </c>
      <c r="G44" s="128">
        <f>INDEX(Calculations!$AC$5:$AG$51, MATCH('Rotation Assembler'!$A44, Calculations!$AC$5:$AC$51, 0), MATCH('Rotation Assembler'!G$21, Calculations!$AC$5:$AG$5, 0))</f>
        <v>0.69704999999999995</v>
      </c>
      <c r="H44" s="128">
        <f>INDEX(Calculations!$AC$5:$AG$51, MATCH('Rotation Assembler'!$A44, Calculations!$AC$5:$AC$51, 0), MATCH('Rotation Assembler'!H$21, Calculations!$AC$5:$AG$5, 0))</f>
        <v>0.69704999999999995</v>
      </c>
      <c r="I44" s="128">
        <f>INDEX(Calculations!$AC$5:$AG$51, MATCH('Rotation Assembler'!$A44, Calculations!$AC$5:$AC$51, 0), MATCH('Rotation Assembler'!I$21, Calculations!$AC$5:$AG$5, 0))</f>
        <v>0.69704999999999995</v>
      </c>
      <c r="J44" s="128">
        <f>INDEX(Calculations!$AC$5:$AG$51, MATCH('Rotation Assembler'!$A44, Calculations!$AC$5:$AC$51, 0), MATCH('Rotation Assembler'!J$21, Calculations!$AC$5:$AG$5, 0))</f>
        <v>0.38</v>
      </c>
      <c r="K44" s="128">
        <f>INDEX(Calculations!$AC$5:$AG$51, MATCH('Rotation Assembler'!$A44, Calculations!$AC$5:$AC$51, 0), MATCH('Rotation Assembler'!K$21, Calculations!$AC$5:$AG$5, 0))</f>
        <v>0.38</v>
      </c>
      <c r="L44" s="128">
        <f>INDEX(Calculations!$AC$5:$AG$51, MATCH('Rotation Assembler'!$A44, Calculations!$AC$5:$AC$51, 0), MATCH('Rotation Assembler'!L$21, Calculations!$AC$5:$AG$5, 0))</f>
        <v>0.38</v>
      </c>
      <c r="M44" s="128">
        <f>INDEX(Calculations!$AC$5:$AG$51, MATCH('Rotation Assembler'!$A44, Calculations!$AC$5:$AC$51, 0), MATCH('Rotation Assembler'!M$21, Calculations!$AC$5:$AG$5, 0))</f>
        <v>0.56000000000000005</v>
      </c>
      <c r="N44" s="128">
        <f>INDEX(Calculations!$AC$5:$AG$51, MATCH('Rotation Assembler'!$A44, Calculations!$AC$5:$AC$51, 0), MATCH('Rotation Assembler'!N$21, Calculations!$AC$5:$AG$5, 0))</f>
        <v>0.56000000000000005</v>
      </c>
      <c r="O44" s="128">
        <f>INDEX(Calculations!$AC$5:$AG$51, MATCH('Rotation Assembler'!$A44, Calculations!$AC$5:$AC$51, 0), MATCH('Rotation Assembler'!O$21, Calculations!$AC$5:$AG$5, 0))</f>
        <v>0.56000000000000005</v>
      </c>
      <c r="P44" s="128">
        <f>INDEX(Calculations!$AC$5:$AG$51, MATCH('Rotation Assembler'!$A44, Calculations!$AC$5:$AC$51, 0), MATCH('Rotation Assembler'!P$21, Calculations!$AC$5:$AG$5, 0))</f>
        <v>0.56000000000000005</v>
      </c>
      <c r="Q44" s="128">
        <f>INDEX(Calculations!$AC$5:$AG$51, MATCH('Rotation Assembler'!$A44, Calculations!$AC$5:$AC$51, 0), MATCH('Rotation Assembler'!Q$21, Calculations!$AC$5:$AG$5, 0))</f>
        <v>0.56000000000000005</v>
      </c>
      <c r="R44" s="128">
        <f>INDEX(Calculations!$AC$5:$AG$51, MATCH('Rotation Assembler'!$A44, Calculations!$AC$5:$AC$51, 0), MATCH('Rotation Assembler'!R$21, Calculations!$AC$5:$AG$5, 0))</f>
        <v>0.56000000000000005</v>
      </c>
      <c r="S44" s="128">
        <f>INDEX(Calculations!$AC$5:$AG$51, MATCH('Rotation Assembler'!$A44, Calculations!$AC$5:$AC$51, 0), MATCH('Rotation Assembler'!S$21, Calculations!$AC$5:$AG$5, 0))</f>
        <v>0.56000000000000005</v>
      </c>
      <c r="T44" s="128">
        <f>INDEX(Calculations!$AC$5:$AG$51, MATCH('Rotation Assembler'!$A44, Calculations!$AC$5:$AC$51, 0), MATCH('Rotation Assembler'!T$21, Calculations!$AC$5:$AG$5, 0))</f>
        <v>0.56000000000000005</v>
      </c>
      <c r="U44" s="128">
        <f>INDEX(Calculations!$AC$5:$AG$51, MATCH('Rotation Assembler'!$A44, Calculations!$AC$5:$AC$51, 0), MATCH('Rotation Assembler'!U$21, Calculations!$AC$5:$AG$5, 0))</f>
        <v>0.56000000000000005</v>
      </c>
      <c r="V44" s="128">
        <f>INDEX(Calculations!$AC$5:$AG$51, MATCH('Rotation Assembler'!$A44, Calculations!$AC$5:$AC$51, 0), MATCH('Rotation Assembler'!V$21, Calculations!$AC$5:$AG$5, 0))</f>
        <v>0.56000000000000005</v>
      </c>
      <c r="W44" s="128">
        <f>INDEX(Calculations!$AC$5:$AG$51, MATCH('Rotation Assembler'!$A44, Calculations!$AC$5:$AC$51, 0), MATCH('Rotation Assembler'!W$21, Calculations!$AC$5:$AG$5, 0))</f>
        <v>0.56000000000000005</v>
      </c>
      <c r="X44" s="128">
        <f ca="1">INDEX(Calculations!$AC$5:$AG$51, MATCH('Rotation Assembler'!$A44, Calculations!$AC$5:$AC$51, 0), MATCH('Rotation Assembler'!X$21, Calculations!$AC$5:$AG$5, 0))</f>
        <v>1.1123000000000001</v>
      </c>
      <c r="Y44" s="128">
        <f ca="1">INDEX(Calculations!$AC$5:$AG$51, MATCH('Rotation Assembler'!$A44, Calculations!$AC$5:$AC$51, 0), MATCH('Rotation Assembler'!Y$21, Calculations!$AC$5:$AG$5, 0))</f>
        <v>1.1123000000000001</v>
      </c>
      <c r="Z44" s="128">
        <f ca="1">INDEX(Calculations!$AC$5:$AG$51, MATCH('Rotation Assembler'!$A44, Calculations!$AC$5:$AC$51, 0), MATCH('Rotation Assembler'!Z$21, Calculations!$AC$5:$AG$5, 0))</f>
        <v>1.1123000000000001</v>
      </c>
      <c r="AA44" s="128">
        <f ca="1">INDEX(Calculations!$AC$5:$AG$51, MATCH('Rotation Assembler'!$A44, Calculations!$AC$5:$AC$51, 0), MATCH('Rotation Assembler'!AA$21, Calculations!$AC$5:$AG$5, 0))</f>
        <v>1.1123000000000001</v>
      </c>
      <c r="AB44" s="128">
        <f ca="1">INDEX(Calculations!$AC$5:$AG$51, MATCH('Rotation Assembler'!$A44, Calculations!$AC$5:$AC$51, 0), MATCH('Rotation Assembler'!AB$21, Calculations!$AC$5:$AG$5, 0))</f>
        <v>1.1123000000000001</v>
      </c>
      <c r="AC44" s="128">
        <f ca="1">INDEX(Calculations!$AC$5:$AG$51, MATCH('Rotation Assembler'!$A44, Calculations!$AC$5:$AC$51, 0), MATCH('Rotation Assembler'!AC$21, Calculations!$AC$5:$AG$5, 0))</f>
        <v>1.1123000000000001</v>
      </c>
      <c r="AD44" s="128">
        <f ca="1">INDEX(Calculations!$AC$5:$AG$51, MATCH('Rotation Assembler'!$A44, Calculations!$AC$5:$AC$51, 0), MATCH('Rotation Assembler'!AD$21, Calculations!$AC$5:$AG$5, 0))</f>
        <v>1.1123000000000001</v>
      </c>
      <c r="AE44" s="128">
        <f ca="1">INDEX(Calculations!$AC$5:$AG$51, MATCH('Rotation Assembler'!$A44, Calculations!$AC$5:$AC$51, 0), MATCH('Rotation Assembler'!AE$21, Calculations!$AC$5:$AG$5, 0))</f>
        <v>1.1123000000000001</v>
      </c>
      <c r="AF44" s="128">
        <f ca="1">INDEX(Calculations!$AC$5:$AG$51, MATCH('Rotation Assembler'!$A44, Calculations!$AC$5:$AC$51, 0), MATCH('Rotation Assembler'!AF$21, Calculations!$AC$5:$AG$5, 0))</f>
        <v>1.1123000000000001</v>
      </c>
      <c r="AG44" s="128">
        <f>INDEX(Calculations!$AC$5:$AG$51, MATCH('Rotation Assembler'!$A44, Calculations!$AC$5:$AC$51, 0), MATCH('Rotation Assembler'!AG$21, Calculations!$AC$5:$AG$5, 0))</f>
        <v>0.56000000000000005</v>
      </c>
      <c r="AH44" s="128">
        <f>INDEX(Calculations!$AC$5:$AG$51, MATCH('Rotation Assembler'!$A44, Calculations!$AC$5:$AC$51, 0), MATCH('Rotation Assembler'!AH$21, Calculations!$AC$5:$AG$5, 0))</f>
        <v>0.56000000000000005</v>
      </c>
      <c r="AI44" s="128">
        <f>INDEX(Calculations!$AC$5:$AG$51, MATCH('Rotation Assembler'!$A44, Calculations!$AC$5:$AC$51, 0), MATCH('Rotation Assembler'!AI$21, Calculations!$AC$5:$AG$5, 0))</f>
        <v>0.38</v>
      </c>
      <c r="AJ44" s="128">
        <f>INDEX(Calculations!$AC$5:$AG$51, MATCH('Rotation Assembler'!$A44, Calculations!$AC$5:$AC$51, 0), MATCH('Rotation Assembler'!AJ$21, Calculations!$AC$5:$AG$5, 0))</f>
        <v>0.38</v>
      </c>
      <c r="AK44" s="128"/>
      <c r="AL44" s="128"/>
      <c r="AM44" s="128"/>
      <c r="AN44" s="128"/>
      <c r="AO44" s="128"/>
      <c r="AP44" s="128"/>
      <c r="AQ44" s="128"/>
      <c r="AR44" s="128"/>
      <c r="AS44" s="128"/>
      <c r="AT44" s="128"/>
      <c r="AU44" s="128"/>
      <c r="AV44" s="128"/>
      <c r="AW44" s="128"/>
      <c r="AX44" s="128"/>
      <c r="AY44" s="128"/>
      <c r="AZ44" s="128"/>
      <c r="BA44" s="128"/>
      <c r="BB44" s="128"/>
      <c r="BC44" s="128"/>
      <c r="BD44" s="128"/>
      <c r="BE44" s="128"/>
      <c r="BF44" s="128"/>
      <c r="BG44" s="128"/>
      <c r="BH44" s="128"/>
      <c r="BI44" s="128"/>
      <c r="BJ44" s="128"/>
      <c r="BK44" s="128"/>
      <c r="BL44" s="128"/>
      <c r="BM44" s="128"/>
      <c r="BN44" s="128"/>
      <c r="BO44" s="128"/>
      <c r="BP44" s="128"/>
      <c r="BQ44" s="128"/>
      <c r="BR44" s="128"/>
      <c r="BS44" s="128"/>
      <c r="BT44" s="128"/>
    </row>
    <row r="45" spans="1:72" hidden="1" outlineLevel="1" x14ac:dyDescent="0.25">
      <c r="A45" s="124" t="s">
        <v>83</v>
      </c>
      <c r="B45" s="128">
        <f>INDEX(Calculations!$AC$5:$AG$51, MATCH('Rotation Assembler'!$A45, Calculations!$AC$5:$AC$51, 0), MATCH('Rotation Assembler'!B$21, Calculations!$AC$5:$AG$5, 0))</f>
        <v>0</v>
      </c>
      <c r="C45" s="128">
        <f>INDEX(Calculations!$AC$5:$AG$51, MATCH('Rotation Assembler'!$A45, Calculations!$AC$5:$AC$51, 0), MATCH('Rotation Assembler'!C$21, Calculations!$AC$5:$AG$5, 0))</f>
        <v>0</v>
      </c>
      <c r="D45" s="128">
        <f>INDEX(Calculations!$AC$5:$AG$51, MATCH('Rotation Assembler'!$A45, Calculations!$AC$5:$AC$51, 0), MATCH('Rotation Assembler'!D$21, Calculations!$AC$5:$AG$5, 0))</f>
        <v>0</v>
      </c>
      <c r="E45" s="128">
        <f>INDEX(Calculations!$AC$5:$AG$51, MATCH('Rotation Assembler'!$A45, Calculations!$AC$5:$AC$51, 0), MATCH('Rotation Assembler'!E$21, Calculations!$AC$5:$AG$5, 0))</f>
        <v>0</v>
      </c>
      <c r="F45" s="128">
        <f>INDEX(Calculations!$AC$5:$AG$51, MATCH('Rotation Assembler'!$A45, Calculations!$AC$5:$AC$51, 0), MATCH('Rotation Assembler'!F$21, Calculations!$AC$5:$AG$5, 0))</f>
        <v>0</v>
      </c>
      <c r="G45" s="128">
        <f>INDEX(Calculations!$AC$5:$AG$51, MATCH('Rotation Assembler'!$A45, Calculations!$AC$5:$AC$51, 0), MATCH('Rotation Assembler'!G$21, Calculations!$AC$5:$AG$5, 0))</f>
        <v>0</v>
      </c>
      <c r="H45" s="128">
        <f>INDEX(Calculations!$AC$5:$AG$51, MATCH('Rotation Assembler'!$A45, Calculations!$AC$5:$AC$51, 0), MATCH('Rotation Assembler'!H$21, Calculations!$AC$5:$AG$5, 0))</f>
        <v>0</v>
      </c>
      <c r="I45" s="128">
        <f>INDEX(Calculations!$AC$5:$AG$51, MATCH('Rotation Assembler'!$A45, Calculations!$AC$5:$AC$51, 0), MATCH('Rotation Assembler'!I$21, Calculations!$AC$5:$AG$5, 0))</f>
        <v>0</v>
      </c>
      <c r="J45" s="128">
        <f>INDEX(Calculations!$AC$5:$AG$51, MATCH('Rotation Assembler'!$A45, Calculations!$AC$5:$AC$51, 0), MATCH('Rotation Assembler'!J$21, Calculations!$AC$5:$AG$5, 0))</f>
        <v>0</v>
      </c>
      <c r="K45" s="128">
        <f>INDEX(Calculations!$AC$5:$AG$51, MATCH('Rotation Assembler'!$A45, Calculations!$AC$5:$AC$51, 0), MATCH('Rotation Assembler'!K$21, Calculations!$AC$5:$AG$5, 0))</f>
        <v>0</v>
      </c>
      <c r="L45" s="128">
        <f>INDEX(Calculations!$AC$5:$AG$51, MATCH('Rotation Assembler'!$A45, Calculations!$AC$5:$AC$51, 0), MATCH('Rotation Assembler'!L$21, Calculations!$AC$5:$AG$5, 0))</f>
        <v>0</v>
      </c>
      <c r="M45" s="128">
        <f>INDEX(Calculations!$AC$5:$AG$51, MATCH('Rotation Assembler'!$A45, Calculations!$AC$5:$AC$51, 0), MATCH('Rotation Assembler'!M$21, Calculations!$AC$5:$AG$5, 0))</f>
        <v>0</v>
      </c>
      <c r="N45" s="128">
        <f>INDEX(Calculations!$AC$5:$AG$51, MATCH('Rotation Assembler'!$A45, Calculations!$AC$5:$AC$51, 0), MATCH('Rotation Assembler'!N$21, Calculations!$AC$5:$AG$5, 0))</f>
        <v>0</v>
      </c>
      <c r="O45" s="128">
        <f>INDEX(Calculations!$AC$5:$AG$51, MATCH('Rotation Assembler'!$A45, Calculations!$AC$5:$AC$51, 0), MATCH('Rotation Assembler'!O$21, Calculations!$AC$5:$AG$5, 0))</f>
        <v>0</v>
      </c>
      <c r="P45" s="128">
        <f>INDEX(Calculations!$AC$5:$AG$51, MATCH('Rotation Assembler'!$A45, Calculations!$AC$5:$AC$51, 0), MATCH('Rotation Assembler'!P$21, Calculations!$AC$5:$AG$5, 0))</f>
        <v>0</v>
      </c>
      <c r="Q45" s="128">
        <f>INDEX(Calculations!$AC$5:$AG$51, MATCH('Rotation Assembler'!$A45, Calculations!$AC$5:$AC$51, 0), MATCH('Rotation Assembler'!Q$21, Calculations!$AC$5:$AG$5, 0))</f>
        <v>0</v>
      </c>
      <c r="R45" s="128">
        <f>INDEX(Calculations!$AC$5:$AG$51, MATCH('Rotation Assembler'!$A45, Calculations!$AC$5:$AC$51, 0), MATCH('Rotation Assembler'!R$21, Calculations!$AC$5:$AG$5, 0))</f>
        <v>0</v>
      </c>
      <c r="S45" s="128">
        <f>INDEX(Calculations!$AC$5:$AG$51, MATCH('Rotation Assembler'!$A45, Calculations!$AC$5:$AC$51, 0), MATCH('Rotation Assembler'!S$21, Calculations!$AC$5:$AG$5, 0))</f>
        <v>0</v>
      </c>
      <c r="T45" s="128">
        <f>INDEX(Calculations!$AC$5:$AG$51, MATCH('Rotation Assembler'!$A45, Calculations!$AC$5:$AC$51, 0), MATCH('Rotation Assembler'!T$21, Calculations!$AC$5:$AG$5, 0))</f>
        <v>0</v>
      </c>
      <c r="U45" s="128">
        <f>INDEX(Calculations!$AC$5:$AG$51, MATCH('Rotation Assembler'!$A45, Calculations!$AC$5:$AC$51, 0), MATCH('Rotation Assembler'!U$21, Calculations!$AC$5:$AG$5, 0))</f>
        <v>0</v>
      </c>
      <c r="V45" s="128">
        <f>INDEX(Calculations!$AC$5:$AG$51, MATCH('Rotation Assembler'!$A45, Calculations!$AC$5:$AC$51, 0), MATCH('Rotation Assembler'!V$21, Calculations!$AC$5:$AG$5, 0))</f>
        <v>0</v>
      </c>
      <c r="W45" s="128">
        <f>INDEX(Calculations!$AC$5:$AG$51, MATCH('Rotation Assembler'!$A45, Calculations!$AC$5:$AC$51, 0), MATCH('Rotation Assembler'!W$21, Calculations!$AC$5:$AG$5, 0))</f>
        <v>0</v>
      </c>
      <c r="X45" s="128">
        <f>INDEX(Calculations!$AC$5:$AG$51, MATCH('Rotation Assembler'!$A45, Calculations!$AC$5:$AC$51, 0), MATCH('Rotation Assembler'!X$21, Calculations!$AC$5:$AG$5, 0))</f>
        <v>0</v>
      </c>
      <c r="Y45" s="128">
        <f>INDEX(Calculations!$AC$5:$AG$51, MATCH('Rotation Assembler'!$A45, Calculations!$AC$5:$AC$51, 0), MATCH('Rotation Assembler'!Y$21, Calculations!$AC$5:$AG$5, 0))</f>
        <v>0</v>
      </c>
      <c r="Z45" s="128">
        <f>INDEX(Calculations!$AC$5:$AG$51, MATCH('Rotation Assembler'!$A45, Calculations!$AC$5:$AC$51, 0), MATCH('Rotation Assembler'!Z$21, Calculations!$AC$5:$AG$5, 0))</f>
        <v>0</v>
      </c>
      <c r="AA45" s="128">
        <f>INDEX(Calculations!$AC$5:$AG$51, MATCH('Rotation Assembler'!$A45, Calculations!$AC$5:$AC$51, 0), MATCH('Rotation Assembler'!AA$21, Calculations!$AC$5:$AG$5, 0))</f>
        <v>0</v>
      </c>
      <c r="AB45" s="128">
        <f>INDEX(Calculations!$AC$5:$AG$51, MATCH('Rotation Assembler'!$A45, Calculations!$AC$5:$AC$51, 0), MATCH('Rotation Assembler'!AB$21, Calculations!$AC$5:$AG$5, 0))</f>
        <v>0</v>
      </c>
      <c r="AC45" s="128">
        <f>INDEX(Calculations!$AC$5:$AG$51, MATCH('Rotation Assembler'!$A45, Calculations!$AC$5:$AC$51, 0), MATCH('Rotation Assembler'!AC$21, Calculations!$AC$5:$AG$5, 0))</f>
        <v>0</v>
      </c>
      <c r="AD45" s="128">
        <f>INDEX(Calculations!$AC$5:$AG$51, MATCH('Rotation Assembler'!$A45, Calculations!$AC$5:$AC$51, 0), MATCH('Rotation Assembler'!AD$21, Calculations!$AC$5:$AG$5, 0))</f>
        <v>0</v>
      </c>
      <c r="AE45" s="128">
        <f>INDEX(Calculations!$AC$5:$AG$51, MATCH('Rotation Assembler'!$A45, Calculations!$AC$5:$AC$51, 0), MATCH('Rotation Assembler'!AE$21, Calculations!$AC$5:$AG$5, 0))</f>
        <v>0</v>
      </c>
      <c r="AF45" s="128">
        <f>INDEX(Calculations!$AC$5:$AG$51, MATCH('Rotation Assembler'!$A45, Calculations!$AC$5:$AC$51, 0), MATCH('Rotation Assembler'!AF$21, Calculations!$AC$5:$AG$5, 0))</f>
        <v>0</v>
      </c>
      <c r="AG45" s="128">
        <f>INDEX(Calculations!$AC$5:$AG$51, MATCH('Rotation Assembler'!$A45, Calculations!$AC$5:$AC$51, 0), MATCH('Rotation Assembler'!AG$21, Calculations!$AC$5:$AG$5, 0))</f>
        <v>0</v>
      </c>
      <c r="AH45" s="128">
        <f>INDEX(Calculations!$AC$5:$AG$51, MATCH('Rotation Assembler'!$A45, Calculations!$AC$5:$AC$51, 0), MATCH('Rotation Assembler'!AH$21, Calculations!$AC$5:$AG$5, 0))</f>
        <v>0</v>
      </c>
      <c r="AI45" s="128">
        <f>INDEX(Calculations!$AC$5:$AG$51, MATCH('Rotation Assembler'!$A45, Calculations!$AC$5:$AC$51, 0), MATCH('Rotation Assembler'!AI$21, Calculations!$AC$5:$AG$5, 0))</f>
        <v>0</v>
      </c>
      <c r="AJ45" s="128">
        <f>INDEX(Calculations!$AC$5:$AG$51, MATCH('Rotation Assembler'!$A45, Calculations!$AC$5:$AC$51, 0), MATCH('Rotation Assembler'!AJ$21, Calculations!$AC$5:$AG$5, 0))</f>
        <v>0</v>
      </c>
      <c r="AK45" s="128"/>
      <c r="AL45" s="128"/>
      <c r="AM45" s="128"/>
      <c r="AN45" s="128"/>
      <c r="AO45" s="128"/>
      <c r="AP45" s="128"/>
      <c r="AQ45" s="128"/>
      <c r="AR45" s="128"/>
      <c r="AS45" s="128"/>
      <c r="AT45" s="128"/>
      <c r="AU45" s="128"/>
      <c r="AV45" s="128"/>
      <c r="AW45" s="128"/>
      <c r="AX45" s="128"/>
      <c r="AY45" s="128"/>
      <c r="AZ45" s="128"/>
      <c r="BA45" s="128"/>
      <c r="BB45" s="128"/>
      <c r="BC45" s="128"/>
      <c r="BD45" s="128"/>
      <c r="BE45" s="128"/>
      <c r="BF45" s="128"/>
      <c r="BG45" s="128"/>
      <c r="BH45" s="128"/>
      <c r="BI45" s="128"/>
      <c r="BJ45" s="128"/>
      <c r="BK45" s="128"/>
      <c r="BL45" s="128"/>
      <c r="BM45" s="128"/>
      <c r="BN45" s="128"/>
      <c r="BO45" s="128"/>
      <c r="BP45" s="128"/>
      <c r="BQ45" s="128"/>
      <c r="BR45" s="128"/>
      <c r="BS45" s="128"/>
      <c r="BT45" s="128"/>
    </row>
    <row r="46" spans="1:72" hidden="1" outlineLevel="1" x14ac:dyDescent="0.25">
      <c r="A46" s="124" t="s">
        <v>84</v>
      </c>
      <c r="B46" s="128">
        <f>INDEX(Calculations!$AC$5:$AG$51, MATCH('Rotation Assembler'!$A46, Calculations!$AC$5:$AC$51, 0), MATCH('Rotation Assembler'!B$21, Calculations!$AC$5:$AG$5, 0))</f>
        <v>0</v>
      </c>
      <c r="C46" s="128">
        <f>INDEX(Calculations!$AC$5:$AG$51, MATCH('Rotation Assembler'!$A46, Calculations!$AC$5:$AC$51, 0), MATCH('Rotation Assembler'!C$21, Calculations!$AC$5:$AG$5, 0))</f>
        <v>0</v>
      </c>
      <c r="D46" s="128">
        <f>INDEX(Calculations!$AC$5:$AG$51, MATCH('Rotation Assembler'!$A46, Calculations!$AC$5:$AC$51, 0), MATCH('Rotation Assembler'!D$21, Calculations!$AC$5:$AG$5, 0))</f>
        <v>0</v>
      </c>
      <c r="E46" s="128">
        <f>INDEX(Calculations!$AC$5:$AG$51, MATCH('Rotation Assembler'!$A46, Calculations!$AC$5:$AC$51, 0), MATCH('Rotation Assembler'!E$21, Calculations!$AC$5:$AG$5, 0))</f>
        <v>0</v>
      </c>
      <c r="F46" s="128">
        <f>INDEX(Calculations!$AC$5:$AG$51, MATCH('Rotation Assembler'!$A46, Calculations!$AC$5:$AC$51, 0), MATCH('Rotation Assembler'!F$21, Calculations!$AC$5:$AG$5, 0))</f>
        <v>0</v>
      </c>
      <c r="G46" s="128">
        <f>INDEX(Calculations!$AC$5:$AG$51, MATCH('Rotation Assembler'!$A46, Calculations!$AC$5:$AC$51, 0), MATCH('Rotation Assembler'!G$21, Calculations!$AC$5:$AG$5, 0))</f>
        <v>0</v>
      </c>
      <c r="H46" s="128">
        <f>INDEX(Calculations!$AC$5:$AG$51, MATCH('Rotation Assembler'!$A46, Calculations!$AC$5:$AC$51, 0), MATCH('Rotation Assembler'!H$21, Calculations!$AC$5:$AG$5, 0))</f>
        <v>0</v>
      </c>
      <c r="I46" s="128">
        <f>INDEX(Calculations!$AC$5:$AG$51, MATCH('Rotation Assembler'!$A46, Calculations!$AC$5:$AC$51, 0), MATCH('Rotation Assembler'!I$21, Calculations!$AC$5:$AG$5, 0))</f>
        <v>0</v>
      </c>
      <c r="J46" s="128">
        <f>INDEX(Calculations!$AC$5:$AG$51, MATCH('Rotation Assembler'!$A46, Calculations!$AC$5:$AC$51, 0), MATCH('Rotation Assembler'!J$21, Calculations!$AC$5:$AG$5, 0))</f>
        <v>0</v>
      </c>
      <c r="K46" s="128">
        <f>INDEX(Calculations!$AC$5:$AG$51, MATCH('Rotation Assembler'!$A46, Calculations!$AC$5:$AC$51, 0), MATCH('Rotation Assembler'!K$21, Calculations!$AC$5:$AG$5, 0))</f>
        <v>0</v>
      </c>
      <c r="L46" s="128">
        <f>INDEX(Calculations!$AC$5:$AG$51, MATCH('Rotation Assembler'!$A46, Calculations!$AC$5:$AC$51, 0), MATCH('Rotation Assembler'!L$21, Calculations!$AC$5:$AG$5, 0))</f>
        <v>0</v>
      </c>
      <c r="M46" s="128">
        <f>INDEX(Calculations!$AC$5:$AG$51, MATCH('Rotation Assembler'!$A46, Calculations!$AC$5:$AC$51, 0), MATCH('Rotation Assembler'!M$21, Calculations!$AC$5:$AG$5, 0))</f>
        <v>0.4</v>
      </c>
      <c r="N46" s="128">
        <f>INDEX(Calculations!$AC$5:$AG$51, MATCH('Rotation Assembler'!$A46, Calculations!$AC$5:$AC$51, 0), MATCH('Rotation Assembler'!N$21, Calculations!$AC$5:$AG$5, 0))</f>
        <v>0.4</v>
      </c>
      <c r="O46" s="128">
        <f>INDEX(Calculations!$AC$5:$AG$51, MATCH('Rotation Assembler'!$A46, Calculations!$AC$5:$AC$51, 0), MATCH('Rotation Assembler'!O$21, Calculations!$AC$5:$AG$5, 0))</f>
        <v>0.4</v>
      </c>
      <c r="P46" s="128">
        <f>INDEX(Calculations!$AC$5:$AG$51, MATCH('Rotation Assembler'!$A46, Calculations!$AC$5:$AC$51, 0), MATCH('Rotation Assembler'!P$21, Calculations!$AC$5:$AG$5, 0))</f>
        <v>0.4</v>
      </c>
      <c r="Q46" s="128">
        <f>INDEX(Calculations!$AC$5:$AG$51, MATCH('Rotation Assembler'!$A46, Calculations!$AC$5:$AC$51, 0), MATCH('Rotation Assembler'!Q$21, Calculations!$AC$5:$AG$5, 0))</f>
        <v>0.4</v>
      </c>
      <c r="R46" s="128">
        <f>INDEX(Calculations!$AC$5:$AG$51, MATCH('Rotation Assembler'!$A46, Calculations!$AC$5:$AC$51, 0), MATCH('Rotation Assembler'!R$21, Calculations!$AC$5:$AG$5, 0))</f>
        <v>0.4</v>
      </c>
      <c r="S46" s="128">
        <f>INDEX(Calculations!$AC$5:$AG$51, MATCH('Rotation Assembler'!$A46, Calculations!$AC$5:$AC$51, 0), MATCH('Rotation Assembler'!S$21, Calculations!$AC$5:$AG$5, 0))</f>
        <v>0.4</v>
      </c>
      <c r="T46" s="128">
        <f>INDEX(Calculations!$AC$5:$AG$51, MATCH('Rotation Assembler'!$A46, Calculations!$AC$5:$AC$51, 0), MATCH('Rotation Assembler'!T$21, Calculations!$AC$5:$AG$5, 0))</f>
        <v>0.4</v>
      </c>
      <c r="U46" s="128">
        <f>INDEX(Calculations!$AC$5:$AG$51, MATCH('Rotation Assembler'!$A46, Calculations!$AC$5:$AC$51, 0), MATCH('Rotation Assembler'!U$21, Calculations!$AC$5:$AG$5, 0))</f>
        <v>0.4</v>
      </c>
      <c r="V46" s="128">
        <f>INDEX(Calculations!$AC$5:$AG$51, MATCH('Rotation Assembler'!$A46, Calculations!$AC$5:$AC$51, 0), MATCH('Rotation Assembler'!V$21, Calculations!$AC$5:$AG$5, 0))</f>
        <v>0.4</v>
      </c>
      <c r="W46" s="128">
        <f>INDEX(Calculations!$AC$5:$AG$51, MATCH('Rotation Assembler'!$A46, Calculations!$AC$5:$AC$51, 0), MATCH('Rotation Assembler'!W$21, Calculations!$AC$5:$AG$5, 0))</f>
        <v>0.4</v>
      </c>
      <c r="X46" s="128">
        <f>INDEX(Calculations!$AC$5:$AG$51, MATCH('Rotation Assembler'!$A46, Calculations!$AC$5:$AC$51, 0), MATCH('Rotation Assembler'!X$21, Calculations!$AC$5:$AG$5, 0))</f>
        <v>0</v>
      </c>
      <c r="Y46" s="128">
        <f>INDEX(Calculations!$AC$5:$AG$51, MATCH('Rotation Assembler'!$A46, Calculations!$AC$5:$AC$51, 0), MATCH('Rotation Assembler'!Y$21, Calculations!$AC$5:$AG$5, 0))</f>
        <v>0</v>
      </c>
      <c r="Z46" s="128">
        <f>INDEX(Calculations!$AC$5:$AG$51, MATCH('Rotation Assembler'!$A46, Calculations!$AC$5:$AC$51, 0), MATCH('Rotation Assembler'!Z$21, Calculations!$AC$5:$AG$5, 0))</f>
        <v>0</v>
      </c>
      <c r="AA46" s="128">
        <f>INDEX(Calculations!$AC$5:$AG$51, MATCH('Rotation Assembler'!$A46, Calculations!$AC$5:$AC$51, 0), MATCH('Rotation Assembler'!AA$21, Calculations!$AC$5:$AG$5, 0))</f>
        <v>0</v>
      </c>
      <c r="AB46" s="128">
        <f>INDEX(Calculations!$AC$5:$AG$51, MATCH('Rotation Assembler'!$A46, Calculations!$AC$5:$AC$51, 0), MATCH('Rotation Assembler'!AB$21, Calculations!$AC$5:$AG$5, 0))</f>
        <v>0</v>
      </c>
      <c r="AC46" s="128">
        <f>INDEX(Calculations!$AC$5:$AG$51, MATCH('Rotation Assembler'!$A46, Calculations!$AC$5:$AC$51, 0), MATCH('Rotation Assembler'!AC$21, Calculations!$AC$5:$AG$5, 0))</f>
        <v>0</v>
      </c>
      <c r="AD46" s="128">
        <f>INDEX(Calculations!$AC$5:$AG$51, MATCH('Rotation Assembler'!$A46, Calculations!$AC$5:$AC$51, 0), MATCH('Rotation Assembler'!AD$21, Calculations!$AC$5:$AG$5, 0))</f>
        <v>0</v>
      </c>
      <c r="AE46" s="128">
        <f>INDEX(Calculations!$AC$5:$AG$51, MATCH('Rotation Assembler'!$A46, Calculations!$AC$5:$AC$51, 0), MATCH('Rotation Assembler'!AE$21, Calculations!$AC$5:$AG$5, 0))</f>
        <v>0</v>
      </c>
      <c r="AF46" s="128">
        <f>INDEX(Calculations!$AC$5:$AG$51, MATCH('Rotation Assembler'!$A46, Calculations!$AC$5:$AC$51, 0), MATCH('Rotation Assembler'!AF$21, Calculations!$AC$5:$AG$5, 0))</f>
        <v>0</v>
      </c>
      <c r="AG46" s="128">
        <f>INDEX(Calculations!$AC$5:$AG$51, MATCH('Rotation Assembler'!$A46, Calculations!$AC$5:$AC$51, 0), MATCH('Rotation Assembler'!AG$21, Calculations!$AC$5:$AG$5, 0))</f>
        <v>0.4</v>
      </c>
      <c r="AH46" s="128">
        <f>INDEX(Calculations!$AC$5:$AG$51, MATCH('Rotation Assembler'!$A46, Calculations!$AC$5:$AC$51, 0), MATCH('Rotation Assembler'!AH$21, Calculations!$AC$5:$AG$5, 0))</f>
        <v>0.4</v>
      </c>
      <c r="AI46" s="128">
        <f>INDEX(Calculations!$AC$5:$AG$51, MATCH('Rotation Assembler'!$A46, Calculations!$AC$5:$AC$51, 0), MATCH('Rotation Assembler'!AI$21, Calculations!$AC$5:$AG$5, 0))</f>
        <v>0</v>
      </c>
      <c r="AJ46" s="128">
        <f>INDEX(Calculations!$AC$5:$AG$51, MATCH('Rotation Assembler'!$A46, Calculations!$AC$5:$AC$51, 0), MATCH('Rotation Assembler'!AJ$21, Calculations!$AC$5:$AG$5, 0))</f>
        <v>0</v>
      </c>
      <c r="AK46" s="128"/>
      <c r="AL46" s="128"/>
      <c r="AM46" s="128"/>
      <c r="AN46" s="128"/>
      <c r="AO46" s="128"/>
      <c r="AP46" s="128"/>
      <c r="AQ46" s="128"/>
      <c r="AR46" s="128"/>
      <c r="AS46" s="128"/>
      <c r="AT46" s="128"/>
      <c r="AU46" s="128"/>
      <c r="AV46" s="128"/>
      <c r="AW46" s="128"/>
      <c r="AX46" s="128"/>
      <c r="AY46" s="128"/>
      <c r="AZ46" s="128"/>
      <c r="BA46" s="128"/>
      <c r="BB46" s="128"/>
      <c r="BC46" s="128"/>
      <c r="BD46" s="128"/>
      <c r="BE46" s="128"/>
      <c r="BF46" s="128"/>
      <c r="BG46" s="128"/>
      <c r="BH46" s="128"/>
      <c r="BI46" s="128"/>
      <c r="BJ46" s="128"/>
      <c r="BK46" s="128"/>
      <c r="BL46" s="128"/>
      <c r="BM46" s="128"/>
      <c r="BN46" s="128"/>
      <c r="BO46" s="128"/>
      <c r="BP46" s="128"/>
      <c r="BQ46" s="128"/>
      <c r="BR46" s="128"/>
      <c r="BS46" s="128"/>
      <c r="BT46" s="128"/>
    </row>
    <row r="47" spans="1:72" hidden="1" outlineLevel="1" x14ac:dyDescent="0.25">
      <c r="A47" s="124" t="s">
        <v>85</v>
      </c>
      <c r="B47" s="128">
        <f>INDEX(Calculations!$AC$5:$AG$51, MATCH('Rotation Assembler'!$A47, Calculations!$AC$5:$AC$51, 0), MATCH('Rotation Assembler'!B$21, Calculations!$AC$5:$AG$5, 0))</f>
        <v>0</v>
      </c>
      <c r="C47" s="128">
        <f>INDEX(Calculations!$AC$5:$AG$51, MATCH('Rotation Assembler'!$A47, Calculations!$AC$5:$AC$51, 0), MATCH('Rotation Assembler'!C$21, Calculations!$AC$5:$AG$5, 0))</f>
        <v>0</v>
      </c>
      <c r="D47" s="128">
        <f>INDEX(Calculations!$AC$5:$AG$51, MATCH('Rotation Assembler'!$A47, Calculations!$AC$5:$AC$51, 0), MATCH('Rotation Assembler'!D$21, Calculations!$AC$5:$AG$5, 0))</f>
        <v>0</v>
      </c>
      <c r="E47" s="128">
        <f>INDEX(Calculations!$AC$5:$AG$51, MATCH('Rotation Assembler'!$A47, Calculations!$AC$5:$AC$51, 0), MATCH('Rotation Assembler'!E$21, Calculations!$AC$5:$AG$5, 0))</f>
        <v>0</v>
      </c>
      <c r="F47" s="128">
        <f>INDEX(Calculations!$AC$5:$AG$51, MATCH('Rotation Assembler'!$A47, Calculations!$AC$5:$AC$51, 0), MATCH('Rotation Assembler'!F$21, Calculations!$AC$5:$AG$5, 0))</f>
        <v>0</v>
      </c>
      <c r="G47" s="128">
        <f>INDEX(Calculations!$AC$5:$AG$51, MATCH('Rotation Assembler'!$A47, Calculations!$AC$5:$AC$51, 0), MATCH('Rotation Assembler'!G$21, Calculations!$AC$5:$AG$5, 0))</f>
        <v>0</v>
      </c>
      <c r="H47" s="128">
        <f>INDEX(Calculations!$AC$5:$AG$51, MATCH('Rotation Assembler'!$A47, Calculations!$AC$5:$AC$51, 0), MATCH('Rotation Assembler'!H$21, Calculations!$AC$5:$AG$5, 0))</f>
        <v>0</v>
      </c>
      <c r="I47" s="128">
        <f>INDEX(Calculations!$AC$5:$AG$51, MATCH('Rotation Assembler'!$A47, Calculations!$AC$5:$AC$51, 0), MATCH('Rotation Assembler'!I$21, Calculations!$AC$5:$AG$5, 0))</f>
        <v>0</v>
      </c>
      <c r="J47" s="128">
        <f>INDEX(Calculations!$AC$5:$AG$51, MATCH('Rotation Assembler'!$A47, Calculations!$AC$5:$AC$51, 0), MATCH('Rotation Assembler'!J$21, Calculations!$AC$5:$AG$5, 0))</f>
        <v>0</v>
      </c>
      <c r="K47" s="128">
        <f>INDEX(Calculations!$AC$5:$AG$51, MATCH('Rotation Assembler'!$A47, Calculations!$AC$5:$AC$51, 0), MATCH('Rotation Assembler'!K$21, Calculations!$AC$5:$AG$5, 0))</f>
        <v>0</v>
      </c>
      <c r="L47" s="128">
        <f>INDEX(Calculations!$AC$5:$AG$51, MATCH('Rotation Assembler'!$A47, Calculations!$AC$5:$AC$51, 0), MATCH('Rotation Assembler'!L$21, Calculations!$AC$5:$AG$5, 0))</f>
        <v>0</v>
      </c>
      <c r="M47" s="128">
        <f>INDEX(Calculations!$AC$5:$AG$51, MATCH('Rotation Assembler'!$A47, Calculations!$AC$5:$AC$51, 0), MATCH('Rotation Assembler'!M$21, Calculations!$AC$5:$AG$5, 0))</f>
        <v>0</v>
      </c>
      <c r="N47" s="128">
        <f>INDEX(Calculations!$AC$5:$AG$51, MATCH('Rotation Assembler'!$A47, Calculations!$AC$5:$AC$51, 0), MATCH('Rotation Assembler'!N$21, Calculations!$AC$5:$AG$5, 0))</f>
        <v>0</v>
      </c>
      <c r="O47" s="128">
        <f>INDEX(Calculations!$AC$5:$AG$51, MATCH('Rotation Assembler'!$A47, Calculations!$AC$5:$AC$51, 0), MATCH('Rotation Assembler'!O$21, Calculations!$AC$5:$AG$5, 0))</f>
        <v>0</v>
      </c>
      <c r="P47" s="128">
        <f>INDEX(Calculations!$AC$5:$AG$51, MATCH('Rotation Assembler'!$A47, Calculations!$AC$5:$AC$51, 0), MATCH('Rotation Assembler'!P$21, Calculations!$AC$5:$AG$5, 0))</f>
        <v>0</v>
      </c>
      <c r="Q47" s="128">
        <f>INDEX(Calculations!$AC$5:$AG$51, MATCH('Rotation Assembler'!$A47, Calculations!$AC$5:$AC$51, 0), MATCH('Rotation Assembler'!Q$21, Calculations!$AC$5:$AG$5, 0))</f>
        <v>0</v>
      </c>
      <c r="R47" s="128">
        <f>INDEX(Calculations!$AC$5:$AG$51, MATCH('Rotation Assembler'!$A47, Calculations!$AC$5:$AC$51, 0), MATCH('Rotation Assembler'!R$21, Calculations!$AC$5:$AG$5, 0))</f>
        <v>0</v>
      </c>
      <c r="S47" s="128">
        <f>INDEX(Calculations!$AC$5:$AG$51, MATCH('Rotation Assembler'!$A47, Calculations!$AC$5:$AC$51, 0), MATCH('Rotation Assembler'!S$21, Calculations!$AC$5:$AG$5, 0))</f>
        <v>0</v>
      </c>
      <c r="T47" s="128">
        <f>INDEX(Calculations!$AC$5:$AG$51, MATCH('Rotation Assembler'!$A47, Calculations!$AC$5:$AC$51, 0), MATCH('Rotation Assembler'!T$21, Calculations!$AC$5:$AG$5, 0))</f>
        <v>0</v>
      </c>
      <c r="U47" s="128">
        <f>INDEX(Calculations!$AC$5:$AG$51, MATCH('Rotation Assembler'!$A47, Calculations!$AC$5:$AC$51, 0), MATCH('Rotation Assembler'!U$21, Calculations!$AC$5:$AG$5, 0))</f>
        <v>0</v>
      </c>
      <c r="V47" s="128">
        <f>INDEX(Calculations!$AC$5:$AG$51, MATCH('Rotation Assembler'!$A47, Calculations!$AC$5:$AC$51, 0), MATCH('Rotation Assembler'!V$21, Calculations!$AC$5:$AG$5, 0))</f>
        <v>0</v>
      </c>
      <c r="W47" s="128">
        <f>INDEX(Calculations!$AC$5:$AG$51, MATCH('Rotation Assembler'!$A47, Calculations!$AC$5:$AC$51, 0), MATCH('Rotation Assembler'!W$21, Calculations!$AC$5:$AG$5, 0))</f>
        <v>0</v>
      </c>
      <c r="X47" s="128">
        <f>INDEX(Calculations!$AC$5:$AG$51, MATCH('Rotation Assembler'!$A47, Calculations!$AC$5:$AC$51, 0), MATCH('Rotation Assembler'!X$21, Calculations!$AC$5:$AG$5, 0))</f>
        <v>0</v>
      </c>
      <c r="Y47" s="128">
        <f>INDEX(Calculations!$AC$5:$AG$51, MATCH('Rotation Assembler'!$A47, Calculations!$AC$5:$AC$51, 0), MATCH('Rotation Assembler'!Y$21, Calculations!$AC$5:$AG$5, 0))</f>
        <v>0</v>
      </c>
      <c r="Z47" s="128">
        <f>INDEX(Calculations!$AC$5:$AG$51, MATCH('Rotation Assembler'!$A47, Calculations!$AC$5:$AC$51, 0), MATCH('Rotation Assembler'!Z$21, Calculations!$AC$5:$AG$5, 0))</f>
        <v>0</v>
      </c>
      <c r="AA47" s="128">
        <f>INDEX(Calculations!$AC$5:$AG$51, MATCH('Rotation Assembler'!$A47, Calculations!$AC$5:$AC$51, 0), MATCH('Rotation Assembler'!AA$21, Calculations!$AC$5:$AG$5, 0))</f>
        <v>0</v>
      </c>
      <c r="AB47" s="128">
        <f>INDEX(Calculations!$AC$5:$AG$51, MATCH('Rotation Assembler'!$A47, Calculations!$AC$5:$AC$51, 0), MATCH('Rotation Assembler'!AB$21, Calculations!$AC$5:$AG$5, 0))</f>
        <v>0</v>
      </c>
      <c r="AC47" s="128">
        <f>INDEX(Calculations!$AC$5:$AG$51, MATCH('Rotation Assembler'!$A47, Calculations!$AC$5:$AC$51, 0), MATCH('Rotation Assembler'!AC$21, Calculations!$AC$5:$AG$5, 0))</f>
        <v>0</v>
      </c>
      <c r="AD47" s="128">
        <f>INDEX(Calculations!$AC$5:$AG$51, MATCH('Rotation Assembler'!$A47, Calculations!$AC$5:$AC$51, 0), MATCH('Rotation Assembler'!AD$21, Calculations!$AC$5:$AG$5, 0))</f>
        <v>0</v>
      </c>
      <c r="AE47" s="128">
        <f>INDEX(Calculations!$AC$5:$AG$51, MATCH('Rotation Assembler'!$A47, Calculations!$AC$5:$AC$51, 0), MATCH('Rotation Assembler'!AE$21, Calculations!$AC$5:$AG$5, 0))</f>
        <v>0</v>
      </c>
      <c r="AF47" s="128">
        <f>INDEX(Calculations!$AC$5:$AG$51, MATCH('Rotation Assembler'!$A47, Calculations!$AC$5:$AC$51, 0), MATCH('Rotation Assembler'!AF$21, Calculations!$AC$5:$AG$5, 0))</f>
        <v>0</v>
      </c>
      <c r="AG47" s="128">
        <f>INDEX(Calculations!$AC$5:$AG$51, MATCH('Rotation Assembler'!$A47, Calculations!$AC$5:$AC$51, 0), MATCH('Rotation Assembler'!AG$21, Calculations!$AC$5:$AG$5, 0))</f>
        <v>0</v>
      </c>
      <c r="AH47" s="128">
        <f>INDEX(Calculations!$AC$5:$AG$51, MATCH('Rotation Assembler'!$A47, Calculations!$AC$5:$AC$51, 0), MATCH('Rotation Assembler'!AH$21, Calculations!$AC$5:$AG$5, 0))</f>
        <v>0</v>
      </c>
      <c r="AI47" s="128">
        <f>INDEX(Calculations!$AC$5:$AG$51, MATCH('Rotation Assembler'!$A47, Calculations!$AC$5:$AC$51, 0), MATCH('Rotation Assembler'!AI$21, Calculations!$AC$5:$AG$5, 0))</f>
        <v>0</v>
      </c>
      <c r="AJ47" s="128">
        <f>INDEX(Calculations!$AC$5:$AG$51, MATCH('Rotation Assembler'!$A47, Calculations!$AC$5:$AC$51, 0), MATCH('Rotation Assembler'!AJ$21, Calculations!$AC$5:$AG$5, 0))</f>
        <v>0</v>
      </c>
      <c r="AK47" s="128"/>
      <c r="AL47" s="128"/>
      <c r="AM47" s="128"/>
      <c r="AN47" s="128"/>
      <c r="AO47" s="128"/>
      <c r="AP47" s="128"/>
      <c r="AQ47" s="128"/>
      <c r="AR47" s="128"/>
      <c r="AS47" s="128"/>
      <c r="AT47" s="128"/>
      <c r="AU47" s="128"/>
      <c r="AV47" s="128"/>
      <c r="AW47" s="128"/>
      <c r="AX47" s="128"/>
      <c r="AY47" s="128"/>
      <c r="AZ47" s="128"/>
      <c r="BA47" s="128"/>
      <c r="BB47" s="128"/>
      <c r="BC47" s="128"/>
      <c r="BD47" s="128"/>
      <c r="BE47" s="128"/>
      <c r="BF47" s="128"/>
      <c r="BG47" s="128"/>
      <c r="BH47" s="128"/>
      <c r="BI47" s="128"/>
      <c r="BJ47" s="128"/>
      <c r="BK47" s="128"/>
      <c r="BL47" s="128"/>
      <c r="BM47" s="128"/>
      <c r="BN47" s="128"/>
      <c r="BO47" s="128"/>
      <c r="BP47" s="128"/>
      <c r="BQ47" s="128"/>
      <c r="BR47" s="128"/>
      <c r="BS47" s="128"/>
      <c r="BT47" s="128"/>
    </row>
    <row r="48" spans="1:72" hidden="1" outlineLevel="1" x14ac:dyDescent="0.25">
      <c r="A48" s="124" t="s">
        <v>86</v>
      </c>
      <c r="B48" s="128">
        <f>INDEX(Calculations!$AC$5:$AG$51, MATCH('Rotation Assembler'!$A48, Calculations!$AC$5:$AC$51, 0), MATCH('Rotation Assembler'!B$21, Calculations!$AC$5:$AG$5, 0))</f>
        <v>0</v>
      </c>
      <c r="C48" s="128">
        <f>INDEX(Calculations!$AC$5:$AG$51, MATCH('Rotation Assembler'!$A48, Calculations!$AC$5:$AC$51, 0), MATCH('Rotation Assembler'!C$21, Calculations!$AC$5:$AG$5, 0))</f>
        <v>0</v>
      </c>
      <c r="D48" s="128">
        <f>INDEX(Calculations!$AC$5:$AG$51, MATCH('Rotation Assembler'!$A48, Calculations!$AC$5:$AC$51, 0), MATCH('Rotation Assembler'!D$21, Calculations!$AC$5:$AG$5, 0))</f>
        <v>0</v>
      </c>
      <c r="E48" s="128">
        <f>INDEX(Calculations!$AC$5:$AG$51, MATCH('Rotation Assembler'!$A48, Calculations!$AC$5:$AC$51, 0), MATCH('Rotation Assembler'!E$21, Calculations!$AC$5:$AG$5, 0))</f>
        <v>0</v>
      </c>
      <c r="F48" s="128">
        <f>INDEX(Calculations!$AC$5:$AG$51, MATCH('Rotation Assembler'!$A48, Calculations!$AC$5:$AC$51, 0), MATCH('Rotation Assembler'!F$21, Calculations!$AC$5:$AG$5, 0))</f>
        <v>0</v>
      </c>
      <c r="G48" s="128">
        <f>INDEX(Calculations!$AC$5:$AG$51, MATCH('Rotation Assembler'!$A48, Calculations!$AC$5:$AC$51, 0), MATCH('Rotation Assembler'!G$21, Calculations!$AC$5:$AG$5, 0))</f>
        <v>0</v>
      </c>
      <c r="H48" s="128">
        <f>INDEX(Calculations!$AC$5:$AG$51, MATCH('Rotation Assembler'!$A48, Calculations!$AC$5:$AC$51, 0), MATCH('Rotation Assembler'!H$21, Calculations!$AC$5:$AG$5, 0))</f>
        <v>0</v>
      </c>
      <c r="I48" s="128">
        <f>INDEX(Calculations!$AC$5:$AG$51, MATCH('Rotation Assembler'!$A48, Calculations!$AC$5:$AC$51, 0), MATCH('Rotation Assembler'!I$21, Calculations!$AC$5:$AG$5, 0))</f>
        <v>0</v>
      </c>
      <c r="J48" s="128">
        <f>INDEX(Calculations!$AC$5:$AG$51, MATCH('Rotation Assembler'!$A48, Calculations!$AC$5:$AC$51, 0), MATCH('Rotation Assembler'!J$21, Calculations!$AC$5:$AG$5, 0))</f>
        <v>0</v>
      </c>
      <c r="K48" s="128">
        <f>INDEX(Calculations!$AC$5:$AG$51, MATCH('Rotation Assembler'!$A48, Calculations!$AC$5:$AC$51, 0), MATCH('Rotation Assembler'!K$21, Calculations!$AC$5:$AG$5, 0))</f>
        <v>0</v>
      </c>
      <c r="L48" s="128">
        <f>INDEX(Calculations!$AC$5:$AG$51, MATCH('Rotation Assembler'!$A48, Calculations!$AC$5:$AC$51, 0), MATCH('Rotation Assembler'!L$21, Calculations!$AC$5:$AG$5, 0))</f>
        <v>0</v>
      </c>
      <c r="M48" s="128">
        <f>INDEX(Calculations!$AC$5:$AG$51, MATCH('Rotation Assembler'!$A48, Calculations!$AC$5:$AC$51, 0), MATCH('Rotation Assembler'!M$21, Calculations!$AC$5:$AG$5, 0))</f>
        <v>0</v>
      </c>
      <c r="N48" s="128">
        <f>INDEX(Calculations!$AC$5:$AG$51, MATCH('Rotation Assembler'!$A48, Calculations!$AC$5:$AC$51, 0), MATCH('Rotation Assembler'!N$21, Calculations!$AC$5:$AG$5, 0))</f>
        <v>0</v>
      </c>
      <c r="O48" s="128">
        <f>INDEX(Calculations!$AC$5:$AG$51, MATCH('Rotation Assembler'!$A48, Calculations!$AC$5:$AC$51, 0), MATCH('Rotation Assembler'!O$21, Calculations!$AC$5:$AG$5, 0))</f>
        <v>0</v>
      </c>
      <c r="P48" s="128">
        <f>INDEX(Calculations!$AC$5:$AG$51, MATCH('Rotation Assembler'!$A48, Calculations!$AC$5:$AC$51, 0), MATCH('Rotation Assembler'!P$21, Calculations!$AC$5:$AG$5, 0))</f>
        <v>0</v>
      </c>
      <c r="Q48" s="128">
        <f>INDEX(Calculations!$AC$5:$AG$51, MATCH('Rotation Assembler'!$A48, Calculations!$AC$5:$AC$51, 0), MATCH('Rotation Assembler'!Q$21, Calculations!$AC$5:$AG$5, 0))</f>
        <v>0</v>
      </c>
      <c r="R48" s="128">
        <f>INDEX(Calculations!$AC$5:$AG$51, MATCH('Rotation Assembler'!$A48, Calculations!$AC$5:$AC$51, 0), MATCH('Rotation Assembler'!R$21, Calculations!$AC$5:$AG$5, 0))</f>
        <v>0</v>
      </c>
      <c r="S48" s="128">
        <f>INDEX(Calculations!$AC$5:$AG$51, MATCH('Rotation Assembler'!$A48, Calculations!$AC$5:$AC$51, 0), MATCH('Rotation Assembler'!S$21, Calculations!$AC$5:$AG$5, 0))</f>
        <v>0</v>
      </c>
      <c r="T48" s="128">
        <f>INDEX(Calculations!$AC$5:$AG$51, MATCH('Rotation Assembler'!$A48, Calculations!$AC$5:$AC$51, 0), MATCH('Rotation Assembler'!T$21, Calculations!$AC$5:$AG$5, 0))</f>
        <v>0</v>
      </c>
      <c r="U48" s="128">
        <f>INDEX(Calculations!$AC$5:$AG$51, MATCH('Rotation Assembler'!$A48, Calculations!$AC$5:$AC$51, 0), MATCH('Rotation Assembler'!U$21, Calculations!$AC$5:$AG$5, 0))</f>
        <v>0</v>
      </c>
      <c r="V48" s="128">
        <f>INDEX(Calculations!$AC$5:$AG$51, MATCH('Rotation Assembler'!$A48, Calculations!$AC$5:$AC$51, 0), MATCH('Rotation Assembler'!V$21, Calculations!$AC$5:$AG$5, 0))</f>
        <v>0</v>
      </c>
      <c r="W48" s="128">
        <f>INDEX(Calculations!$AC$5:$AG$51, MATCH('Rotation Assembler'!$A48, Calculations!$AC$5:$AC$51, 0), MATCH('Rotation Assembler'!W$21, Calculations!$AC$5:$AG$5, 0))</f>
        <v>0</v>
      </c>
      <c r="X48" s="128">
        <f>INDEX(Calculations!$AC$5:$AG$51, MATCH('Rotation Assembler'!$A48, Calculations!$AC$5:$AC$51, 0), MATCH('Rotation Assembler'!X$21, Calculations!$AC$5:$AG$5, 0))</f>
        <v>0</v>
      </c>
      <c r="Y48" s="128">
        <f>INDEX(Calculations!$AC$5:$AG$51, MATCH('Rotation Assembler'!$A48, Calculations!$AC$5:$AC$51, 0), MATCH('Rotation Assembler'!Y$21, Calculations!$AC$5:$AG$5, 0))</f>
        <v>0</v>
      </c>
      <c r="Z48" s="128">
        <f>INDEX(Calculations!$AC$5:$AG$51, MATCH('Rotation Assembler'!$A48, Calculations!$AC$5:$AC$51, 0), MATCH('Rotation Assembler'!Z$21, Calculations!$AC$5:$AG$5, 0))</f>
        <v>0</v>
      </c>
      <c r="AA48" s="128">
        <f>INDEX(Calculations!$AC$5:$AG$51, MATCH('Rotation Assembler'!$A48, Calculations!$AC$5:$AC$51, 0), MATCH('Rotation Assembler'!AA$21, Calculations!$AC$5:$AG$5, 0))</f>
        <v>0</v>
      </c>
      <c r="AB48" s="128">
        <f>INDEX(Calculations!$AC$5:$AG$51, MATCH('Rotation Assembler'!$A48, Calculations!$AC$5:$AC$51, 0), MATCH('Rotation Assembler'!AB$21, Calculations!$AC$5:$AG$5, 0))</f>
        <v>0</v>
      </c>
      <c r="AC48" s="128">
        <f>INDEX(Calculations!$AC$5:$AG$51, MATCH('Rotation Assembler'!$A48, Calculations!$AC$5:$AC$51, 0), MATCH('Rotation Assembler'!AC$21, Calculations!$AC$5:$AG$5, 0))</f>
        <v>0</v>
      </c>
      <c r="AD48" s="128">
        <f>INDEX(Calculations!$AC$5:$AG$51, MATCH('Rotation Assembler'!$A48, Calculations!$AC$5:$AC$51, 0), MATCH('Rotation Assembler'!AD$21, Calculations!$AC$5:$AG$5, 0))</f>
        <v>0</v>
      </c>
      <c r="AE48" s="128">
        <f>INDEX(Calculations!$AC$5:$AG$51, MATCH('Rotation Assembler'!$A48, Calculations!$AC$5:$AC$51, 0), MATCH('Rotation Assembler'!AE$21, Calculations!$AC$5:$AG$5, 0))</f>
        <v>0</v>
      </c>
      <c r="AF48" s="128">
        <f>INDEX(Calculations!$AC$5:$AG$51, MATCH('Rotation Assembler'!$A48, Calculations!$AC$5:$AC$51, 0), MATCH('Rotation Assembler'!AF$21, Calculations!$AC$5:$AG$5, 0))</f>
        <v>0</v>
      </c>
      <c r="AG48" s="128">
        <f>INDEX(Calculations!$AC$5:$AG$51, MATCH('Rotation Assembler'!$A48, Calculations!$AC$5:$AC$51, 0), MATCH('Rotation Assembler'!AG$21, Calculations!$AC$5:$AG$5, 0))</f>
        <v>0</v>
      </c>
      <c r="AH48" s="128">
        <f>INDEX(Calculations!$AC$5:$AG$51, MATCH('Rotation Assembler'!$A48, Calculations!$AC$5:$AC$51, 0), MATCH('Rotation Assembler'!AH$21, Calculations!$AC$5:$AG$5, 0))</f>
        <v>0</v>
      </c>
      <c r="AI48" s="128">
        <f>INDEX(Calculations!$AC$5:$AG$51, MATCH('Rotation Assembler'!$A48, Calculations!$AC$5:$AC$51, 0), MATCH('Rotation Assembler'!AI$21, Calculations!$AC$5:$AG$5, 0))</f>
        <v>0</v>
      </c>
      <c r="AJ48" s="128">
        <f>INDEX(Calculations!$AC$5:$AG$51, MATCH('Rotation Assembler'!$A48, Calculations!$AC$5:$AC$51, 0), MATCH('Rotation Assembler'!AJ$21, Calculations!$AC$5:$AG$5, 0))</f>
        <v>0</v>
      </c>
      <c r="AK48" s="128"/>
      <c r="AL48" s="128"/>
      <c r="AM48" s="128"/>
      <c r="AN48" s="128"/>
      <c r="AO48" s="128"/>
      <c r="AP48" s="128"/>
      <c r="AQ48" s="128"/>
      <c r="AR48" s="128"/>
      <c r="AS48" s="128"/>
      <c r="AT48" s="128"/>
      <c r="AU48" s="128"/>
      <c r="AV48" s="128"/>
      <c r="AW48" s="128"/>
      <c r="AX48" s="128"/>
      <c r="AY48" s="128"/>
      <c r="AZ48" s="128"/>
      <c r="BA48" s="128"/>
      <c r="BB48" s="128"/>
      <c r="BC48" s="128"/>
      <c r="BD48" s="128"/>
      <c r="BE48" s="128"/>
      <c r="BF48" s="128"/>
      <c r="BG48" s="128"/>
      <c r="BH48" s="128"/>
      <c r="BI48" s="128"/>
      <c r="BJ48" s="128"/>
      <c r="BK48" s="128"/>
      <c r="BL48" s="128"/>
      <c r="BM48" s="128"/>
      <c r="BN48" s="128"/>
      <c r="BO48" s="128"/>
      <c r="BP48" s="128"/>
      <c r="BQ48" s="128"/>
      <c r="BR48" s="128"/>
      <c r="BS48" s="128"/>
      <c r="BT48" s="128"/>
    </row>
    <row r="49" spans="1:72" hidden="1" outlineLevel="1" x14ac:dyDescent="0.25">
      <c r="A49" s="124" t="s">
        <v>87</v>
      </c>
      <c r="B49" s="128">
        <f>INDEX(Calculations!$AC$5:$AG$51, MATCH('Rotation Assembler'!$A49, Calculations!$AC$5:$AC$51, 0), MATCH('Rotation Assembler'!B$21, Calculations!$AC$5:$AG$5, 0))</f>
        <v>0</v>
      </c>
      <c r="C49" s="128">
        <f>INDEX(Calculations!$AC$5:$AG$51, MATCH('Rotation Assembler'!$A49, Calculations!$AC$5:$AC$51, 0), MATCH('Rotation Assembler'!C$21, Calculations!$AC$5:$AG$5, 0))</f>
        <v>0</v>
      </c>
      <c r="D49" s="128">
        <f>INDEX(Calculations!$AC$5:$AG$51, MATCH('Rotation Assembler'!$A49, Calculations!$AC$5:$AC$51, 0), MATCH('Rotation Assembler'!D$21, Calculations!$AC$5:$AG$5, 0))</f>
        <v>0</v>
      </c>
      <c r="E49" s="128">
        <f>INDEX(Calculations!$AC$5:$AG$51, MATCH('Rotation Assembler'!$A49, Calculations!$AC$5:$AC$51, 0), MATCH('Rotation Assembler'!E$21, Calculations!$AC$5:$AG$5, 0))</f>
        <v>0</v>
      </c>
      <c r="F49" s="128">
        <f>INDEX(Calculations!$AC$5:$AG$51, MATCH('Rotation Assembler'!$A49, Calculations!$AC$5:$AC$51, 0), MATCH('Rotation Assembler'!F$21, Calculations!$AC$5:$AG$5, 0))</f>
        <v>0</v>
      </c>
      <c r="G49" s="128">
        <f>INDEX(Calculations!$AC$5:$AG$51, MATCH('Rotation Assembler'!$A49, Calculations!$AC$5:$AC$51, 0), MATCH('Rotation Assembler'!G$21, Calculations!$AC$5:$AG$5, 0))</f>
        <v>0</v>
      </c>
      <c r="H49" s="128">
        <f>INDEX(Calculations!$AC$5:$AG$51, MATCH('Rotation Assembler'!$A49, Calculations!$AC$5:$AC$51, 0), MATCH('Rotation Assembler'!H$21, Calculations!$AC$5:$AG$5, 0))</f>
        <v>0</v>
      </c>
      <c r="I49" s="128">
        <f>INDEX(Calculations!$AC$5:$AG$51, MATCH('Rotation Assembler'!$A49, Calculations!$AC$5:$AC$51, 0), MATCH('Rotation Assembler'!I$21, Calculations!$AC$5:$AG$5, 0))</f>
        <v>0</v>
      </c>
      <c r="J49" s="128">
        <f>INDEX(Calculations!$AC$5:$AG$51, MATCH('Rotation Assembler'!$A49, Calculations!$AC$5:$AC$51, 0), MATCH('Rotation Assembler'!J$21, Calculations!$AC$5:$AG$5, 0))</f>
        <v>0</v>
      </c>
      <c r="K49" s="128">
        <f>INDEX(Calculations!$AC$5:$AG$51, MATCH('Rotation Assembler'!$A49, Calculations!$AC$5:$AC$51, 0), MATCH('Rotation Assembler'!K$21, Calculations!$AC$5:$AG$5, 0))</f>
        <v>0</v>
      </c>
      <c r="L49" s="128">
        <f>INDEX(Calculations!$AC$5:$AG$51, MATCH('Rotation Assembler'!$A49, Calculations!$AC$5:$AC$51, 0), MATCH('Rotation Assembler'!L$21, Calculations!$AC$5:$AG$5, 0))</f>
        <v>0</v>
      </c>
      <c r="M49" s="128">
        <f>INDEX(Calculations!$AC$5:$AG$51, MATCH('Rotation Assembler'!$A49, Calculations!$AC$5:$AC$51, 0), MATCH('Rotation Assembler'!M$21, Calculations!$AC$5:$AG$5, 0))</f>
        <v>0</v>
      </c>
      <c r="N49" s="128">
        <f>INDEX(Calculations!$AC$5:$AG$51, MATCH('Rotation Assembler'!$A49, Calculations!$AC$5:$AC$51, 0), MATCH('Rotation Assembler'!N$21, Calculations!$AC$5:$AG$5, 0))</f>
        <v>0</v>
      </c>
      <c r="O49" s="128">
        <f>INDEX(Calculations!$AC$5:$AG$51, MATCH('Rotation Assembler'!$A49, Calculations!$AC$5:$AC$51, 0), MATCH('Rotation Assembler'!O$21, Calculations!$AC$5:$AG$5, 0))</f>
        <v>0</v>
      </c>
      <c r="P49" s="128">
        <f>INDEX(Calculations!$AC$5:$AG$51, MATCH('Rotation Assembler'!$A49, Calculations!$AC$5:$AC$51, 0), MATCH('Rotation Assembler'!P$21, Calculations!$AC$5:$AG$5, 0))</f>
        <v>0</v>
      </c>
      <c r="Q49" s="128">
        <f>INDEX(Calculations!$AC$5:$AG$51, MATCH('Rotation Assembler'!$A49, Calculations!$AC$5:$AC$51, 0), MATCH('Rotation Assembler'!Q$21, Calculations!$AC$5:$AG$5, 0))</f>
        <v>0</v>
      </c>
      <c r="R49" s="128">
        <f>INDEX(Calculations!$AC$5:$AG$51, MATCH('Rotation Assembler'!$A49, Calculations!$AC$5:$AC$51, 0), MATCH('Rotation Assembler'!R$21, Calculations!$AC$5:$AG$5, 0))</f>
        <v>0</v>
      </c>
      <c r="S49" s="128">
        <f>INDEX(Calculations!$AC$5:$AG$51, MATCH('Rotation Assembler'!$A49, Calculations!$AC$5:$AC$51, 0), MATCH('Rotation Assembler'!S$21, Calculations!$AC$5:$AG$5, 0))</f>
        <v>0</v>
      </c>
      <c r="T49" s="128">
        <f>INDEX(Calculations!$AC$5:$AG$51, MATCH('Rotation Assembler'!$A49, Calculations!$AC$5:$AC$51, 0), MATCH('Rotation Assembler'!T$21, Calculations!$AC$5:$AG$5, 0))</f>
        <v>0</v>
      </c>
      <c r="U49" s="128">
        <f>INDEX(Calculations!$AC$5:$AG$51, MATCH('Rotation Assembler'!$A49, Calculations!$AC$5:$AC$51, 0), MATCH('Rotation Assembler'!U$21, Calculations!$AC$5:$AG$5, 0))</f>
        <v>0</v>
      </c>
      <c r="V49" s="128">
        <f>INDEX(Calculations!$AC$5:$AG$51, MATCH('Rotation Assembler'!$A49, Calculations!$AC$5:$AC$51, 0), MATCH('Rotation Assembler'!V$21, Calculations!$AC$5:$AG$5, 0))</f>
        <v>0</v>
      </c>
      <c r="W49" s="128">
        <f>INDEX(Calculations!$AC$5:$AG$51, MATCH('Rotation Assembler'!$A49, Calculations!$AC$5:$AC$51, 0), MATCH('Rotation Assembler'!W$21, Calculations!$AC$5:$AG$5, 0))</f>
        <v>0</v>
      </c>
      <c r="X49" s="128">
        <f>INDEX(Calculations!$AC$5:$AG$51, MATCH('Rotation Assembler'!$A49, Calculations!$AC$5:$AC$51, 0), MATCH('Rotation Assembler'!X$21, Calculations!$AC$5:$AG$5, 0))</f>
        <v>0</v>
      </c>
      <c r="Y49" s="128">
        <f>INDEX(Calculations!$AC$5:$AG$51, MATCH('Rotation Assembler'!$A49, Calculations!$AC$5:$AC$51, 0), MATCH('Rotation Assembler'!Y$21, Calculations!$AC$5:$AG$5, 0))</f>
        <v>0</v>
      </c>
      <c r="Z49" s="128">
        <f>INDEX(Calculations!$AC$5:$AG$51, MATCH('Rotation Assembler'!$A49, Calculations!$AC$5:$AC$51, 0), MATCH('Rotation Assembler'!Z$21, Calculations!$AC$5:$AG$5, 0))</f>
        <v>0</v>
      </c>
      <c r="AA49" s="128">
        <f>INDEX(Calculations!$AC$5:$AG$51, MATCH('Rotation Assembler'!$A49, Calculations!$AC$5:$AC$51, 0), MATCH('Rotation Assembler'!AA$21, Calculations!$AC$5:$AG$5, 0))</f>
        <v>0</v>
      </c>
      <c r="AB49" s="128">
        <f>INDEX(Calculations!$AC$5:$AG$51, MATCH('Rotation Assembler'!$A49, Calculations!$AC$5:$AC$51, 0), MATCH('Rotation Assembler'!AB$21, Calculations!$AC$5:$AG$5, 0))</f>
        <v>0</v>
      </c>
      <c r="AC49" s="128">
        <f>INDEX(Calculations!$AC$5:$AG$51, MATCH('Rotation Assembler'!$A49, Calculations!$AC$5:$AC$51, 0), MATCH('Rotation Assembler'!AC$21, Calculations!$AC$5:$AG$5, 0))</f>
        <v>0</v>
      </c>
      <c r="AD49" s="128">
        <f>INDEX(Calculations!$AC$5:$AG$51, MATCH('Rotation Assembler'!$A49, Calculations!$AC$5:$AC$51, 0), MATCH('Rotation Assembler'!AD$21, Calculations!$AC$5:$AG$5, 0))</f>
        <v>0</v>
      </c>
      <c r="AE49" s="128">
        <f>INDEX(Calculations!$AC$5:$AG$51, MATCH('Rotation Assembler'!$A49, Calculations!$AC$5:$AC$51, 0), MATCH('Rotation Assembler'!AE$21, Calculations!$AC$5:$AG$5, 0))</f>
        <v>0</v>
      </c>
      <c r="AF49" s="128">
        <f>INDEX(Calculations!$AC$5:$AG$51, MATCH('Rotation Assembler'!$A49, Calculations!$AC$5:$AC$51, 0), MATCH('Rotation Assembler'!AF$21, Calculations!$AC$5:$AG$5, 0))</f>
        <v>0</v>
      </c>
      <c r="AG49" s="128">
        <f>INDEX(Calculations!$AC$5:$AG$51, MATCH('Rotation Assembler'!$A49, Calculations!$AC$5:$AC$51, 0), MATCH('Rotation Assembler'!AG$21, Calculations!$AC$5:$AG$5, 0))</f>
        <v>0</v>
      </c>
      <c r="AH49" s="128">
        <f>INDEX(Calculations!$AC$5:$AG$51, MATCH('Rotation Assembler'!$A49, Calculations!$AC$5:$AC$51, 0), MATCH('Rotation Assembler'!AH$21, Calculations!$AC$5:$AG$5, 0))</f>
        <v>0</v>
      </c>
      <c r="AI49" s="128">
        <f>INDEX(Calculations!$AC$5:$AG$51, MATCH('Rotation Assembler'!$A49, Calculations!$AC$5:$AC$51, 0), MATCH('Rotation Assembler'!AI$21, Calculations!$AC$5:$AG$5, 0))</f>
        <v>0</v>
      </c>
      <c r="AJ49" s="128">
        <f>INDEX(Calculations!$AC$5:$AG$51, MATCH('Rotation Assembler'!$A49, Calculations!$AC$5:$AC$51, 0), MATCH('Rotation Assembler'!AJ$21, Calculations!$AC$5:$AG$5, 0))</f>
        <v>0</v>
      </c>
      <c r="AK49" s="128"/>
      <c r="AL49" s="128"/>
      <c r="AM49" s="128"/>
      <c r="AN49" s="128"/>
      <c r="AO49" s="128"/>
      <c r="AP49" s="128"/>
      <c r="AQ49" s="128"/>
      <c r="AR49" s="128"/>
      <c r="AS49" s="128"/>
      <c r="AT49" s="128"/>
      <c r="AU49" s="128"/>
      <c r="AV49" s="128"/>
      <c r="AW49" s="128"/>
      <c r="AX49" s="128"/>
      <c r="AY49" s="128"/>
      <c r="AZ49" s="128"/>
      <c r="BA49" s="128"/>
      <c r="BB49" s="128"/>
      <c r="BC49" s="128"/>
      <c r="BD49" s="128"/>
      <c r="BE49" s="128"/>
      <c r="BF49" s="128"/>
      <c r="BG49" s="128"/>
      <c r="BH49" s="128"/>
      <c r="BI49" s="128"/>
      <c r="BJ49" s="128"/>
      <c r="BK49" s="128"/>
      <c r="BL49" s="128"/>
      <c r="BM49" s="128"/>
      <c r="BN49" s="128"/>
      <c r="BO49" s="128"/>
      <c r="BP49" s="128"/>
      <c r="BQ49" s="128"/>
      <c r="BR49" s="128"/>
      <c r="BS49" s="128"/>
      <c r="BT49" s="128"/>
    </row>
    <row r="50" spans="1:72" hidden="1" outlineLevel="1" x14ac:dyDescent="0.25">
      <c r="A50" s="124" t="s">
        <v>90</v>
      </c>
      <c r="B50" s="128">
        <f>INDEX(Calculations!$AC$5:$AG$51, MATCH('Rotation Assembler'!$A50, Calculations!$AC$5:$AC$51, 0), MATCH('Rotation Assembler'!B$21, Calculations!$AC$5:$AG$5, 0))</f>
        <v>0</v>
      </c>
      <c r="C50" s="128">
        <f>INDEX(Calculations!$AC$5:$AG$51, MATCH('Rotation Assembler'!$A50, Calculations!$AC$5:$AC$51, 0), MATCH('Rotation Assembler'!C$21, Calculations!$AC$5:$AG$5, 0))</f>
        <v>0</v>
      </c>
      <c r="D50" s="128">
        <f>INDEX(Calculations!$AC$5:$AG$51, MATCH('Rotation Assembler'!$A50, Calculations!$AC$5:$AC$51, 0), MATCH('Rotation Assembler'!D$21, Calculations!$AC$5:$AG$5, 0))</f>
        <v>0</v>
      </c>
      <c r="E50" s="128">
        <f>INDEX(Calculations!$AC$5:$AG$51, MATCH('Rotation Assembler'!$A50, Calculations!$AC$5:$AC$51, 0), MATCH('Rotation Assembler'!E$21, Calculations!$AC$5:$AG$5, 0))</f>
        <v>0</v>
      </c>
      <c r="F50" s="128">
        <f>INDEX(Calculations!$AC$5:$AG$51, MATCH('Rotation Assembler'!$A50, Calculations!$AC$5:$AC$51, 0), MATCH('Rotation Assembler'!F$21, Calculations!$AC$5:$AG$5, 0))</f>
        <v>0</v>
      </c>
      <c r="G50" s="128">
        <f>INDEX(Calculations!$AC$5:$AG$51, MATCH('Rotation Assembler'!$A50, Calculations!$AC$5:$AC$51, 0), MATCH('Rotation Assembler'!G$21, Calculations!$AC$5:$AG$5, 0))</f>
        <v>0</v>
      </c>
      <c r="H50" s="128">
        <f>INDEX(Calculations!$AC$5:$AG$51, MATCH('Rotation Assembler'!$A50, Calculations!$AC$5:$AC$51, 0), MATCH('Rotation Assembler'!H$21, Calculations!$AC$5:$AG$5, 0))</f>
        <v>0</v>
      </c>
      <c r="I50" s="128">
        <f>INDEX(Calculations!$AC$5:$AG$51, MATCH('Rotation Assembler'!$A50, Calculations!$AC$5:$AC$51, 0), MATCH('Rotation Assembler'!I$21, Calculations!$AC$5:$AG$5, 0))</f>
        <v>0</v>
      </c>
      <c r="J50" s="128">
        <f>INDEX(Calculations!$AC$5:$AG$51, MATCH('Rotation Assembler'!$A50, Calculations!$AC$5:$AC$51, 0), MATCH('Rotation Assembler'!J$21, Calculations!$AC$5:$AG$5, 0))</f>
        <v>0</v>
      </c>
      <c r="K50" s="128">
        <f>INDEX(Calculations!$AC$5:$AG$51, MATCH('Rotation Assembler'!$A50, Calculations!$AC$5:$AC$51, 0), MATCH('Rotation Assembler'!K$21, Calculations!$AC$5:$AG$5, 0))</f>
        <v>0</v>
      </c>
      <c r="L50" s="128">
        <f>INDEX(Calculations!$AC$5:$AG$51, MATCH('Rotation Assembler'!$A50, Calculations!$AC$5:$AC$51, 0), MATCH('Rotation Assembler'!L$21, Calculations!$AC$5:$AG$5, 0))</f>
        <v>0</v>
      </c>
      <c r="M50" s="128">
        <f>INDEX(Calculations!$AC$5:$AG$51, MATCH('Rotation Assembler'!$A50, Calculations!$AC$5:$AC$51, 0), MATCH('Rotation Assembler'!M$21, Calculations!$AC$5:$AG$5, 0))</f>
        <v>0</v>
      </c>
      <c r="N50" s="128">
        <f>INDEX(Calculations!$AC$5:$AG$51, MATCH('Rotation Assembler'!$A50, Calculations!$AC$5:$AC$51, 0), MATCH('Rotation Assembler'!N$21, Calculations!$AC$5:$AG$5, 0))</f>
        <v>0</v>
      </c>
      <c r="O50" s="128">
        <f>INDEX(Calculations!$AC$5:$AG$51, MATCH('Rotation Assembler'!$A50, Calculations!$AC$5:$AC$51, 0), MATCH('Rotation Assembler'!O$21, Calculations!$AC$5:$AG$5, 0))</f>
        <v>0</v>
      </c>
      <c r="P50" s="128">
        <f>INDEX(Calculations!$AC$5:$AG$51, MATCH('Rotation Assembler'!$A50, Calculations!$AC$5:$AC$51, 0), MATCH('Rotation Assembler'!P$21, Calculations!$AC$5:$AG$5, 0))</f>
        <v>0</v>
      </c>
      <c r="Q50" s="128">
        <f>INDEX(Calculations!$AC$5:$AG$51, MATCH('Rotation Assembler'!$A50, Calculations!$AC$5:$AC$51, 0), MATCH('Rotation Assembler'!Q$21, Calculations!$AC$5:$AG$5, 0))</f>
        <v>0</v>
      </c>
      <c r="R50" s="128">
        <f>INDEX(Calculations!$AC$5:$AG$51, MATCH('Rotation Assembler'!$A50, Calculations!$AC$5:$AC$51, 0), MATCH('Rotation Assembler'!R$21, Calculations!$AC$5:$AG$5, 0))</f>
        <v>0</v>
      </c>
      <c r="S50" s="128">
        <f>INDEX(Calculations!$AC$5:$AG$51, MATCH('Rotation Assembler'!$A50, Calculations!$AC$5:$AC$51, 0), MATCH('Rotation Assembler'!S$21, Calculations!$AC$5:$AG$5, 0))</f>
        <v>0</v>
      </c>
      <c r="T50" s="128">
        <f>INDEX(Calculations!$AC$5:$AG$51, MATCH('Rotation Assembler'!$A50, Calculations!$AC$5:$AC$51, 0), MATCH('Rotation Assembler'!T$21, Calculations!$AC$5:$AG$5, 0))</f>
        <v>0</v>
      </c>
      <c r="U50" s="128">
        <f>INDEX(Calculations!$AC$5:$AG$51, MATCH('Rotation Assembler'!$A50, Calculations!$AC$5:$AC$51, 0), MATCH('Rotation Assembler'!U$21, Calculations!$AC$5:$AG$5, 0))</f>
        <v>0</v>
      </c>
      <c r="V50" s="128">
        <f>INDEX(Calculations!$AC$5:$AG$51, MATCH('Rotation Assembler'!$A50, Calculations!$AC$5:$AC$51, 0), MATCH('Rotation Assembler'!V$21, Calculations!$AC$5:$AG$5, 0))</f>
        <v>0</v>
      </c>
      <c r="W50" s="128">
        <f>INDEX(Calculations!$AC$5:$AG$51, MATCH('Rotation Assembler'!$A50, Calculations!$AC$5:$AC$51, 0), MATCH('Rotation Assembler'!W$21, Calculations!$AC$5:$AG$5, 0))</f>
        <v>0</v>
      </c>
      <c r="X50" s="128">
        <f>INDEX(Calculations!$AC$5:$AG$51, MATCH('Rotation Assembler'!$A50, Calculations!$AC$5:$AC$51, 0), MATCH('Rotation Assembler'!X$21, Calculations!$AC$5:$AG$5, 0))</f>
        <v>0</v>
      </c>
      <c r="Y50" s="128">
        <f>INDEX(Calculations!$AC$5:$AG$51, MATCH('Rotation Assembler'!$A50, Calculations!$AC$5:$AC$51, 0), MATCH('Rotation Assembler'!Y$21, Calculations!$AC$5:$AG$5, 0))</f>
        <v>0</v>
      </c>
      <c r="Z50" s="128">
        <f>INDEX(Calculations!$AC$5:$AG$51, MATCH('Rotation Assembler'!$A50, Calculations!$AC$5:$AC$51, 0), MATCH('Rotation Assembler'!Z$21, Calculations!$AC$5:$AG$5, 0))</f>
        <v>0</v>
      </c>
      <c r="AA50" s="128">
        <f>INDEX(Calculations!$AC$5:$AG$51, MATCH('Rotation Assembler'!$A50, Calculations!$AC$5:$AC$51, 0), MATCH('Rotation Assembler'!AA$21, Calculations!$AC$5:$AG$5, 0))</f>
        <v>0</v>
      </c>
      <c r="AB50" s="128">
        <f>INDEX(Calculations!$AC$5:$AG$51, MATCH('Rotation Assembler'!$A50, Calculations!$AC$5:$AC$51, 0), MATCH('Rotation Assembler'!AB$21, Calculations!$AC$5:$AG$5, 0))</f>
        <v>0</v>
      </c>
      <c r="AC50" s="128">
        <f>INDEX(Calculations!$AC$5:$AG$51, MATCH('Rotation Assembler'!$A50, Calculations!$AC$5:$AC$51, 0), MATCH('Rotation Assembler'!AC$21, Calculations!$AC$5:$AG$5, 0))</f>
        <v>0</v>
      </c>
      <c r="AD50" s="128">
        <f>INDEX(Calculations!$AC$5:$AG$51, MATCH('Rotation Assembler'!$A50, Calculations!$AC$5:$AC$51, 0), MATCH('Rotation Assembler'!AD$21, Calculations!$AC$5:$AG$5, 0))</f>
        <v>0</v>
      </c>
      <c r="AE50" s="128">
        <f>INDEX(Calculations!$AC$5:$AG$51, MATCH('Rotation Assembler'!$A50, Calculations!$AC$5:$AC$51, 0), MATCH('Rotation Assembler'!AE$21, Calculations!$AC$5:$AG$5, 0))</f>
        <v>0</v>
      </c>
      <c r="AF50" s="128">
        <f>INDEX(Calculations!$AC$5:$AG$51, MATCH('Rotation Assembler'!$A50, Calculations!$AC$5:$AC$51, 0), MATCH('Rotation Assembler'!AF$21, Calculations!$AC$5:$AG$5, 0))</f>
        <v>0</v>
      </c>
      <c r="AG50" s="128">
        <f>INDEX(Calculations!$AC$5:$AG$51, MATCH('Rotation Assembler'!$A50, Calculations!$AC$5:$AC$51, 0), MATCH('Rotation Assembler'!AG$21, Calculations!$AC$5:$AG$5, 0))</f>
        <v>0</v>
      </c>
      <c r="AH50" s="128">
        <f>INDEX(Calculations!$AC$5:$AG$51, MATCH('Rotation Assembler'!$A50, Calculations!$AC$5:$AC$51, 0), MATCH('Rotation Assembler'!AH$21, Calculations!$AC$5:$AG$5, 0))</f>
        <v>0</v>
      </c>
      <c r="AI50" s="128">
        <f>INDEX(Calculations!$AC$5:$AG$51, MATCH('Rotation Assembler'!$A50, Calculations!$AC$5:$AC$51, 0), MATCH('Rotation Assembler'!AI$21, Calculations!$AC$5:$AG$5, 0))</f>
        <v>0</v>
      </c>
      <c r="AJ50" s="128">
        <f>INDEX(Calculations!$AC$5:$AG$51, MATCH('Rotation Assembler'!$A50, Calculations!$AC$5:$AC$51, 0), MATCH('Rotation Assembler'!AJ$21, Calculations!$AC$5:$AG$5, 0))</f>
        <v>0</v>
      </c>
      <c r="AK50" s="128"/>
      <c r="AL50" s="128"/>
      <c r="AM50" s="128"/>
      <c r="AN50" s="128"/>
      <c r="AO50" s="128"/>
      <c r="AP50" s="128"/>
      <c r="AQ50" s="128"/>
      <c r="AR50" s="128"/>
      <c r="AS50" s="128"/>
      <c r="AT50" s="128"/>
      <c r="AU50" s="128"/>
      <c r="AV50" s="128"/>
      <c r="AW50" s="128"/>
      <c r="AX50" s="128"/>
      <c r="AY50" s="128"/>
      <c r="AZ50" s="128"/>
      <c r="BA50" s="128"/>
      <c r="BB50" s="128"/>
      <c r="BC50" s="128"/>
      <c r="BD50" s="128"/>
      <c r="BE50" s="128"/>
      <c r="BF50" s="128"/>
      <c r="BG50" s="128"/>
      <c r="BH50" s="128"/>
      <c r="BI50" s="128"/>
      <c r="BJ50" s="128"/>
      <c r="BK50" s="128"/>
      <c r="BL50" s="128"/>
      <c r="BM50" s="128"/>
      <c r="BN50" s="128"/>
      <c r="BO50" s="128"/>
      <c r="BP50" s="128"/>
      <c r="BQ50" s="128"/>
      <c r="BR50" s="128"/>
      <c r="BS50" s="128"/>
      <c r="BT50" s="128"/>
    </row>
    <row r="51" spans="1:72" hidden="1" outlineLevel="1" x14ac:dyDescent="0.25">
      <c r="A51" s="124" t="s">
        <v>88</v>
      </c>
      <c r="B51" s="128">
        <f>INDEX(Calculations!$AC$5:$AG$51, MATCH('Rotation Assembler'!$A51, Calculations!$AC$5:$AC$51, 0), MATCH('Rotation Assembler'!B$21, Calculations!$AC$5:$AG$5, 0))</f>
        <v>0</v>
      </c>
      <c r="C51" s="128">
        <f>INDEX(Calculations!$AC$5:$AG$51, MATCH('Rotation Assembler'!$A51, Calculations!$AC$5:$AC$51, 0), MATCH('Rotation Assembler'!C$21, Calculations!$AC$5:$AG$5, 0))</f>
        <v>0</v>
      </c>
      <c r="D51" s="128">
        <f>INDEX(Calculations!$AC$5:$AG$51, MATCH('Rotation Assembler'!$A51, Calculations!$AC$5:$AC$51, 0), MATCH('Rotation Assembler'!D$21, Calculations!$AC$5:$AG$5, 0))</f>
        <v>0</v>
      </c>
      <c r="E51" s="128">
        <f>INDEX(Calculations!$AC$5:$AG$51, MATCH('Rotation Assembler'!$A51, Calculations!$AC$5:$AC$51, 0), MATCH('Rotation Assembler'!E$21, Calculations!$AC$5:$AG$5, 0))</f>
        <v>0</v>
      </c>
      <c r="F51" s="128">
        <f>INDEX(Calculations!$AC$5:$AG$51, MATCH('Rotation Assembler'!$A51, Calculations!$AC$5:$AC$51, 0), MATCH('Rotation Assembler'!F$21, Calculations!$AC$5:$AG$5, 0))</f>
        <v>0</v>
      </c>
      <c r="G51" s="128">
        <f>INDEX(Calculations!$AC$5:$AG$51, MATCH('Rotation Assembler'!$A51, Calculations!$AC$5:$AC$51, 0), MATCH('Rotation Assembler'!G$21, Calculations!$AC$5:$AG$5, 0))</f>
        <v>0</v>
      </c>
      <c r="H51" s="128">
        <f>INDEX(Calculations!$AC$5:$AG$51, MATCH('Rotation Assembler'!$A51, Calculations!$AC$5:$AC$51, 0), MATCH('Rotation Assembler'!H$21, Calculations!$AC$5:$AG$5, 0))</f>
        <v>0</v>
      </c>
      <c r="I51" s="128">
        <f>INDEX(Calculations!$AC$5:$AG$51, MATCH('Rotation Assembler'!$A51, Calculations!$AC$5:$AC$51, 0), MATCH('Rotation Assembler'!I$21, Calculations!$AC$5:$AG$5, 0))</f>
        <v>0</v>
      </c>
      <c r="J51" s="128">
        <f>INDEX(Calculations!$AC$5:$AG$51, MATCH('Rotation Assembler'!$A51, Calculations!$AC$5:$AC$51, 0), MATCH('Rotation Assembler'!J$21, Calculations!$AC$5:$AG$5, 0))</f>
        <v>0</v>
      </c>
      <c r="K51" s="128">
        <f>INDEX(Calculations!$AC$5:$AG$51, MATCH('Rotation Assembler'!$A51, Calculations!$AC$5:$AC$51, 0), MATCH('Rotation Assembler'!K$21, Calculations!$AC$5:$AG$5, 0))</f>
        <v>0</v>
      </c>
      <c r="L51" s="128">
        <f>INDEX(Calculations!$AC$5:$AG$51, MATCH('Rotation Assembler'!$A51, Calculations!$AC$5:$AC$51, 0), MATCH('Rotation Assembler'!L$21, Calculations!$AC$5:$AG$5, 0))</f>
        <v>0</v>
      </c>
      <c r="M51" s="128">
        <f>INDEX(Calculations!$AC$5:$AG$51, MATCH('Rotation Assembler'!$A51, Calculations!$AC$5:$AC$51, 0), MATCH('Rotation Assembler'!M$21, Calculations!$AC$5:$AG$5, 0))</f>
        <v>0.15</v>
      </c>
      <c r="N51" s="128">
        <f>INDEX(Calculations!$AC$5:$AG$51, MATCH('Rotation Assembler'!$A51, Calculations!$AC$5:$AC$51, 0), MATCH('Rotation Assembler'!N$21, Calculations!$AC$5:$AG$5, 0))</f>
        <v>0.15</v>
      </c>
      <c r="O51" s="128">
        <f>INDEX(Calculations!$AC$5:$AG$51, MATCH('Rotation Assembler'!$A51, Calculations!$AC$5:$AC$51, 0), MATCH('Rotation Assembler'!O$21, Calculations!$AC$5:$AG$5, 0))</f>
        <v>0.15</v>
      </c>
      <c r="P51" s="128">
        <f>INDEX(Calculations!$AC$5:$AG$51, MATCH('Rotation Assembler'!$A51, Calculations!$AC$5:$AC$51, 0), MATCH('Rotation Assembler'!P$21, Calculations!$AC$5:$AG$5, 0))</f>
        <v>0.15</v>
      </c>
      <c r="Q51" s="128">
        <f>INDEX(Calculations!$AC$5:$AG$51, MATCH('Rotation Assembler'!$A51, Calculations!$AC$5:$AC$51, 0), MATCH('Rotation Assembler'!Q$21, Calculations!$AC$5:$AG$5, 0))</f>
        <v>0.15</v>
      </c>
      <c r="R51" s="128">
        <f>INDEX(Calculations!$AC$5:$AG$51, MATCH('Rotation Assembler'!$A51, Calculations!$AC$5:$AC$51, 0), MATCH('Rotation Assembler'!R$21, Calculations!$AC$5:$AG$5, 0))</f>
        <v>0.15</v>
      </c>
      <c r="S51" s="128">
        <f>INDEX(Calculations!$AC$5:$AG$51, MATCH('Rotation Assembler'!$A51, Calculations!$AC$5:$AC$51, 0), MATCH('Rotation Assembler'!S$21, Calculations!$AC$5:$AG$5, 0))</f>
        <v>0.15</v>
      </c>
      <c r="T51" s="128">
        <f>INDEX(Calculations!$AC$5:$AG$51, MATCH('Rotation Assembler'!$A51, Calculations!$AC$5:$AC$51, 0), MATCH('Rotation Assembler'!T$21, Calculations!$AC$5:$AG$5, 0))</f>
        <v>0.15</v>
      </c>
      <c r="U51" s="128">
        <f>INDEX(Calculations!$AC$5:$AG$51, MATCH('Rotation Assembler'!$A51, Calculations!$AC$5:$AC$51, 0), MATCH('Rotation Assembler'!U$21, Calculations!$AC$5:$AG$5, 0))</f>
        <v>0.15</v>
      </c>
      <c r="V51" s="128">
        <f>INDEX(Calculations!$AC$5:$AG$51, MATCH('Rotation Assembler'!$A51, Calculations!$AC$5:$AC$51, 0), MATCH('Rotation Assembler'!V$21, Calculations!$AC$5:$AG$5, 0))</f>
        <v>0.15</v>
      </c>
      <c r="W51" s="128">
        <f>INDEX(Calculations!$AC$5:$AG$51, MATCH('Rotation Assembler'!$A51, Calculations!$AC$5:$AC$51, 0), MATCH('Rotation Assembler'!W$21, Calculations!$AC$5:$AG$5, 0))</f>
        <v>0.15</v>
      </c>
      <c r="X51" s="128">
        <f>INDEX(Calculations!$AC$5:$AG$51, MATCH('Rotation Assembler'!$A51, Calculations!$AC$5:$AC$51, 0), MATCH('Rotation Assembler'!X$21, Calculations!$AC$5:$AG$5, 0))</f>
        <v>0</v>
      </c>
      <c r="Y51" s="128">
        <f>INDEX(Calculations!$AC$5:$AG$51, MATCH('Rotation Assembler'!$A51, Calculations!$AC$5:$AC$51, 0), MATCH('Rotation Assembler'!Y$21, Calculations!$AC$5:$AG$5, 0))</f>
        <v>0</v>
      </c>
      <c r="Z51" s="128">
        <f>INDEX(Calculations!$AC$5:$AG$51, MATCH('Rotation Assembler'!$A51, Calculations!$AC$5:$AC$51, 0), MATCH('Rotation Assembler'!Z$21, Calculations!$AC$5:$AG$5, 0))</f>
        <v>0</v>
      </c>
      <c r="AA51" s="128">
        <f>INDEX(Calculations!$AC$5:$AG$51, MATCH('Rotation Assembler'!$A51, Calculations!$AC$5:$AC$51, 0), MATCH('Rotation Assembler'!AA$21, Calculations!$AC$5:$AG$5, 0))</f>
        <v>0</v>
      </c>
      <c r="AB51" s="128">
        <f>INDEX(Calculations!$AC$5:$AG$51, MATCH('Rotation Assembler'!$A51, Calculations!$AC$5:$AC$51, 0), MATCH('Rotation Assembler'!AB$21, Calculations!$AC$5:$AG$5, 0))</f>
        <v>0</v>
      </c>
      <c r="AC51" s="128">
        <f>INDEX(Calculations!$AC$5:$AG$51, MATCH('Rotation Assembler'!$A51, Calculations!$AC$5:$AC$51, 0), MATCH('Rotation Assembler'!AC$21, Calculations!$AC$5:$AG$5, 0))</f>
        <v>0</v>
      </c>
      <c r="AD51" s="128">
        <f>INDEX(Calculations!$AC$5:$AG$51, MATCH('Rotation Assembler'!$A51, Calculations!$AC$5:$AC$51, 0), MATCH('Rotation Assembler'!AD$21, Calculations!$AC$5:$AG$5, 0))</f>
        <v>0</v>
      </c>
      <c r="AE51" s="128">
        <f>INDEX(Calculations!$AC$5:$AG$51, MATCH('Rotation Assembler'!$A51, Calculations!$AC$5:$AC$51, 0), MATCH('Rotation Assembler'!AE$21, Calculations!$AC$5:$AG$5, 0))</f>
        <v>0</v>
      </c>
      <c r="AF51" s="128">
        <f>INDEX(Calculations!$AC$5:$AG$51, MATCH('Rotation Assembler'!$A51, Calculations!$AC$5:$AC$51, 0), MATCH('Rotation Assembler'!AF$21, Calculations!$AC$5:$AG$5, 0))</f>
        <v>0</v>
      </c>
      <c r="AG51" s="128">
        <f>INDEX(Calculations!$AC$5:$AG$51, MATCH('Rotation Assembler'!$A51, Calculations!$AC$5:$AC$51, 0), MATCH('Rotation Assembler'!AG$21, Calculations!$AC$5:$AG$5, 0))</f>
        <v>0.15</v>
      </c>
      <c r="AH51" s="128">
        <f>INDEX(Calculations!$AC$5:$AG$51, MATCH('Rotation Assembler'!$A51, Calculations!$AC$5:$AC$51, 0), MATCH('Rotation Assembler'!AH$21, Calculations!$AC$5:$AG$5, 0))</f>
        <v>0.15</v>
      </c>
      <c r="AI51" s="128">
        <f>INDEX(Calculations!$AC$5:$AG$51, MATCH('Rotation Assembler'!$A51, Calculations!$AC$5:$AC$51, 0), MATCH('Rotation Assembler'!AI$21, Calculations!$AC$5:$AG$5, 0))</f>
        <v>0</v>
      </c>
      <c r="AJ51" s="128">
        <f>INDEX(Calculations!$AC$5:$AG$51, MATCH('Rotation Assembler'!$A51, Calculations!$AC$5:$AC$51, 0), MATCH('Rotation Assembler'!AJ$21, Calculations!$AC$5:$AG$5, 0))</f>
        <v>0</v>
      </c>
      <c r="AK51" s="128"/>
      <c r="AL51" s="128"/>
      <c r="AM51" s="128"/>
      <c r="AN51" s="128"/>
      <c r="AO51" s="128"/>
      <c r="AP51" s="128"/>
      <c r="AQ51" s="128"/>
      <c r="AR51" s="128"/>
      <c r="AS51" s="128"/>
      <c r="AT51" s="128"/>
      <c r="AU51" s="128"/>
      <c r="AV51" s="128"/>
      <c r="AW51" s="128"/>
      <c r="AX51" s="128"/>
      <c r="AY51" s="128"/>
      <c r="AZ51" s="128"/>
      <c r="BA51" s="128"/>
      <c r="BB51" s="128"/>
      <c r="BC51" s="128"/>
      <c r="BD51" s="128"/>
      <c r="BE51" s="128"/>
      <c r="BF51" s="128"/>
      <c r="BG51" s="128"/>
      <c r="BH51" s="128"/>
      <c r="BI51" s="128"/>
      <c r="BJ51" s="128"/>
      <c r="BK51" s="128"/>
      <c r="BL51" s="128"/>
      <c r="BM51" s="128"/>
      <c r="BN51" s="128"/>
      <c r="BO51" s="128"/>
      <c r="BP51" s="128"/>
      <c r="BQ51" s="128"/>
      <c r="BR51" s="128"/>
      <c r="BS51" s="128"/>
      <c r="BT51" s="128"/>
    </row>
    <row r="52" spans="1:72" hidden="1" outlineLevel="1" x14ac:dyDescent="0.25">
      <c r="A52" s="124" t="s">
        <v>89</v>
      </c>
      <c r="B52" s="128">
        <f>INDEX(Calculations!$AC$5:$AG$51, MATCH('Rotation Assembler'!$A52, Calculations!$AC$5:$AC$51, 0), MATCH('Rotation Assembler'!B$21, Calculations!$AC$5:$AG$5, 0))</f>
        <v>0</v>
      </c>
      <c r="C52" s="128">
        <f>INDEX(Calculations!$AC$5:$AG$51, MATCH('Rotation Assembler'!$A52, Calculations!$AC$5:$AC$51, 0), MATCH('Rotation Assembler'!C$21, Calculations!$AC$5:$AG$5, 0))</f>
        <v>0</v>
      </c>
      <c r="D52" s="128">
        <f>INDEX(Calculations!$AC$5:$AG$51, MATCH('Rotation Assembler'!$A52, Calculations!$AC$5:$AC$51, 0), MATCH('Rotation Assembler'!D$21, Calculations!$AC$5:$AG$5, 0))</f>
        <v>0</v>
      </c>
      <c r="E52" s="128">
        <f>INDEX(Calculations!$AC$5:$AG$51, MATCH('Rotation Assembler'!$A52, Calculations!$AC$5:$AC$51, 0), MATCH('Rotation Assembler'!E$21, Calculations!$AC$5:$AG$5, 0))</f>
        <v>0</v>
      </c>
      <c r="F52" s="128">
        <f>INDEX(Calculations!$AC$5:$AG$51, MATCH('Rotation Assembler'!$A52, Calculations!$AC$5:$AC$51, 0), MATCH('Rotation Assembler'!F$21, Calculations!$AC$5:$AG$5, 0))</f>
        <v>0</v>
      </c>
      <c r="G52" s="128">
        <f>INDEX(Calculations!$AC$5:$AG$51, MATCH('Rotation Assembler'!$A52, Calculations!$AC$5:$AC$51, 0), MATCH('Rotation Assembler'!G$21, Calculations!$AC$5:$AG$5, 0))</f>
        <v>0</v>
      </c>
      <c r="H52" s="128">
        <f>INDEX(Calculations!$AC$5:$AG$51, MATCH('Rotation Assembler'!$A52, Calculations!$AC$5:$AC$51, 0), MATCH('Rotation Assembler'!H$21, Calculations!$AC$5:$AG$5, 0))</f>
        <v>0</v>
      </c>
      <c r="I52" s="128">
        <f>INDEX(Calculations!$AC$5:$AG$51, MATCH('Rotation Assembler'!$A52, Calculations!$AC$5:$AC$51, 0), MATCH('Rotation Assembler'!I$21, Calculations!$AC$5:$AG$5, 0))</f>
        <v>0</v>
      </c>
      <c r="J52" s="128">
        <f>INDEX(Calculations!$AC$5:$AG$51, MATCH('Rotation Assembler'!$A52, Calculations!$AC$5:$AC$51, 0), MATCH('Rotation Assembler'!J$21, Calculations!$AC$5:$AG$5, 0))</f>
        <v>0</v>
      </c>
      <c r="K52" s="128">
        <f>INDEX(Calculations!$AC$5:$AG$51, MATCH('Rotation Assembler'!$A52, Calculations!$AC$5:$AC$51, 0), MATCH('Rotation Assembler'!K$21, Calculations!$AC$5:$AG$5, 0))</f>
        <v>0</v>
      </c>
      <c r="L52" s="128">
        <f>INDEX(Calculations!$AC$5:$AG$51, MATCH('Rotation Assembler'!$A52, Calculations!$AC$5:$AC$51, 0), MATCH('Rotation Assembler'!L$21, Calculations!$AC$5:$AG$5, 0))</f>
        <v>0</v>
      </c>
      <c r="M52" s="128">
        <f>INDEX(Calculations!$AC$5:$AG$51, MATCH('Rotation Assembler'!$A52, Calculations!$AC$5:$AC$51, 0), MATCH('Rotation Assembler'!M$21, Calculations!$AC$5:$AG$5, 0))</f>
        <v>0.15</v>
      </c>
      <c r="N52" s="128">
        <f>INDEX(Calculations!$AC$5:$AG$51, MATCH('Rotation Assembler'!$A52, Calculations!$AC$5:$AC$51, 0), MATCH('Rotation Assembler'!N$21, Calculations!$AC$5:$AG$5, 0))</f>
        <v>0.15</v>
      </c>
      <c r="O52" s="128">
        <f>INDEX(Calculations!$AC$5:$AG$51, MATCH('Rotation Assembler'!$A52, Calculations!$AC$5:$AC$51, 0), MATCH('Rotation Assembler'!O$21, Calculations!$AC$5:$AG$5, 0))</f>
        <v>0.15</v>
      </c>
      <c r="P52" s="128">
        <f>INDEX(Calculations!$AC$5:$AG$51, MATCH('Rotation Assembler'!$A52, Calculations!$AC$5:$AC$51, 0), MATCH('Rotation Assembler'!P$21, Calculations!$AC$5:$AG$5, 0))</f>
        <v>0.15</v>
      </c>
      <c r="Q52" s="128">
        <f>INDEX(Calculations!$AC$5:$AG$51, MATCH('Rotation Assembler'!$A52, Calculations!$AC$5:$AC$51, 0), MATCH('Rotation Assembler'!Q$21, Calculations!$AC$5:$AG$5, 0))</f>
        <v>0.15</v>
      </c>
      <c r="R52" s="128">
        <f>INDEX(Calculations!$AC$5:$AG$51, MATCH('Rotation Assembler'!$A52, Calculations!$AC$5:$AC$51, 0), MATCH('Rotation Assembler'!R$21, Calculations!$AC$5:$AG$5, 0))</f>
        <v>0.15</v>
      </c>
      <c r="S52" s="128">
        <f>INDEX(Calculations!$AC$5:$AG$51, MATCH('Rotation Assembler'!$A52, Calculations!$AC$5:$AC$51, 0), MATCH('Rotation Assembler'!S$21, Calculations!$AC$5:$AG$5, 0))</f>
        <v>0.15</v>
      </c>
      <c r="T52" s="128">
        <f>INDEX(Calculations!$AC$5:$AG$51, MATCH('Rotation Assembler'!$A52, Calculations!$AC$5:$AC$51, 0), MATCH('Rotation Assembler'!T$21, Calculations!$AC$5:$AG$5, 0))</f>
        <v>0.15</v>
      </c>
      <c r="U52" s="128">
        <f>INDEX(Calculations!$AC$5:$AG$51, MATCH('Rotation Assembler'!$A52, Calculations!$AC$5:$AC$51, 0), MATCH('Rotation Assembler'!U$21, Calculations!$AC$5:$AG$5, 0))</f>
        <v>0.15</v>
      </c>
      <c r="V52" s="128">
        <f>INDEX(Calculations!$AC$5:$AG$51, MATCH('Rotation Assembler'!$A52, Calculations!$AC$5:$AC$51, 0), MATCH('Rotation Assembler'!V$21, Calculations!$AC$5:$AG$5, 0))</f>
        <v>0.15</v>
      </c>
      <c r="W52" s="128">
        <f>INDEX(Calculations!$AC$5:$AG$51, MATCH('Rotation Assembler'!$A52, Calculations!$AC$5:$AC$51, 0), MATCH('Rotation Assembler'!W$21, Calculations!$AC$5:$AG$5, 0))</f>
        <v>0.15</v>
      </c>
      <c r="X52" s="128">
        <f>INDEX(Calculations!$AC$5:$AG$51, MATCH('Rotation Assembler'!$A52, Calculations!$AC$5:$AC$51, 0), MATCH('Rotation Assembler'!X$21, Calculations!$AC$5:$AG$5, 0))</f>
        <v>0</v>
      </c>
      <c r="Y52" s="128">
        <f>INDEX(Calculations!$AC$5:$AG$51, MATCH('Rotation Assembler'!$A52, Calculations!$AC$5:$AC$51, 0), MATCH('Rotation Assembler'!Y$21, Calculations!$AC$5:$AG$5, 0))</f>
        <v>0</v>
      </c>
      <c r="Z52" s="128">
        <f>INDEX(Calculations!$AC$5:$AG$51, MATCH('Rotation Assembler'!$A52, Calculations!$AC$5:$AC$51, 0), MATCH('Rotation Assembler'!Z$21, Calculations!$AC$5:$AG$5, 0))</f>
        <v>0</v>
      </c>
      <c r="AA52" s="128">
        <f>INDEX(Calculations!$AC$5:$AG$51, MATCH('Rotation Assembler'!$A52, Calculations!$AC$5:$AC$51, 0), MATCH('Rotation Assembler'!AA$21, Calculations!$AC$5:$AG$5, 0))</f>
        <v>0</v>
      </c>
      <c r="AB52" s="128">
        <f>INDEX(Calculations!$AC$5:$AG$51, MATCH('Rotation Assembler'!$A52, Calculations!$AC$5:$AC$51, 0), MATCH('Rotation Assembler'!AB$21, Calculations!$AC$5:$AG$5, 0))</f>
        <v>0</v>
      </c>
      <c r="AC52" s="128">
        <f>INDEX(Calculations!$AC$5:$AG$51, MATCH('Rotation Assembler'!$A52, Calculations!$AC$5:$AC$51, 0), MATCH('Rotation Assembler'!AC$21, Calculations!$AC$5:$AG$5, 0))</f>
        <v>0</v>
      </c>
      <c r="AD52" s="128">
        <f>INDEX(Calculations!$AC$5:$AG$51, MATCH('Rotation Assembler'!$A52, Calculations!$AC$5:$AC$51, 0), MATCH('Rotation Assembler'!AD$21, Calculations!$AC$5:$AG$5, 0))</f>
        <v>0</v>
      </c>
      <c r="AE52" s="128">
        <f>INDEX(Calculations!$AC$5:$AG$51, MATCH('Rotation Assembler'!$A52, Calculations!$AC$5:$AC$51, 0), MATCH('Rotation Assembler'!AE$21, Calculations!$AC$5:$AG$5, 0))</f>
        <v>0</v>
      </c>
      <c r="AF52" s="128">
        <f>INDEX(Calculations!$AC$5:$AG$51, MATCH('Rotation Assembler'!$A52, Calculations!$AC$5:$AC$51, 0), MATCH('Rotation Assembler'!AF$21, Calculations!$AC$5:$AG$5, 0))</f>
        <v>0</v>
      </c>
      <c r="AG52" s="128">
        <f>INDEX(Calculations!$AC$5:$AG$51, MATCH('Rotation Assembler'!$A52, Calculations!$AC$5:$AC$51, 0), MATCH('Rotation Assembler'!AG$21, Calculations!$AC$5:$AG$5, 0))</f>
        <v>0.15</v>
      </c>
      <c r="AH52" s="128">
        <f>INDEX(Calculations!$AC$5:$AG$51, MATCH('Rotation Assembler'!$A52, Calculations!$AC$5:$AC$51, 0), MATCH('Rotation Assembler'!AH$21, Calculations!$AC$5:$AG$5, 0))</f>
        <v>0.15</v>
      </c>
      <c r="AI52" s="128">
        <f>INDEX(Calculations!$AC$5:$AG$51, MATCH('Rotation Assembler'!$A52, Calculations!$AC$5:$AC$51, 0), MATCH('Rotation Assembler'!AI$21, Calculations!$AC$5:$AG$5, 0))</f>
        <v>0</v>
      </c>
      <c r="AJ52" s="128">
        <f>INDEX(Calculations!$AC$5:$AG$51, MATCH('Rotation Assembler'!$A52, Calculations!$AC$5:$AC$51, 0), MATCH('Rotation Assembler'!AJ$21, Calculations!$AC$5:$AG$5, 0))</f>
        <v>0</v>
      </c>
      <c r="AK52" s="128"/>
      <c r="AL52" s="128"/>
      <c r="AM52" s="128"/>
      <c r="AN52" s="128"/>
      <c r="AO52" s="128"/>
      <c r="AP52" s="128"/>
      <c r="AQ52" s="128"/>
      <c r="AR52" s="128"/>
      <c r="AS52" s="128"/>
      <c r="AT52" s="128"/>
      <c r="AU52" s="128"/>
      <c r="AV52" s="128"/>
      <c r="AW52" s="128"/>
      <c r="AX52" s="128"/>
      <c r="AY52" s="128"/>
      <c r="AZ52" s="128"/>
      <c r="BA52" s="128"/>
      <c r="BB52" s="128"/>
      <c r="BC52" s="128"/>
      <c r="BD52" s="128"/>
      <c r="BE52" s="128"/>
      <c r="BF52" s="128"/>
      <c r="BG52" s="128"/>
      <c r="BH52" s="128"/>
      <c r="BI52" s="128"/>
      <c r="BJ52" s="128"/>
      <c r="BK52" s="128"/>
      <c r="BL52" s="128"/>
      <c r="BM52" s="128"/>
      <c r="BN52" s="128"/>
      <c r="BO52" s="128"/>
      <c r="BP52" s="128"/>
      <c r="BQ52" s="128"/>
      <c r="BR52" s="128"/>
      <c r="BS52" s="128"/>
      <c r="BT52" s="128"/>
    </row>
    <row r="53" spans="1:72" hidden="1" outlineLevel="1" x14ac:dyDescent="0.25">
      <c r="A53" s="124" t="s">
        <v>91</v>
      </c>
      <c r="B53" s="128">
        <f>INDEX(Calculations!$AC$5:$AG$51, MATCH('Rotation Assembler'!$A53, Calculations!$AC$5:$AC$51, 0), MATCH('Rotation Assembler'!B$21, Calculations!$AC$5:$AG$5, 0))</f>
        <v>0</v>
      </c>
      <c r="C53" s="128">
        <f>INDEX(Calculations!$AC$5:$AG$51, MATCH('Rotation Assembler'!$A53, Calculations!$AC$5:$AC$51, 0), MATCH('Rotation Assembler'!C$21, Calculations!$AC$5:$AG$5, 0))</f>
        <v>0</v>
      </c>
      <c r="D53" s="128">
        <f>INDEX(Calculations!$AC$5:$AG$51, MATCH('Rotation Assembler'!$A53, Calculations!$AC$5:$AC$51, 0), MATCH('Rotation Assembler'!D$21, Calculations!$AC$5:$AG$5, 0))</f>
        <v>0</v>
      </c>
      <c r="E53" s="128">
        <f>INDEX(Calculations!$AC$5:$AG$51, MATCH('Rotation Assembler'!$A53, Calculations!$AC$5:$AC$51, 0), MATCH('Rotation Assembler'!E$21, Calculations!$AC$5:$AG$5, 0))</f>
        <v>0</v>
      </c>
      <c r="F53" s="128">
        <f>INDEX(Calculations!$AC$5:$AG$51, MATCH('Rotation Assembler'!$A53, Calculations!$AC$5:$AC$51, 0), MATCH('Rotation Assembler'!F$21, Calculations!$AC$5:$AG$5, 0))</f>
        <v>0</v>
      </c>
      <c r="G53" s="128">
        <f>INDEX(Calculations!$AC$5:$AG$51, MATCH('Rotation Assembler'!$A53, Calculations!$AC$5:$AC$51, 0), MATCH('Rotation Assembler'!G$21, Calculations!$AC$5:$AG$5, 0))</f>
        <v>0</v>
      </c>
      <c r="H53" s="128">
        <f>INDEX(Calculations!$AC$5:$AG$51, MATCH('Rotation Assembler'!$A53, Calculations!$AC$5:$AC$51, 0), MATCH('Rotation Assembler'!H$21, Calculations!$AC$5:$AG$5, 0))</f>
        <v>0</v>
      </c>
      <c r="I53" s="128">
        <f>INDEX(Calculations!$AC$5:$AG$51, MATCH('Rotation Assembler'!$A53, Calculations!$AC$5:$AC$51, 0), MATCH('Rotation Assembler'!I$21, Calculations!$AC$5:$AG$5, 0))</f>
        <v>0</v>
      </c>
      <c r="J53" s="128">
        <f>INDEX(Calculations!$AC$5:$AG$51, MATCH('Rotation Assembler'!$A53, Calculations!$AC$5:$AC$51, 0), MATCH('Rotation Assembler'!J$21, Calculations!$AC$5:$AG$5, 0))</f>
        <v>0</v>
      </c>
      <c r="K53" s="128">
        <f>INDEX(Calculations!$AC$5:$AG$51, MATCH('Rotation Assembler'!$A53, Calculations!$AC$5:$AC$51, 0), MATCH('Rotation Assembler'!K$21, Calculations!$AC$5:$AG$5, 0))</f>
        <v>0</v>
      </c>
      <c r="L53" s="128">
        <f>INDEX(Calculations!$AC$5:$AG$51, MATCH('Rotation Assembler'!$A53, Calculations!$AC$5:$AC$51, 0), MATCH('Rotation Assembler'!L$21, Calculations!$AC$5:$AG$5, 0))</f>
        <v>0</v>
      </c>
      <c r="M53" s="128">
        <f>INDEX(Calculations!$AC$5:$AG$51, MATCH('Rotation Assembler'!$A53, Calculations!$AC$5:$AC$51, 0), MATCH('Rotation Assembler'!M$21, Calculations!$AC$5:$AG$5, 0))</f>
        <v>0</v>
      </c>
      <c r="N53" s="128">
        <f>INDEX(Calculations!$AC$5:$AG$51, MATCH('Rotation Assembler'!$A53, Calculations!$AC$5:$AC$51, 0), MATCH('Rotation Assembler'!N$21, Calculations!$AC$5:$AG$5, 0))</f>
        <v>0</v>
      </c>
      <c r="O53" s="128">
        <f>INDEX(Calculations!$AC$5:$AG$51, MATCH('Rotation Assembler'!$A53, Calculations!$AC$5:$AC$51, 0), MATCH('Rotation Assembler'!O$21, Calculations!$AC$5:$AG$5, 0))</f>
        <v>0</v>
      </c>
      <c r="P53" s="128">
        <f>INDEX(Calculations!$AC$5:$AG$51, MATCH('Rotation Assembler'!$A53, Calculations!$AC$5:$AC$51, 0), MATCH('Rotation Assembler'!P$21, Calculations!$AC$5:$AG$5, 0))</f>
        <v>0</v>
      </c>
      <c r="Q53" s="128">
        <f>INDEX(Calculations!$AC$5:$AG$51, MATCH('Rotation Assembler'!$A53, Calculations!$AC$5:$AC$51, 0), MATCH('Rotation Assembler'!Q$21, Calculations!$AC$5:$AG$5, 0))</f>
        <v>0</v>
      </c>
      <c r="R53" s="128">
        <f>INDEX(Calculations!$AC$5:$AG$51, MATCH('Rotation Assembler'!$A53, Calculations!$AC$5:$AC$51, 0), MATCH('Rotation Assembler'!R$21, Calculations!$AC$5:$AG$5, 0))</f>
        <v>0</v>
      </c>
      <c r="S53" s="128">
        <f>INDEX(Calculations!$AC$5:$AG$51, MATCH('Rotation Assembler'!$A53, Calculations!$AC$5:$AC$51, 0), MATCH('Rotation Assembler'!S$21, Calculations!$AC$5:$AG$5, 0))</f>
        <v>0</v>
      </c>
      <c r="T53" s="128">
        <f>INDEX(Calculations!$AC$5:$AG$51, MATCH('Rotation Assembler'!$A53, Calculations!$AC$5:$AC$51, 0), MATCH('Rotation Assembler'!T$21, Calculations!$AC$5:$AG$5, 0))</f>
        <v>0</v>
      </c>
      <c r="U53" s="128">
        <f>INDEX(Calculations!$AC$5:$AG$51, MATCH('Rotation Assembler'!$A53, Calculations!$AC$5:$AC$51, 0), MATCH('Rotation Assembler'!U$21, Calculations!$AC$5:$AG$5, 0))</f>
        <v>0</v>
      </c>
      <c r="V53" s="128">
        <f>INDEX(Calculations!$AC$5:$AG$51, MATCH('Rotation Assembler'!$A53, Calculations!$AC$5:$AC$51, 0), MATCH('Rotation Assembler'!V$21, Calculations!$AC$5:$AG$5, 0))</f>
        <v>0</v>
      </c>
      <c r="W53" s="128">
        <f>INDEX(Calculations!$AC$5:$AG$51, MATCH('Rotation Assembler'!$A53, Calculations!$AC$5:$AC$51, 0), MATCH('Rotation Assembler'!W$21, Calculations!$AC$5:$AG$5, 0))</f>
        <v>0</v>
      </c>
      <c r="X53" s="128">
        <f>INDEX(Calculations!$AC$5:$AG$51, MATCH('Rotation Assembler'!$A53, Calculations!$AC$5:$AC$51, 0), MATCH('Rotation Assembler'!X$21, Calculations!$AC$5:$AG$5, 0))</f>
        <v>0</v>
      </c>
      <c r="Y53" s="128">
        <f>INDEX(Calculations!$AC$5:$AG$51, MATCH('Rotation Assembler'!$A53, Calculations!$AC$5:$AC$51, 0), MATCH('Rotation Assembler'!Y$21, Calculations!$AC$5:$AG$5, 0))</f>
        <v>0</v>
      </c>
      <c r="Z53" s="128">
        <f>INDEX(Calculations!$AC$5:$AG$51, MATCH('Rotation Assembler'!$A53, Calculations!$AC$5:$AC$51, 0), MATCH('Rotation Assembler'!Z$21, Calculations!$AC$5:$AG$5, 0))</f>
        <v>0</v>
      </c>
      <c r="AA53" s="128">
        <f>INDEX(Calculations!$AC$5:$AG$51, MATCH('Rotation Assembler'!$A53, Calculations!$AC$5:$AC$51, 0), MATCH('Rotation Assembler'!AA$21, Calculations!$AC$5:$AG$5, 0))</f>
        <v>0</v>
      </c>
      <c r="AB53" s="128">
        <f>INDEX(Calculations!$AC$5:$AG$51, MATCH('Rotation Assembler'!$A53, Calculations!$AC$5:$AC$51, 0), MATCH('Rotation Assembler'!AB$21, Calculations!$AC$5:$AG$5, 0))</f>
        <v>0</v>
      </c>
      <c r="AC53" s="128">
        <f>INDEX(Calculations!$AC$5:$AG$51, MATCH('Rotation Assembler'!$A53, Calculations!$AC$5:$AC$51, 0), MATCH('Rotation Assembler'!AC$21, Calculations!$AC$5:$AG$5, 0))</f>
        <v>0</v>
      </c>
      <c r="AD53" s="128">
        <f>INDEX(Calculations!$AC$5:$AG$51, MATCH('Rotation Assembler'!$A53, Calculations!$AC$5:$AC$51, 0), MATCH('Rotation Assembler'!AD$21, Calculations!$AC$5:$AG$5, 0))</f>
        <v>0</v>
      </c>
      <c r="AE53" s="128">
        <f>INDEX(Calculations!$AC$5:$AG$51, MATCH('Rotation Assembler'!$A53, Calculations!$AC$5:$AC$51, 0), MATCH('Rotation Assembler'!AE$21, Calculations!$AC$5:$AG$5, 0))</f>
        <v>0</v>
      </c>
      <c r="AF53" s="128">
        <f>INDEX(Calculations!$AC$5:$AG$51, MATCH('Rotation Assembler'!$A53, Calculations!$AC$5:$AC$51, 0), MATCH('Rotation Assembler'!AF$21, Calculations!$AC$5:$AG$5, 0))</f>
        <v>0</v>
      </c>
      <c r="AG53" s="128">
        <f>INDEX(Calculations!$AC$5:$AG$51, MATCH('Rotation Assembler'!$A53, Calculations!$AC$5:$AC$51, 0), MATCH('Rotation Assembler'!AG$21, Calculations!$AC$5:$AG$5, 0))</f>
        <v>0</v>
      </c>
      <c r="AH53" s="128">
        <f>INDEX(Calculations!$AC$5:$AG$51, MATCH('Rotation Assembler'!$A53, Calculations!$AC$5:$AC$51, 0), MATCH('Rotation Assembler'!AH$21, Calculations!$AC$5:$AG$5, 0))</f>
        <v>0</v>
      </c>
      <c r="AI53" s="128">
        <f>INDEX(Calculations!$AC$5:$AG$51, MATCH('Rotation Assembler'!$A53, Calculations!$AC$5:$AC$51, 0), MATCH('Rotation Assembler'!AI$21, Calculations!$AC$5:$AG$5, 0))</f>
        <v>0</v>
      </c>
      <c r="AJ53" s="128">
        <f>INDEX(Calculations!$AC$5:$AG$51, MATCH('Rotation Assembler'!$A53, Calculations!$AC$5:$AC$51, 0), MATCH('Rotation Assembler'!AJ$21, Calculations!$AC$5:$AG$5, 0))</f>
        <v>0</v>
      </c>
      <c r="AK53" s="128"/>
      <c r="AL53" s="128"/>
      <c r="AM53" s="128"/>
      <c r="AN53" s="128"/>
      <c r="AO53" s="128"/>
      <c r="AP53" s="128"/>
      <c r="AQ53" s="128"/>
      <c r="AR53" s="128"/>
      <c r="AS53" s="128"/>
      <c r="AT53" s="128"/>
      <c r="AU53" s="128"/>
      <c r="AV53" s="128"/>
      <c r="AW53" s="128"/>
      <c r="AX53" s="128"/>
      <c r="AY53" s="128"/>
      <c r="AZ53" s="128"/>
      <c r="BA53" s="128"/>
      <c r="BB53" s="128"/>
      <c r="BC53" s="128"/>
      <c r="BD53" s="128"/>
      <c r="BE53" s="128"/>
      <c r="BF53" s="128"/>
      <c r="BG53" s="128"/>
      <c r="BH53" s="128"/>
      <c r="BI53" s="128"/>
      <c r="BJ53" s="128"/>
      <c r="BK53" s="128"/>
      <c r="BL53" s="128"/>
      <c r="BM53" s="128"/>
      <c r="BN53" s="128"/>
      <c r="BO53" s="128"/>
      <c r="BP53" s="128"/>
      <c r="BQ53" s="128"/>
      <c r="BR53" s="128"/>
      <c r="BS53" s="128"/>
      <c r="BT53" s="128"/>
    </row>
    <row r="54" spans="1:72" hidden="1" outlineLevel="1" x14ac:dyDescent="0.25">
      <c r="A54" s="124" t="s">
        <v>458</v>
      </c>
      <c r="B54" s="128">
        <f>INDEX(Calculations!$AC$5:$AG$51, MATCH('Rotation Assembler'!$A54, Calculations!$AC$5:$AC$51, 0), MATCH('Rotation Assembler'!B$21, Calculations!$AC$5:$AG$5, 0))</f>
        <v>0</v>
      </c>
      <c r="C54" s="128">
        <f>INDEX(Calculations!$AC$5:$AG$51, MATCH('Rotation Assembler'!$A54, Calculations!$AC$5:$AC$51, 0), MATCH('Rotation Assembler'!C$21, Calculations!$AC$5:$AG$5, 0))</f>
        <v>0</v>
      </c>
      <c r="D54" s="128">
        <f>INDEX(Calculations!$AC$5:$AG$51, MATCH('Rotation Assembler'!$A54, Calculations!$AC$5:$AC$51, 0), MATCH('Rotation Assembler'!D$21, Calculations!$AC$5:$AG$5, 0))</f>
        <v>0</v>
      </c>
      <c r="E54" s="128">
        <f>INDEX(Calculations!$AC$5:$AG$51, MATCH('Rotation Assembler'!$A54, Calculations!$AC$5:$AC$51, 0), MATCH('Rotation Assembler'!E$21, Calculations!$AC$5:$AG$5, 0))</f>
        <v>0</v>
      </c>
      <c r="F54" s="128">
        <f>INDEX(Calculations!$AC$5:$AG$51, MATCH('Rotation Assembler'!$A54, Calculations!$AC$5:$AC$51, 0), MATCH('Rotation Assembler'!F$21, Calculations!$AC$5:$AG$5, 0))</f>
        <v>0</v>
      </c>
      <c r="G54" s="128">
        <f>INDEX(Calculations!$AC$5:$AG$51, MATCH('Rotation Assembler'!$A54, Calculations!$AC$5:$AC$51, 0), MATCH('Rotation Assembler'!G$21, Calculations!$AC$5:$AG$5, 0))</f>
        <v>0</v>
      </c>
      <c r="H54" s="128">
        <f>INDEX(Calculations!$AC$5:$AG$51, MATCH('Rotation Assembler'!$A54, Calculations!$AC$5:$AC$51, 0), MATCH('Rotation Assembler'!H$21, Calculations!$AC$5:$AG$5, 0))</f>
        <v>0</v>
      </c>
      <c r="I54" s="128">
        <f>INDEX(Calculations!$AC$5:$AG$51, MATCH('Rotation Assembler'!$A54, Calculations!$AC$5:$AC$51, 0), MATCH('Rotation Assembler'!I$21, Calculations!$AC$5:$AG$5, 0))</f>
        <v>0</v>
      </c>
      <c r="J54" s="128">
        <f>INDEX(Calculations!$AC$5:$AG$51, MATCH('Rotation Assembler'!$A54, Calculations!$AC$5:$AC$51, 0), MATCH('Rotation Assembler'!J$21, Calculations!$AC$5:$AG$5, 0))</f>
        <v>0</v>
      </c>
      <c r="K54" s="128">
        <f>INDEX(Calculations!$AC$5:$AG$51, MATCH('Rotation Assembler'!$A54, Calculations!$AC$5:$AC$51, 0), MATCH('Rotation Assembler'!K$21, Calculations!$AC$5:$AG$5, 0))</f>
        <v>0</v>
      </c>
      <c r="L54" s="128">
        <f>INDEX(Calculations!$AC$5:$AG$51, MATCH('Rotation Assembler'!$A54, Calculations!$AC$5:$AC$51, 0), MATCH('Rotation Assembler'!L$21, Calculations!$AC$5:$AG$5, 0))</f>
        <v>0</v>
      </c>
      <c r="M54" s="128">
        <f>INDEX(Calculations!$AC$5:$AG$51, MATCH('Rotation Assembler'!$A54, Calculations!$AC$5:$AC$51, 0), MATCH('Rotation Assembler'!M$21, Calculations!$AC$5:$AG$5, 0))</f>
        <v>0</v>
      </c>
      <c r="N54" s="128">
        <f>INDEX(Calculations!$AC$5:$AG$51, MATCH('Rotation Assembler'!$A54, Calculations!$AC$5:$AC$51, 0), MATCH('Rotation Assembler'!N$21, Calculations!$AC$5:$AG$5, 0))</f>
        <v>0</v>
      </c>
      <c r="O54" s="128">
        <f>INDEX(Calculations!$AC$5:$AG$51, MATCH('Rotation Assembler'!$A54, Calculations!$AC$5:$AC$51, 0), MATCH('Rotation Assembler'!O$21, Calculations!$AC$5:$AG$5, 0))</f>
        <v>0</v>
      </c>
      <c r="P54" s="128">
        <f>INDEX(Calculations!$AC$5:$AG$51, MATCH('Rotation Assembler'!$A54, Calculations!$AC$5:$AC$51, 0), MATCH('Rotation Assembler'!P$21, Calculations!$AC$5:$AG$5, 0))</f>
        <v>0</v>
      </c>
      <c r="Q54" s="128">
        <f>INDEX(Calculations!$AC$5:$AG$51, MATCH('Rotation Assembler'!$A54, Calculations!$AC$5:$AC$51, 0), MATCH('Rotation Assembler'!Q$21, Calculations!$AC$5:$AG$5, 0))</f>
        <v>0</v>
      </c>
      <c r="R54" s="128">
        <f>INDEX(Calculations!$AC$5:$AG$51, MATCH('Rotation Assembler'!$A54, Calculations!$AC$5:$AC$51, 0), MATCH('Rotation Assembler'!R$21, Calculations!$AC$5:$AG$5, 0))</f>
        <v>0</v>
      </c>
      <c r="S54" s="128">
        <f>INDEX(Calculations!$AC$5:$AG$51, MATCH('Rotation Assembler'!$A54, Calculations!$AC$5:$AC$51, 0), MATCH('Rotation Assembler'!S$21, Calculations!$AC$5:$AG$5, 0))</f>
        <v>0</v>
      </c>
      <c r="T54" s="128">
        <f>INDEX(Calculations!$AC$5:$AG$51, MATCH('Rotation Assembler'!$A54, Calculations!$AC$5:$AC$51, 0), MATCH('Rotation Assembler'!T$21, Calculations!$AC$5:$AG$5, 0))</f>
        <v>0</v>
      </c>
      <c r="U54" s="128">
        <f>INDEX(Calculations!$AC$5:$AG$51, MATCH('Rotation Assembler'!$A54, Calculations!$AC$5:$AC$51, 0), MATCH('Rotation Assembler'!U$21, Calculations!$AC$5:$AG$5, 0))</f>
        <v>0</v>
      </c>
      <c r="V54" s="128">
        <f>INDEX(Calculations!$AC$5:$AG$51, MATCH('Rotation Assembler'!$A54, Calculations!$AC$5:$AC$51, 0), MATCH('Rotation Assembler'!V$21, Calculations!$AC$5:$AG$5, 0))</f>
        <v>0</v>
      </c>
      <c r="W54" s="128">
        <f>INDEX(Calculations!$AC$5:$AG$51, MATCH('Rotation Assembler'!$A54, Calculations!$AC$5:$AC$51, 0), MATCH('Rotation Assembler'!W$21, Calculations!$AC$5:$AG$5, 0))</f>
        <v>0</v>
      </c>
      <c r="X54" s="128">
        <f>INDEX(Calculations!$AC$5:$AG$51, MATCH('Rotation Assembler'!$A54, Calculations!$AC$5:$AC$51, 0), MATCH('Rotation Assembler'!X$21, Calculations!$AC$5:$AG$5, 0))</f>
        <v>0</v>
      </c>
      <c r="Y54" s="128">
        <f>INDEX(Calculations!$AC$5:$AG$51, MATCH('Rotation Assembler'!$A54, Calculations!$AC$5:$AC$51, 0), MATCH('Rotation Assembler'!Y$21, Calculations!$AC$5:$AG$5, 0))</f>
        <v>0</v>
      </c>
      <c r="Z54" s="128">
        <f>INDEX(Calculations!$AC$5:$AG$51, MATCH('Rotation Assembler'!$A54, Calculations!$AC$5:$AC$51, 0), MATCH('Rotation Assembler'!Z$21, Calculations!$AC$5:$AG$5, 0))</f>
        <v>0</v>
      </c>
      <c r="AA54" s="128">
        <f>INDEX(Calculations!$AC$5:$AG$51, MATCH('Rotation Assembler'!$A54, Calculations!$AC$5:$AC$51, 0), MATCH('Rotation Assembler'!AA$21, Calculations!$AC$5:$AG$5, 0))</f>
        <v>0</v>
      </c>
      <c r="AB54" s="128">
        <f>INDEX(Calculations!$AC$5:$AG$51, MATCH('Rotation Assembler'!$A54, Calculations!$AC$5:$AC$51, 0), MATCH('Rotation Assembler'!AB$21, Calculations!$AC$5:$AG$5, 0))</f>
        <v>0</v>
      </c>
      <c r="AC54" s="128">
        <f>INDEX(Calculations!$AC$5:$AG$51, MATCH('Rotation Assembler'!$A54, Calculations!$AC$5:$AC$51, 0), MATCH('Rotation Assembler'!AC$21, Calculations!$AC$5:$AG$5, 0))</f>
        <v>0</v>
      </c>
      <c r="AD54" s="128">
        <f>INDEX(Calculations!$AC$5:$AG$51, MATCH('Rotation Assembler'!$A54, Calculations!$AC$5:$AC$51, 0), MATCH('Rotation Assembler'!AD$21, Calculations!$AC$5:$AG$5, 0))</f>
        <v>0</v>
      </c>
      <c r="AE54" s="128">
        <f>INDEX(Calculations!$AC$5:$AG$51, MATCH('Rotation Assembler'!$A54, Calculations!$AC$5:$AC$51, 0), MATCH('Rotation Assembler'!AE$21, Calculations!$AC$5:$AG$5, 0))</f>
        <v>0</v>
      </c>
      <c r="AF54" s="128">
        <f>INDEX(Calculations!$AC$5:$AG$51, MATCH('Rotation Assembler'!$A54, Calculations!$AC$5:$AC$51, 0), MATCH('Rotation Assembler'!AF$21, Calculations!$AC$5:$AG$5, 0))</f>
        <v>0</v>
      </c>
      <c r="AG54" s="128">
        <f>INDEX(Calculations!$AC$5:$AG$51, MATCH('Rotation Assembler'!$A54, Calculations!$AC$5:$AC$51, 0), MATCH('Rotation Assembler'!AG$21, Calculations!$AC$5:$AG$5, 0))</f>
        <v>0</v>
      </c>
      <c r="AH54" s="128">
        <f>INDEX(Calculations!$AC$5:$AG$51, MATCH('Rotation Assembler'!$A54, Calculations!$AC$5:$AC$51, 0), MATCH('Rotation Assembler'!AH$21, Calculations!$AC$5:$AG$5, 0))</f>
        <v>0</v>
      </c>
      <c r="AI54" s="128">
        <f>INDEX(Calculations!$AC$5:$AG$51, MATCH('Rotation Assembler'!$A54, Calculations!$AC$5:$AC$51, 0), MATCH('Rotation Assembler'!AI$21, Calculations!$AC$5:$AG$5, 0))</f>
        <v>0</v>
      </c>
      <c r="AJ54" s="128">
        <f>INDEX(Calculations!$AC$5:$AG$51, MATCH('Rotation Assembler'!$A54, Calculations!$AC$5:$AC$51, 0), MATCH('Rotation Assembler'!AJ$21, Calculations!$AC$5:$AG$5, 0))</f>
        <v>0</v>
      </c>
      <c r="AK54" s="128"/>
      <c r="AL54" s="128"/>
      <c r="AM54" s="128"/>
      <c r="AN54" s="128"/>
      <c r="AO54" s="128"/>
      <c r="AP54" s="128"/>
      <c r="AQ54" s="128"/>
      <c r="AR54" s="128"/>
      <c r="AS54" s="128"/>
      <c r="AT54" s="128"/>
      <c r="AU54" s="128"/>
      <c r="AV54" s="128"/>
      <c r="AW54" s="128"/>
      <c r="AX54" s="128"/>
      <c r="AY54" s="128"/>
      <c r="AZ54" s="128"/>
      <c r="BA54" s="128"/>
      <c r="BB54" s="128"/>
      <c r="BC54" s="128"/>
      <c r="BD54" s="128"/>
      <c r="BE54" s="128"/>
      <c r="BF54" s="128"/>
      <c r="BG54" s="128"/>
      <c r="BH54" s="128"/>
      <c r="BI54" s="128"/>
      <c r="BJ54" s="128"/>
      <c r="BK54" s="128"/>
      <c r="BL54" s="128"/>
      <c r="BM54" s="128"/>
      <c r="BN54" s="128"/>
      <c r="BO54" s="128"/>
      <c r="BP54" s="128"/>
      <c r="BQ54" s="128"/>
      <c r="BR54" s="128"/>
      <c r="BS54" s="128"/>
      <c r="BT54" s="128"/>
    </row>
    <row r="55" spans="1:72" hidden="1" outlineLevel="1" x14ac:dyDescent="0.25">
      <c r="A55" s="124" t="s">
        <v>93</v>
      </c>
      <c r="B55" s="128">
        <f>INDEX(Calculations!$AC$5:$AG$51, MATCH('Rotation Assembler'!$A55, Calculations!$AC$5:$AC$51, 0), MATCH('Rotation Assembler'!B$21, Calculations!$AC$5:$AG$5, 0))</f>
        <v>0</v>
      </c>
      <c r="C55" s="128">
        <f>INDEX(Calculations!$AC$5:$AG$51, MATCH('Rotation Assembler'!$A55, Calculations!$AC$5:$AC$51, 0), MATCH('Rotation Assembler'!C$21, Calculations!$AC$5:$AG$5, 0))</f>
        <v>0</v>
      </c>
      <c r="D55" s="128">
        <f>INDEX(Calculations!$AC$5:$AG$51, MATCH('Rotation Assembler'!$A55, Calculations!$AC$5:$AC$51, 0), MATCH('Rotation Assembler'!D$21, Calculations!$AC$5:$AG$5, 0))</f>
        <v>0</v>
      </c>
      <c r="E55" s="128">
        <f>INDEX(Calculations!$AC$5:$AG$51, MATCH('Rotation Assembler'!$A55, Calculations!$AC$5:$AC$51, 0), MATCH('Rotation Assembler'!E$21, Calculations!$AC$5:$AG$5, 0))</f>
        <v>0</v>
      </c>
      <c r="F55" s="128">
        <f>INDEX(Calculations!$AC$5:$AG$51, MATCH('Rotation Assembler'!$A55, Calculations!$AC$5:$AC$51, 0), MATCH('Rotation Assembler'!F$21, Calculations!$AC$5:$AG$5, 0))</f>
        <v>0</v>
      </c>
      <c r="G55" s="128">
        <f>INDEX(Calculations!$AC$5:$AG$51, MATCH('Rotation Assembler'!$A55, Calculations!$AC$5:$AC$51, 0), MATCH('Rotation Assembler'!G$21, Calculations!$AC$5:$AG$5, 0))</f>
        <v>0</v>
      </c>
      <c r="H55" s="128">
        <f>INDEX(Calculations!$AC$5:$AG$51, MATCH('Rotation Assembler'!$A55, Calculations!$AC$5:$AC$51, 0), MATCH('Rotation Assembler'!H$21, Calculations!$AC$5:$AG$5, 0))</f>
        <v>0</v>
      </c>
      <c r="I55" s="128">
        <f>INDEX(Calculations!$AC$5:$AG$51, MATCH('Rotation Assembler'!$A55, Calculations!$AC$5:$AC$51, 0), MATCH('Rotation Assembler'!I$21, Calculations!$AC$5:$AG$5, 0))</f>
        <v>0</v>
      </c>
      <c r="J55" s="128">
        <f>INDEX(Calculations!$AC$5:$AG$51, MATCH('Rotation Assembler'!$A55, Calculations!$AC$5:$AC$51, 0), MATCH('Rotation Assembler'!J$21, Calculations!$AC$5:$AG$5, 0))</f>
        <v>0</v>
      </c>
      <c r="K55" s="128">
        <f>INDEX(Calculations!$AC$5:$AG$51, MATCH('Rotation Assembler'!$A55, Calculations!$AC$5:$AC$51, 0), MATCH('Rotation Assembler'!K$21, Calculations!$AC$5:$AG$5, 0))</f>
        <v>0</v>
      </c>
      <c r="L55" s="128">
        <f>INDEX(Calculations!$AC$5:$AG$51, MATCH('Rotation Assembler'!$A55, Calculations!$AC$5:$AC$51, 0), MATCH('Rotation Assembler'!L$21, Calculations!$AC$5:$AG$5, 0))</f>
        <v>0</v>
      </c>
      <c r="M55" s="128">
        <f>INDEX(Calculations!$AC$5:$AG$51, MATCH('Rotation Assembler'!$A55, Calculations!$AC$5:$AC$51, 0), MATCH('Rotation Assembler'!M$21, Calculations!$AC$5:$AG$5, 0))</f>
        <v>0</v>
      </c>
      <c r="N55" s="128">
        <f>INDEX(Calculations!$AC$5:$AG$51, MATCH('Rotation Assembler'!$A55, Calculations!$AC$5:$AC$51, 0), MATCH('Rotation Assembler'!N$21, Calculations!$AC$5:$AG$5, 0))</f>
        <v>0</v>
      </c>
      <c r="O55" s="128">
        <f>INDEX(Calculations!$AC$5:$AG$51, MATCH('Rotation Assembler'!$A55, Calculations!$AC$5:$AC$51, 0), MATCH('Rotation Assembler'!O$21, Calculations!$AC$5:$AG$5, 0))</f>
        <v>0</v>
      </c>
      <c r="P55" s="128">
        <f>INDEX(Calculations!$AC$5:$AG$51, MATCH('Rotation Assembler'!$A55, Calculations!$AC$5:$AC$51, 0), MATCH('Rotation Assembler'!P$21, Calculations!$AC$5:$AG$5, 0))</f>
        <v>0</v>
      </c>
      <c r="Q55" s="128">
        <f>INDEX(Calculations!$AC$5:$AG$51, MATCH('Rotation Assembler'!$A55, Calculations!$AC$5:$AC$51, 0), MATCH('Rotation Assembler'!Q$21, Calculations!$AC$5:$AG$5, 0))</f>
        <v>0</v>
      </c>
      <c r="R55" s="128">
        <f>INDEX(Calculations!$AC$5:$AG$51, MATCH('Rotation Assembler'!$A55, Calculations!$AC$5:$AC$51, 0), MATCH('Rotation Assembler'!R$21, Calculations!$AC$5:$AG$5, 0))</f>
        <v>0</v>
      </c>
      <c r="S55" s="128">
        <f>INDEX(Calculations!$AC$5:$AG$51, MATCH('Rotation Assembler'!$A55, Calculations!$AC$5:$AC$51, 0), MATCH('Rotation Assembler'!S$21, Calculations!$AC$5:$AG$5, 0))</f>
        <v>0</v>
      </c>
      <c r="T55" s="128">
        <f>INDEX(Calculations!$AC$5:$AG$51, MATCH('Rotation Assembler'!$A55, Calculations!$AC$5:$AC$51, 0), MATCH('Rotation Assembler'!T$21, Calculations!$AC$5:$AG$5, 0))</f>
        <v>0</v>
      </c>
      <c r="U55" s="128">
        <f>INDEX(Calculations!$AC$5:$AG$51, MATCH('Rotation Assembler'!$A55, Calculations!$AC$5:$AC$51, 0), MATCH('Rotation Assembler'!U$21, Calculations!$AC$5:$AG$5, 0))</f>
        <v>0</v>
      </c>
      <c r="V55" s="128">
        <f>INDEX(Calculations!$AC$5:$AG$51, MATCH('Rotation Assembler'!$A55, Calculations!$AC$5:$AC$51, 0), MATCH('Rotation Assembler'!V$21, Calculations!$AC$5:$AG$5, 0))</f>
        <v>0</v>
      </c>
      <c r="W55" s="128">
        <f>INDEX(Calculations!$AC$5:$AG$51, MATCH('Rotation Assembler'!$A55, Calculations!$AC$5:$AC$51, 0), MATCH('Rotation Assembler'!W$21, Calculations!$AC$5:$AG$5, 0))</f>
        <v>0</v>
      </c>
      <c r="X55" s="128">
        <f>INDEX(Calculations!$AC$5:$AG$51, MATCH('Rotation Assembler'!$A55, Calculations!$AC$5:$AC$51, 0), MATCH('Rotation Assembler'!X$21, Calculations!$AC$5:$AG$5, 0))</f>
        <v>0</v>
      </c>
      <c r="Y55" s="128">
        <f>INDEX(Calculations!$AC$5:$AG$51, MATCH('Rotation Assembler'!$A55, Calculations!$AC$5:$AC$51, 0), MATCH('Rotation Assembler'!Y$21, Calculations!$AC$5:$AG$5, 0))</f>
        <v>0</v>
      </c>
      <c r="Z55" s="128">
        <f>INDEX(Calculations!$AC$5:$AG$51, MATCH('Rotation Assembler'!$A55, Calculations!$AC$5:$AC$51, 0), MATCH('Rotation Assembler'!Z$21, Calculations!$AC$5:$AG$5, 0))</f>
        <v>0</v>
      </c>
      <c r="AA55" s="128">
        <f>INDEX(Calculations!$AC$5:$AG$51, MATCH('Rotation Assembler'!$A55, Calculations!$AC$5:$AC$51, 0), MATCH('Rotation Assembler'!AA$21, Calculations!$AC$5:$AG$5, 0))</f>
        <v>0</v>
      </c>
      <c r="AB55" s="128">
        <f>INDEX(Calculations!$AC$5:$AG$51, MATCH('Rotation Assembler'!$A55, Calculations!$AC$5:$AC$51, 0), MATCH('Rotation Assembler'!AB$21, Calculations!$AC$5:$AG$5, 0))</f>
        <v>0</v>
      </c>
      <c r="AC55" s="128">
        <f>INDEX(Calculations!$AC$5:$AG$51, MATCH('Rotation Assembler'!$A55, Calculations!$AC$5:$AC$51, 0), MATCH('Rotation Assembler'!AC$21, Calculations!$AC$5:$AG$5, 0))</f>
        <v>0</v>
      </c>
      <c r="AD55" s="128">
        <f>INDEX(Calculations!$AC$5:$AG$51, MATCH('Rotation Assembler'!$A55, Calculations!$AC$5:$AC$51, 0), MATCH('Rotation Assembler'!AD$21, Calculations!$AC$5:$AG$5, 0))</f>
        <v>0</v>
      </c>
      <c r="AE55" s="128">
        <f>INDEX(Calculations!$AC$5:$AG$51, MATCH('Rotation Assembler'!$A55, Calculations!$AC$5:$AC$51, 0), MATCH('Rotation Assembler'!AE$21, Calculations!$AC$5:$AG$5, 0))</f>
        <v>0</v>
      </c>
      <c r="AF55" s="128">
        <f>INDEX(Calculations!$AC$5:$AG$51, MATCH('Rotation Assembler'!$A55, Calculations!$AC$5:$AC$51, 0), MATCH('Rotation Assembler'!AF$21, Calculations!$AC$5:$AG$5, 0))</f>
        <v>0</v>
      </c>
      <c r="AG55" s="128">
        <f>INDEX(Calculations!$AC$5:$AG$51, MATCH('Rotation Assembler'!$A55, Calculations!$AC$5:$AC$51, 0), MATCH('Rotation Assembler'!AG$21, Calculations!$AC$5:$AG$5, 0))</f>
        <v>0</v>
      </c>
      <c r="AH55" s="128">
        <f>INDEX(Calculations!$AC$5:$AG$51, MATCH('Rotation Assembler'!$A55, Calculations!$AC$5:$AC$51, 0), MATCH('Rotation Assembler'!AH$21, Calculations!$AC$5:$AG$5, 0))</f>
        <v>0</v>
      </c>
      <c r="AI55" s="128">
        <f>INDEX(Calculations!$AC$5:$AG$51, MATCH('Rotation Assembler'!$A55, Calculations!$AC$5:$AC$51, 0), MATCH('Rotation Assembler'!AI$21, Calculations!$AC$5:$AG$5, 0))</f>
        <v>0</v>
      </c>
      <c r="AJ55" s="128">
        <f>INDEX(Calculations!$AC$5:$AG$51, MATCH('Rotation Assembler'!$A55, Calculations!$AC$5:$AC$51, 0), MATCH('Rotation Assembler'!AJ$21, Calculations!$AC$5:$AG$5, 0))</f>
        <v>0</v>
      </c>
      <c r="AK55" s="128"/>
      <c r="AL55" s="128"/>
      <c r="AM55" s="128"/>
      <c r="AN55" s="128"/>
      <c r="AO55" s="128"/>
      <c r="AP55" s="128"/>
      <c r="AQ55" s="128"/>
      <c r="AR55" s="128"/>
      <c r="AS55" s="128"/>
      <c r="AT55" s="128"/>
      <c r="AU55" s="128"/>
      <c r="AV55" s="128"/>
      <c r="AW55" s="128"/>
      <c r="AX55" s="128"/>
      <c r="AY55" s="128"/>
      <c r="AZ55" s="128"/>
      <c r="BA55" s="128"/>
      <c r="BB55" s="128"/>
      <c r="BC55" s="128"/>
      <c r="BD55" s="128"/>
      <c r="BE55" s="128"/>
      <c r="BF55" s="128"/>
      <c r="BG55" s="128"/>
      <c r="BH55" s="128"/>
      <c r="BI55" s="128"/>
      <c r="BJ55" s="128"/>
      <c r="BK55" s="128"/>
      <c r="BL55" s="128"/>
      <c r="BM55" s="128"/>
      <c r="BN55" s="128"/>
      <c r="BO55" s="128"/>
      <c r="BP55" s="128"/>
      <c r="BQ55" s="128"/>
      <c r="BR55" s="128"/>
      <c r="BS55" s="128"/>
      <c r="BT55" s="128"/>
    </row>
    <row r="56" spans="1:72" hidden="1" outlineLevel="1" x14ac:dyDescent="0.25">
      <c r="A56" s="124" t="s">
        <v>427</v>
      </c>
      <c r="B56" s="128">
        <f>INDEX(Calculations!$AC$5:$AG$51, MATCH('Rotation Assembler'!$A56, Calculations!$AC$5:$AC$51, 0), MATCH('Rotation Assembler'!B$21, Calculations!$AC$5:$AG$5, 0))</f>
        <v>0</v>
      </c>
      <c r="C56" s="128">
        <f>INDEX(Calculations!$AC$5:$AG$51, MATCH('Rotation Assembler'!$A56, Calculations!$AC$5:$AC$51, 0), MATCH('Rotation Assembler'!C$21, Calculations!$AC$5:$AG$5, 0))</f>
        <v>0</v>
      </c>
      <c r="D56" s="128">
        <f>INDEX(Calculations!$AC$5:$AG$51, MATCH('Rotation Assembler'!$A56, Calculations!$AC$5:$AC$51, 0), MATCH('Rotation Assembler'!D$21, Calculations!$AC$5:$AG$5, 0))</f>
        <v>0</v>
      </c>
      <c r="E56" s="128">
        <f>INDEX(Calculations!$AC$5:$AG$51, MATCH('Rotation Assembler'!$A56, Calculations!$AC$5:$AC$51, 0), MATCH('Rotation Assembler'!E$21, Calculations!$AC$5:$AG$5, 0))</f>
        <v>0</v>
      </c>
      <c r="F56" s="128">
        <f>INDEX(Calculations!$AC$5:$AG$51, MATCH('Rotation Assembler'!$A56, Calculations!$AC$5:$AC$51, 0), MATCH('Rotation Assembler'!F$21, Calculations!$AC$5:$AG$5, 0))</f>
        <v>0</v>
      </c>
      <c r="G56" s="128">
        <f>INDEX(Calculations!$AC$5:$AG$51, MATCH('Rotation Assembler'!$A56, Calculations!$AC$5:$AC$51, 0), MATCH('Rotation Assembler'!G$21, Calculations!$AC$5:$AG$5, 0))</f>
        <v>0</v>
      </c>
      <c r="H56" s="128">
        <f>INDEX(Calculations!$AC$5:$AG$51, MATCH('Rotation Assembler'!$A56, Calculations!$AC$5:$AC$51, 0), MATCH('Rotation Assembler'!H$21, Calculations!$AC$5:$AG$5, 0))</f>
        <v>0</v>
      </c>
      <c r="I56" s="128">
        <f>INDEX(Calculations!$AC$5:$AG$51, MATCH('Rotation Assembler'!$A56, Calculations!$AC$5:$AC$51, 0), MATCH('Rotation Assembler'!I$21, Calculations!$AC$5:$AG$5, 0))</f>
        <v>0</v>
      </c>
      <c r="J56" s="128">
        <f>INDEX(Calculations!$AC$5:$AG$51, MATCH('Rotation Assembler'!$A56, Calculations!$AC$5:$AC$51, 0), MATCH('Rotation Assembler'!J$21, Calculations!$AC$5:$AG$5, 0))</f>
        <v>0</v>
      </c>
      <c r="K56" s="128">
        <f>INDEX(Calculations!$AC$5:$AG$51, MATCH('Rotation Assembler'!$A56, Calculations!$AC$5:$AC$51, 0), MATCH('Rotation Assembler'!K$21, Calculations!$AC$5:$AG$5, 0))</f>
        <v>0</v>
      </c>
      <c r="L56" s="128">
        <f>INDEX(Calculations!$AC$5:$AG$51, MATCH('Rotation Assembler'!$A56, Calculations!$AC$5:$AC$51, 0), MATCH('Rotation Assembler'!L$21, Calculations!$AC$5:$AG$5, 0))</f>
        <v>0</v>
      </c>
      <c r="M56" s="128">
        <f>INDEX(Calculations!$AC$5:$AG$51, MATCH('Rotation Assembler'!$A56, Calculations!$AC$5:$AC$51, 0), MATCH('Rotation Assembler'!M$21, Calculations!$AC$5:$AG$5, 0))</f>
        <v>0</v>
      </c>
      <c r="N56" s="128">
        <f>INDEX(Calculations!$AC$5:$AG$51, MATCH('Rotation Assembler'!$A56, Calculations!$AC$5:$AC$51, 0), MATCH('Rotation Assembler'!N$21, Calculations!$AC$5:$AG$5, 0))</f>
        <v>0</v>
      </c>
      <c r="O56" s="128">
        <f>INDEX(Calculations!$AC$5:$AG$51, MATCH('Rotation Assembler'!$A56, Calculations!$AC$5:$AC$51, 0), MATCH('Rotation Assembler'!O$21, Calculations!$AC$5:$AG$5, 0))</f>
        <v>0</v>
      </c>
      <c r="P56" s="128">
        <f>INDEX(Calculations!$AC$5:$AG$51, MATCH('Rotation Assembler'!$A56, Calculations!$AC$5:$AC$51, 0), MATCH('Rotation Assembler'!P$21, Calculations!$AC$5:$AG$5, 0))</f>
        <v>0</v>
      </c>
      <c r="Q56" s="128">
        <f>INDEX(Calculations!$AC$5:$AG$51, MATCH('Rotation Assembler'!$A56, Calculations!$AC$5:$AC$51, 0), MATCH('Rotation Assembler'!Q$21, Calculations!$AC$5:$AG$5, 0))</f>
        <v>0</v>
      </c>
      <c r="R56" s="128">
        <f>INDEX(Calculations!$AC$5:$AG$51, MATCH('Rotation Assembler'!$A56, Calculations!$AC$5:$AC$51, 0), MATCH('Rotation Assembler'!R$21, Calculations!$AC$5:$AG$5, 0))</f>
        <v>0</v>
      </c>
      <c r="S56" s="128">
        <f>INDEX(Calculations!$AC$5:$AG$51, MATCH('Rotation Assembler'!$A56, Calculations!$AC$5:$AC$51, 0), MATCH('Rotation Assembler'!S$21, Calculations!$AC$5:$AG$5, 0))</f>
        <v>0</v>
      </c>
      <c r="T56" s="128">
        <f>INDEX(Calculations!$AC$5:$AG$51, MATCH('Rotation Assembler'!$A56, Calculations!$AC$5:$AC$51, 0), MATCH('Rotation Assembler'!T$21, Calculations!$AC$5:$AG$5, 0))</f>
        <v>0</v>
      </c>
      <c r="U56" s="128">
        <f>INDEX(Calculations!$AC$5:$AG$51, MATCH('Rotation Assembler'!$A56, Calculations!$AC$5:$AC$51, 0), MATCH('Rotation Assembler'!U$21, Calculations!$AC$5:$AG$5, 0))</f>
        <v>0</v>
      </c>
      <c r="V56" s="128">
        <f>INDEX(Calculations!$AC$5:$AG$51, MATCH('Rotation Assembler'!$A56, Calculations!$AC$5:$AC$51, 0), MATCH('Rotation Assembler'!V$21, Calculations!$AC$5:$AG$5, 0))</f>
        <v>0</v>
      </c>
      <c r="W56" s="128">
        <f>INDEX(Calculations!$AC$5:$AG$51, MATCH('Rotation Assembler'!$A56, Calculations!$AC$5:$AC$51, 0), MATCH('Rotation Assembler'!W$21, Calculations!$AC$5:$AG$5, 0))</f>
        <v>0</v>
      </c>
      <c r="X56" s="128">
        <f>INDEX(Calculations!$AC$5:$AG$51, MATCH('Rotation Assembler'!$A56, Calculations!$AC$5:$AC$51, 0), MATCH('Rotation Assembler'!X$21, Calculations!$AC$5:$AG$5, 0))</f>
        <v>0</v>
      </c>
      <c r="Y56" s="128">
        <f>INDEX(Calculations!$AC$5:$AG$51, MATCH('Rotation Assembler'!$A56, Calculations!$AC$5:$AC$51, 0), MATCH('Rotation Assembler'!Y$21, Calculations!$AC$5:$AG$5, 0))</f>
        <v>0</v>
      </c>
      <c r="Z56" s="128">
        <f>INDEX(Calculations!$AC$5:$AG$51, MATCH('Rotation Assembler'!$A56, Calculations!$AC$5:$AC$51, 0), MATCH('Rotation Assembler'!Z$21, Calculations!$AC$5:$AG$5, 0))</f>
        <v>0</v>
      </c>
      <c r="AA56" s="128">
        <f>INDEX(Calculations!$AC$5:$AG$51, MATCH('Rotation Assembler'!$A56, Calculations!$AC$5:$AC$51, 0), MATCH('Rotation Assembler'!AA$21, Calculations!$AC$5:$AG$5, 0))</f>
        <v>0</v>
      </c>
      <c r="AB56" s="128">
        <f>INDEX(Calculations!$AC$5:$AG$51, MATCH('Rotation Assembler'!$A56, Calculations!$AC$5:$AC$51, 0), MATCH('Rotation Assembler'!AB$21, Calculations!$AC$5:$AG$5, 0))</f>
        <v>0</v>
      </c>
      <c r="AC56" s="128">
        <f>INDEX(Calculations!$AC$5:$AG$51, MATCH('Rotation Assembler'!$A56, Calculations!$AC$5:$AC$51, 0), MATCH('Rotation Assembler'!AC$21, Calculations!$AC$5:$AG$5, 0))</f>
        <v>0</v>
      </c>
      <c r="AD56" s="128">
        <f>INDEX(Calculations!$AC$5:$AG$51, MATCH('Rotation Assembler'!$A56, Calculations!$AC$5:$AC$51, 0), MATCH('Rotation Assembler'!AD$21, Calculations!$AC$5:$AG$5, 0))</f>
        <v>0</v>
      </c>
      <c r="AE56" s="128">
        <f>INDEX(Calculations!$AC$5:$AG$51, MATCH('Rotation Assembler'!$A56, Calculations!$AC$5:$AC$51, 0), MATCH('Rotation Assembler'!AE$21, Calculations!$AC$5:$AG$5, 0))</f>
        <v>0</v>
      </c>
      <c r="AF56" s="128">
        <f>INDEX(Calculations!$AC$5:$AG$51, MATCH('Rotation Assembler'!$A56, Calculations!$AC$5:$AC$51, 0), MATCH('Rotation Assembler'!AF$21, Calculations!$AC$5:$AG$5, 0))</f>
        <v>0</v>
      </c>
      <c r="AG56" s="128">
        <f>INDEX(Calculations!$AC$5:$AG$51, MATCH('Rotation Assembler'!$A56, Calculations!$AC$5:$AC$51, 0), MATCH('Rotation Assembler'!AG$21, Calculations!$AC$5:$AG$5, 0))</f>
        <v>0</v>
      </c>
      <c r="AH56" s="128">
        <f>INDEX(Calculations!$AC$5:$AG$51, MATCH('Rotation Assembler'!$A56, Calculations!$AC$5:$AC$51, 0), MATCH('Rotation Assembler'!AH$21, Calculations!$AC$5:$AG$5, 0))</f>
        <v>0</v>
      </c>
      <c r="AI56" s="128">
        <f>INDEX(Calculations!$AC$5:$AG$51, MATCH('Rotation Assembler'!$A56, Calculations!$AC$5:$AC$51, 0), MATCH('Rotation Assembler'!AI$21, Calculations!$AC$5:$AG$5, 0))</f>
        <v>0</v>
      </c>
      <c r="AJ56" s="128">
        <f>INDEX(Calculations!$AC$5:$AG$51, MATCH('Rotation Assembler'!$A56, Calculations!$AC$5:$AC$51, 0), MATCH('Rotation Assembler'!AJ$21, Calculations!$AC$5:$AG$5, 0))</f>
        <v>0</v>
      </c>
      <c r="AK56" s="128"/>
      <c r="AL56" s="128"/>
      <c r="AM56" s="128"/>
      <c r="AN56" s="128"/>
      <c r="AO56" s="128"/>
      <c r="AP56" s="128"/>
      <c r="AQ56" s="128"/>
      <c r="AR56" s="128"/>
      <c r="AS56" s="128"/>
      <c r="AT56" s="128"/>
      <c r="AU56" s="128"/>
      <c r="AV56" s="128"/>
      <c r="AW56" s="128"/>
      <c r="AX56" s="128"/>
      <c r="AY56" s="128"/>
      <c r="AZ56" s="128"/>
      <c r="BA56" s="128"/>
      <c r="BB56" s="128"/>
      <c r="BC56" s="128"/>
      <c r="BD56" s="128"/>
      <c r="BE56" s="128"/>
      <c r="BF56" s="128"/>
      <c r="BG56" s="128"/>
      <c r="BH56" s="128"/>
      <c r="BI56" s="128"/>
      <c r="BJ56" s="128"/>
      <c r="BK56" s="128"/>
      <c r="BL56" s="128"/>
      <c r="BM56" s="128"/>
      <c r="BN56" s="128"/>
      <c r="BO56" s="128"/>
      <c r="BP56" s="128"/>
      <c r="BQ56" s="128"/>
      <c r="BR56" s="128"/>
      <c r="BS56" s="128"/>
      <c r="BT56" s="128"/>
    </row>
    <row r="57" spans="1:72" hidden="1" outlineLevel="1" x14ac:dyDescent="0.25">
      <c r="A57" s="124" t="s">
        <v>457</v>
      </c>
      <c r="B57" s="128">
        <f>INDEX(Calculations!$AC$5:$AG$51, MATCH('Rotation Assembler'!$A57, Calculations!$AC$5:$AC$51, 0), MATCH('Rotation Assembler'!B$21, Calculations!$AC$5:$AG$5, 0))</f>
        <v>0</v>
      </c>
      <c r="C57" s="128">
        <f>INDEX(Calculations!$AC$5:$AG$51, MATCH('Rotation Assembler'!$A57, Calculations!$AC$5:$AC$51, 0), MATCH('Rotation Assembler'!C$21, Calculations!$AC$5:$AG$5, 0))</f>
        <v>0</v>
      </c>
      <c r="D57" s="128">
        <f>INDEX(Calculations!$AC$5:$AG$51, MATCH('Rotation Assembler'!$A57, Calculations!$AC$5:$AC$51, 0), MATCH('Rotation Assembler'!D$21, Calculations!$AC$5:$AG$5, 0))</f>
        <v>0</v>
      </c>
      <c r="E57" s="128">
        <f>INDEX(Calculations!$AC$5:$AG$51, MATCH('Rotation Assembler'!$A57, Calculations!$AC$5:$AC$51, 0), MATCH('Rotation Assembler'!E$21, Calculations!$AC$5:$AG$5, 0))</f>
        <v>0</v>
      </c>
      <c r="F57" s="128">
        <f>INDEX(Calculations!$AC$5:$AG$51, MATCH('Rotation Assembler'!$A57, Calculations!$AC$5:$AC$51, 0), MATCH('Rotation Assembler'!F$21, Calculations!$AC$5:$AG$5, 0))</f>
        <v>0</v>
      </c>
      <c r="G57" s="128">
        <f>INDEX(Calculations!$AC$5:$AG$51, MATCH('Rotation Assembler'!$A57, Calculations!$AC$5:$AC$51, 0), MATCH('Rotation Assembler'!G$21, Calculations!$AC$5:$AG$5, 0))</f>
        <v>0</v>
      </c>
      <c r="H57" s="128">
        <f>INDEX(Calculations!$AC$5:$AG$51, MATCH('Rotation Assembler'!$A57, Calculations!$AC$5:$AC$51, 0), MATCH('Rotation Assembler'!H$21, Calculations!$AC$5:$AG$5, 0))</f>
        <v>0</v>
      </c>
      <c r="I57" s="128">
        <f>INDEX(Calculations!$AC$5:$AG$51, MATCH('Rotation Assembler'!$A57, Calculations!$AC$5:$AC$51, 0), MATCH('Rotation Assembler'!I$21, Calculations!$AC$5:$AG$5, 0))</f>
        <v>0</v>
      </c>
      <c r="J57" s="128">
        <f>INDEX(Calculations!$AC$5:$AG$51, MATCH('Rotation Assembler'!$A57, Calculations!$AC$5:$AC$51, 0), MATCH('Rotation Assembler'!J$21, Calculations!$AC$5:$AG$5, 0))</f>
        <v>0</v>
      </c>
      <c r="K57" s="128">
        <f>INDEX(Calculations!$AC$5:$AG$51, MATCH('Rotation Assembler'!$A57, Calculations!$AC$5:$AC$51, 0), MATCH('Rotation Assembler'!K$21, Calculations!$AC$5:$AG$5, 0))</f>
        <v>0</v>
      </c>
      <c r="L57" s="128">
        <f>INDEX(Calculations!$AC$5:$AG$51, MATCH('Rotation Assembler'!$A57, Calculations!$AC$5:$AC$51, 0), MATCH('Rotation Assembler'!L$21, Calculations!$AC$5:$AG$5, 0))</f>
        <v>0</v>
      </c>
      <c r="M57" s="128">
        <f>INDEX(Calculations!$AC$5:$AG$51, MATCH('Rotation Assembler'!$A57, Calculations!$AC$5:$AC$51, 0), MATCH('Rotation Assembler'!M$21, Calculations!$AC$5:$AG$5, 0))</f>
        <v>0</v>
      </c>
      <c r="N57" s="128">
        <f>INDEX(Calculations!$AC$5:$AG$51, MATCH('Rotation Assembler'!$A57, Calculations!$AC$5:$AC$51, 0), MATCH('Rotation Assembler'!N$21, Calculations!$AC$5:$AG$5, 0))</f>
        <v>0</v>
      </c>
      <c r="O57" s="128">
        <f>INDEX(Calculations!$AC$5:$AG$51, MATCH('Rotation Assembler'!$A57, Calculations!$AC$5:$AC$51, 0), MATCH('Rotation Assembler'!O$21, Calculations!$AC$5:$AG$5, 0))</f>
        <v>0</v>
      </c>
      <c r="P57" s="128">
        <f>INDEX(Calculations!$AC$5:$AG$51, MATCH('Rotation Assembler'!$A57, Calculations!$AC$5:$AC$51, 0), MATCH('Rotation Assembler'!P$21, Calculations!$AC$5:$AG$5, 0))</f>
        <v>0</v>
      </c>
      <c r="Q57" s="128">
        <f>INDEX(Calculations!$AC$5:$AG$51, MATCH('Rotation Assembler'!$A57, Calculations!$AC$5:$AC$51, 0), MATCH('Rotation Assembler'!Q$21, Calculations!$AC$5:$AG$5, 0))</f>
        <v>0</v>
      </c>
      <c r="R57" s="128">
        <f>INDEX(Calculations!$AC$5:$AG$51, MATCH('Rotation Assembler'!$A57, Calculations!$AC$5:$AC$51, 0), MATCH('Rotation Assembler'!R$21, Calculations!$AC$5:$AG$5, 0))</f>
        <v>0</v>
      </c>
      <c r="S57" s="128">
        <f>INDEX(Calculations!$AC$5:$AG$51, MATCH('Rotation Assembler'!$A57, Calculations!$AC$5:$AC$51, 0), MATCH('Rotation Assembler'!S$21, Calculations!$AC$5:$AG$5, 0))</f>
        <v>0</v>
      </c>
      <c r="T57" s="128">
        <f>INDEX(Calculations!$AC$5:$AG$51, MATCH('Rotation Assembler'!$A57, Calculations!$AC$5:$AC$51, 0), MATCH('Rotation Assembler'!T$21, Calculations!$AC$5:$AG$5, 0))</f>
        <v>0</v>
      </c>
      <c r="U57" s="128">
        <f>INDEX(Calculations!$AC$5:$AG$51, MATCH('Rotation Assembler'!$A57, Calculations!$AC$5:$AC$51, 0), MATCH('Rotation Assembler'!U$21, Calculations!$AC$5:$AG$5, 0))</f>
        <v>0</v>
      </c>
      <c r="V57" s="128">
        <f>INDEX(Calculations!$AC$5:$AG$51, MATCH('Rotation Assembler'!$A57, Calculations!$AC$5:$AC$51, 0), MATCH('Rotation Assembler'!V$21, Calculations!$AC$5:$AG$5, 0))</f>
        <v>0</v>
      </c>
      <c r="W57" s="128">
        <f>INDEX(Calculations!$AC$5:$AG$51, MATCH('Rotation Assembler'!$A57, Calculations!$AC$5:$AC$51, 0), MATCH('Rotation Assembler'!W$21, Calculations!$AC$5:$AG$5, 0))</f>
        <v>0</v>
      </c>
      <c r="X57" s="128">
        <f>INDEX(Calculations!$AC$5:$AG$51, MATCH('Rotation Assembler'!$A57, Calculations!$AC$5:$AC$51, 0), MATCH('Rotation Assembler'!X$21, Calculations!$AC$5:$AG$5, 0))</f>
        <v>0</v>
      </c>
      <c r="Y57" s="128">
        <f>INDEX(Calculations!$AC$5:$AG$51, MATCH('Rotation Assembler'!$A57, Calculations!$AC$5:$AC$51, 0), MATCH('Rotation Assembler'!Y$21, Calculations!$AC$5:$AG$5, 0))</f>
        <v>0</v>
      </c>
      <c r="Z57" s="128">
        <f>INDEX(Calculations!$AC$5:$AG$51, MATCH('Rotation Assembler'!$A57, Calculations!$AC$5:$AC$51, 0), MATCH('Rotation Assembler'!Z$21, Calculations!$AC$5:$AG$5, 0))</f>
        <v>0</v>
      </c>
      <c r="AA57" s="128">
        <f>INDEX(Calculations!$AC$5:$AG$51, MATCH('Rotation Assembler'!$A57, Calculations!$AC$5:$AC$51, 0), MATCH('Rotation Assembler'!AA$21, Calculations!$AC$5:$AG$5, 0))</f>
        <v>0</v>
      </c>
      <c r="AB57" s="128">
        <f>INDEX(Calculations!$AC$5:$AG$51, MATCH('Rotation Assembler'!$A57, Calculations!$AC$5:$AC$51, 0), MATCH('Rotation Assembler'!AB$21, Calculations!$AC$5:$AG$5, 0))</f>
        <v>0</v>
      </c>
      <c r="AC57" s="128">
        <f>INDEX(Calculations!$AC$5:$AG$51, MATCH('Rotation Assembler'!$A57, Calculations!$AC$5:$AC$51, 0), MATCH('Rotation Assembler'!AC$21, Calculations!$AC$5:$AG$5, 0))</f>
        <v>0</v>
      </c>
      <c r="AD57" s="128">
        <f>INDEX(Calculations!$AC$5:$AG$51, MATCH('Rotation Assembler'!$A57, Calculations!$AC$5:$AC$51, 0), MATCH('Rotation Assembler'!AD$21, Calculations!$AC$5:$AG$5, 0))</f>
        <v>0</v>
      </c>
      <c r="AE57" s="128">
        <f>INDEX(Calculations!$AC$5:$AG$51, MATCH('Rotation Assembler'!$A57, Calculations!$AC$5:$AC$51, 0), MATCH('Rotation Assembler'!AE$21, Calculations!$AC$5:$AG$5, 0))</f>
        <v>0</v>
      </c>
      <c r="AF57" s="128">
        <f>INDEX(Calculations!$AC$5:$AG$51, MATCH('Rotation Assembler'!$A57, Calculations!$AC$5:$AC$51, 0), MATCH('Rotation Assembler'!AF$21, Calculations!$AC$5:$AG$5, 0))</f>
        <v>0</v>
      </c>
      <c r="AG57" s="128">
        <f>INDEX(Calculations!$AC$5:$AG$51, MATCH('Rotation Assembler'!$A57, Calculations!$AC$5:$AC$51, 0), MATCH('Rotation Assembler'!AG$21, Calculations!$AC$5:$AG$5, 0))</f>
        <v>0</v>
      </c>
      <c r="AH57" s="128">
        <f>INDEX(Calculations!$AC$5:$AG$51, MATCH('Rotation Assembler'!$A57, Calculations!$AC$5:$AC$51, 0), MATCH('Rotation Assembler'!AH$21, Calculations!$AC$5:$AG$5, 0))</f>
        <v>0</v>
      </c>
      <c r="AI57" s="128">
        <f>INDEX(Calculations!$AC$5:$AG$51, MATCH('Rotation Assembler'!$A57, Calculations!$AC$5:$AC$51, 0), MATCH('Rotation Assembler'!AI$21, Calculations!$AC$5:$AG$5, 0))</f>
        <v>0</v>
      </c>
      <c r="AJ57" s="128">
        <f>INDEX(Calculations!$AC$5:$AG$51, MATCH('Rotation Assembler'!$A57, Calculations!$AC$5:$AC$51, 0), MATCH('Rotation Assembler'!AJ$21, Calculations!$AC$5:$AG$5, 0))</f>
        <v>0</v>
      </c>
      <c r="AK57" s="128"/>
      <c r="AL57" s="128"/>
      <c r="AM57" s="128"/>
      <c r="AN57" s="128"/>
      <c r="AO57" s="128"/>
      <c r="AP57" s="128"/>
      <c r="AQ57" s="128"/>
      <c r="AR57" s="128"/>
      <c r="AS57" s="128"/>
      <c r="AT57" s="128"/>
      <c r="AU57" s="128"/>
      <c r="AV57" s="128"/>
      <c r="AW57" s="128"/>
      <c r="AX57" s="128"/>
      <c r="AY57" s="128"/>
      <c r="AZ57" s="128"/>
      <c r="BA57" s="128"/>
      <c r="BB57" s="128"/>
      <c r="BC57" s="128"/>
      <c r="BD57" s="128"/>
      <c r="BE57" s="128"/>
      <c r="BF57" s="128"/>
      <c r="BG57" s="128"/>
      <c r="BH57" s="128"/>
      <c r="BI57" s="128"/>
      <c r="BJ57" s="128"/>
      <c r="BK57" s="128"/>
      <c r="BL57" s="128"/>
      <c r="BM57" s="128"/>
      <c r="BN57" s="128"/>
      <c r="BO57" s="128"/>
      <c r="BP57" s="128"/>
      <c r="BQ57" s="128"/>
      <c r="BR57" s="128"/>
      <c r="BS57" s="128"/>
      <c r="BT57" s="128"/>
    </row>
    <row r="58" spans="1:72" hidden="1" outlineLevel="1" x14ac:dyDescent="0.25">
      <c r="A58" s="124" t="s">
        <v>92</v>
      </c>
      <c r="B58" s="128">
        <f>INDEX(Calculations!$AC$5:$AG$51, MATCH('Rotation Assembler'!$A58, Calculations!$AC$5:$AC$51, 0), MATCH('Rotation Assembler'!B$21, Calculations!$AC$5:$AG$5, 0))</f>
        <v>0</v>
      </c>
      <c r="C58" s="128">
        <f>INDEX(Calculations!$AC$5:$AG$51, MATCH('Rotation Assembler'!$A58, Calculations!$AC$5:$AC$51, 0), MATCH('Rotation Assembler'!C$21, Calculations!$AC$5:$AG$5, 0))</f>
        <v>0</v>
      </c>
      <c r="D58" s="128">
        <f>INDEX(Calculations!$AC$5:$AG$51, MATCH('Rotation Assembler'!$A58, Calculations!$AC$5:$AC$51, 0), MATCH('Rotation Assembler'!D$21, Calculations!$AC$5:$AG$5, 0))</f>
        <v>0</v>
      </c>
      <c r="E58" s="128">
        <f>INDEX(Calculations!$AC$5:$AG$51, MATCH('Rotation Assembler'!$A58, Calculations!$AC$5:$AC$51, 0), MATCH('Rotation Assembler'!E$21, Calculations!$AC$5:$AG$5, 0))</f>
        <v>0</v>
      </c>
      <c r="F58" s="128">
        <f>INDEX(Calculations!$AC$5:$AG$51, MATCH('Rotation Assembler'!$A58, Calculations!$AC$5:$AC$51, 0), MATCH('Rotation Assembler'!F$21, Calculations!$AC$5:$AG$5, 0))</f>
        <v>0</v>
      </c>
      <c r="G58" s="128">
        <f>INDEX(Calculations!$AC$5:$AG$51, MATCH('Rotation Assembler'!$A58, Calculations!$AC$5:$AC$51, 0), MATCH('Rotation Assembler'!G$21, Calculations!$AC$5:$AG$5, 0))</f>
        <v>0</v>
      </c>
      <c r="H58" s="128">
        <f>INDEX(Calculations!$AC$5:$AG$51, MATCH('Rotation Assembler'!$A58, Calculations!$AC$5:$AC$51, 0), MATCH('Rotation Assembler'!H$21, Calculations!$AC$5:$AG$5, 0))</f>
        <v>0</v>
      </c>
      <c r="I58" s="128">
        <f>INDEX(Calculations!$AC$5:$AG$51, MATCH('Rotation Assembler'!$A58, Calculations!$AC$5:$AC$51, 0), MATCH('Rotation Assembler'!I$21, Calculations!$AC$5:$AG$5, 0))</f>
        <v>0</v>
      </c>
      <c r="J58" s="128">
        <f>INDEX(Calculations!$AC$5:$AG$51, MATCH('Rotation Assembler'!$A58, Calculations!$AC$5:$AC$51, 0), MATCH('Rotation Assembler'!J$21, Calculations!$AC$5:$AG$5, 0))</f>
        <v>0</v>
      </c>
      <c r="K58" s="128">
        <f>INDEX(Calculations!$AC$5:$AG$51, MATCH('Rotation Assembler'!$A58, Calculations!$AC$5:$AC$51, 0), MATCH('Rotation Assembler'!K$21, Calculations!$AC$5:$AG$5, 0))</f>
        <v>0</v>
      </c>
      <c r="L58" s="128">
        <f>INDEX(Calculations!$AC$5:$AG$51, MATCH('Rotation Assembler'!$A58, Calculations!$AC$5:$AC$51, 0), MATCH('Rotation Assembler'!L$21, Calculations!$AC$5:$AG$5, 0))</f>
        <v>0</v>
      </c>
      <c r="M58" s="128">
        <f>INDEX(Calculations!$AC$5:$AG$51, MATCH('Rotation Assembler'!$A58, Calculations!$AC$5:$AC$51, 0), MATCH('Rotation Assembler'!M$21, Calculations!$AC$5:$AG$5, 0))</f>
        <v>0</v>
      </c>
      <c r="N58" s="128">
        <f>INDEX(Calculations!$AC$5:$AG$51, MATCH('Rotation Assembler'!$A58, Calculations!$AC$5:$AC$51, 0), MATCH('Rotation Assembler'!N$21, Calculations!$AC$5:$AG$5, 0))</f>
        <v>0</v>
      </c>
      <c r="O58" s="128">
        <f>INDEX(Calculations!$AC$5:$AG$51, MATCH('Rotation Assembler'!$A58, Calculations!$AC$5:$AC$51, 0), MATCH('Rotation Assembler'!O$21, Calculations!$AC$5:$AG$5, 0))</f>
        <v>0</v>
      </c>
      <c r="P58" s="128">
        <f>INDEX(Calculations!$AC$5:$AG$51, MATCH('Rotation Assembler'!$A58, Calculations!$AC$5:$AC$51, 0), MATCH('Rotation Assembler'!P$21, Calculations!$AC$5:$AG$5, 0))</f>
        <v>0</v>
      </c>
      <c r="Q58" s="128">
        <f>INDEX(Calculations!$AC$5:$AG$51, MATCH('Rotation Assembler'!$A58, Calculations!$AC$5:$AC$51, 0), MATCH('Rotation Assembler'!Q$21, Calculations!$AC$5:$AG$5, 0))</f>
        <v>0</v>
      </c>
      <c r="R58" s="128">
        <f>INDEX(Calculations!$AC$5:$AG$51, MATCH('Rotation Assembler'!$A58, Calculations!$AC$5:$AC$51, 0), MATCH('Rotation Assembler'!R$21, Calculations!$AC$5:$AG$5, 0))</f>
        <v>0</v>
      </c>
      <c r="S58" s="128">
        <f>INDEX(Calculations!$AC$5:$AG$51, MATCH('Rotation Assembler'!$A58, Calculations!$AC$5:$AC$51, 0), MATCH('Rotation Assembler'!S$21, Calculations!$AC$5:$AG$5, 0))</f>
        <v>0</v>
      </c>
      <c r="T58" s="128">
        <f>INDEX(Calculations!$AC$5:$AG$51, MATCH('Rotation Assembler'!$A58, Calculations!$AC$5:$AC$51, 0), MATCH('Rotation Assembler'!T$21, Calculations!$AC$5:$AG$5, 0))</f>
        <v>0</v>
      </c>
      <c r="U58" s="128">
        <f>INDEX(Calculations!$AC$5:$AG$51, MATCH('Rotation Assembler'!$A58, Calculations!$AC$5:$AC$51, 0), MATCH('Rotation Assembler'!U$21, Calculations!$AC$5:$AG$5, 0))</f>
        <v>0</v>
      </c>
      <c r="V58" s="128">
        <f>INDEX(Calculations!$AC$5:$AG$51, MATCH('Rotation Assembler'!$A58, Calculations!$AC$5:$AC$51, 0), MATCH('Rotation Assembler'!V$21, Calculations!$AC$5:$AG$5, 0))</f>
        <v>0</v>
      </c>
      <c r="W58" s="128">
        <f>INDEX(Calculations!$AC$5:$AG$51, MATCH('Rotation Assembler'!$A58, Calculations!$AC$5:$AC$51, 0), MATCH('Rotation Assembler'!W$21, Calculations!$AC$5:$AG$5, 0))</f>
        <v>0</v>
      </c>
      <c r="X58" s="128">
        <f>INDEX(Calculations!$AC$5:$AG$51, MATCH('Rotation Assembler'!$A58, Calculations!$AC$5:$AC$51, 0), MATCH('Rotation Assembler'!X$21, Calculations!$AC$5:$AG$5, 0))</f>
        <v>0</v>
      </c>
      <c r="Y58" s="128">
        <f>INDEX(Calculations!$AC$5:$AG$51, MATCH('Rotation Assembler'!$A58, Calculations!$AC$5:$AC$51, 0), MATCH('Rotation Assembler'!Y$21, Calculations!$AC$5:$AG$5, 0))</f>
        <v>0</v>
      </c>
      <c r="Z58" s="128">
        <f>INDEX(Calculations!$AC$5:$AG$51, MATCH('Rotation Assembler'!$A58, Calculations!$AC$5:$AC$51, 0), MATCH('Rotation Assembler'!Z$21, Calculations!$AC$5:$AG$5, 0))</f>
        <v>0</v>
      </c>
      <c r="AA58" s="128">
        <f>INDEX(Calculations!$AC$5:$AG$51, MATCH('Rotation Assembler'!$A58, Calculations!$AC$5:$AC$51, 0), MATCH('Rotation Assembler'!AA$21, Calculations!$AC$5:$AG$5, 0))</f>
        <v>0</v>
      </c>
      <c r="AB58" s="128">
        <f>INDEX(Calculations!$AC$5:$AG$51, MATCH('Rotation Assembler'!$A58, Calculations!$AC$5:$AC$51, 0), MATCH('Rotation Assembler'!AB$21, Calculations!$AC$5:$AG$5, 0))</f>
        <v>0</v>
      </c>
      <c r="AC58" s="128">
        <f>INDEX(Calculations!$AC$5:$AG$51, MATCH('Rotation Assembler'!$A58, Calculations!$AC$5:$AC$51, 0), MATCH('Rotation Assembler'!AC$21, Calculations!$AC$5:$AG$5, 0))</f>
        <v>0</v>
      </c>
      <c r="AD58" s="128">
        <f>INDEX(Calculations!$AC$5:$AG$51, MATCH('Rotation Assembler'!$A58, Calculations!$AC$5:$AC$51, 0), MATCH('Rotation Assembler'!AD$21, Calculations!$AC$5:$AG$5, 0))</f>
        <v>0</v>
      </c>
      <c r="AE58" s="128">
        <f>INDEX(Calculations!$AC$5:$AG$51, MATCH('Rotation Assembler'!$A58, Calculations!$AC$5:$AC$51, 0), MATCH('Rotation Assembler'!AE$21, Calculations!$AC$5:$AG$5, 0))</f>
        <v>0</v>
      </c>
      <c r="AF58" s="128">
        <f>INDEX(Calculations!$AC$5:$AG$51, MATCH('Rotation Assembler'!$A58, Calculations!$AC$5:$AC$51, 0), MATCH('Rotation Assembler'!AF$21, Calculations!$AC$5:$AG$5, 0))</f>
        <v>0</v>
      </c>
      <c r="AG58" s="128">
        <f>INDEX(Calculations!$AC$5:$AG$51, MATCH('Rotation Assembler'!$A58, Calculations!$AC$5:$AC$51, 0), MATCH('Rotation Assembler'!AG$21, Calculations!$AC$5:$AG$5, 0))</f>
        <v>0</v>
      </c>
      <c r="AH58" s="128">
        <f>INDEX(Calculations!$AC$5:$AG$51, MATCH('Rotation Assembler'!$A58, Calculations!$AC$5:$AC$51, 0), MATCH('Rotation Assembler'!AH$21, Calculations!$AC$5:$AG$5, 0))</f>
        <v>0</v>
      </c>
      <c r="AI58" s="128">
        <f>INDEX(Calculations!$AC$5:$AG$51, MATCH('Rotation Assembler'!$A58, Calculations!$AC$5:$AC$51, 0), MATCH('Rotation Assembler'!AI$21, Calculations!$AC$5:$AG$5, 0))</f>
        <v>0</v>
      </c>
      <c r="AJ58" s="128">
        <f>INDEX(Calculations!$AC$5:$AG$51, MATCH('Rotation Assembler'!$A58, Calculations!$AC$5:$AC$51, 0), MATCH('Rotation Assembler'!AJ$21, Calculations!$AC$5:$AG$5, 0))</f>
        <v>0</v>
      </c>
      <c r="AK58" s="128"/>
      <c r="AL58" s="128"/>
      <c r="AM58" s="128"/>
      <c r="AN58" s="128"/>
      <c r="AO58" s="128"/>
      <c r="AP58" s="128"/>
      <c r="AQ58" s="128"/>
      <c r="AR58" s="128"/>
      <c r="AS58" s="128"/>
      <c r="AT58" s="128"/>
      <c r="AU58" s="128"/>
      <c r="AV58" s="128"/>
      <c r="AW58" s="128"/>
      <c r="AX58" s="128"/>
      <c r="AY58" s="128"/>
      <c r="AZ58" s="128"/>
      <c r="BA58" s="128"/>
      <c r="BB58" s="128"/>
      <c r="BC58" s="128"/>
      <c r="BD58" s="128"/>
      <c r="BE58" s="128"/>
      <c r="BF58" s="128"/>
      <c r="BG58" s="128"/>
      <c r="BH58" s="128"/>
      <c r="BI58" s="128"/>
      <c r="BJ58" s="128"/>
      <c r="BK58" s="128"/>
      <c r="BL58" s="128"/>
      <c r="BM58" s="128"/>
      <c r="BN58" s="128"/>
      <c r="BO58" s="128"/>
      <c r="BP58" s="128"/>
      <c r="BQ58" s="128"/>
      <c r="BR58" s="128"/>
      <c r="BS58" s="128"/>
      <c r="BT58" s="128"/>
    </row>
    <row r="59" spans="1:72" hidden="1" outlineLevel="1" x14ac:dyDescent="0.25">
      <c r="A59" s="124" t="s">
        <v>94</v>
      </c>
      <c r="B59" s="128">
        <f>INDEX(Calculations!$AC$5:$AG$51, MATCH('Rotation Assembler'!$A59, Calculations!$AC$5:$AC$51, 0), MATCH('Rotation Assembler'!B$21, Calculations!$AC$5:$AG$5, 0))</f>
        <v>0</v>
      </c>
      <c r="C59" s="128">
        <f>INDEX(Calculations!$AC$5:$AG$51, MATCH('Rotation Assembler'!$A59, Calculations!$AC$5:$AC$51, 0), MATCH('Rotation Assembler'!C$21, Calculations!$AC$5:$AG$5, 0))</f>
        <v>0</v>
      </c>
      <c r="D59" s="128">
        <f>INDEX(Calculations!$AC$5:$AG$51, MATCH('Rotation Assembler'!$A59, Calculations!$AC$5:$AC$51, 0), MATCH('Rotation Assembler'!D$21, Calculations!$AC$5:$AG$5, 0))</f>
        <v>0</v>
      </c>
      <c r="E59" s="128">
        <f>INDEX(Calculations!$AC$5:$AG$51, MATCH('Rotation Assembler'!$A59, Calculations!$AC$5:$AC$51, 0), MATCH('Rotation Assembler'!E$21, Calculations!$AC$5:$AG$5, 0))</f>
        <v>0</v>
      </c>
      <c r="F59" s="128">
        <f>INDEX(Calculations!$AC$5:$AG$51, MATCH('Rotation Assembler'!$A59, Calculations!$AC$5:$AC$51, 0), MATCH('Rotation Assembler'!F$21, Calculations!$AC$5:$AG$5, 0))</f>
        <v>0</v>
      </c>
      <c r="G59" s="128">
        <f>INDEX(Calculations!$AC$5:$AG$51, MATCH('Rotation Assembler'!$A59, Calculations!$AC$5:$AC$51, 0), MATCH('Rotation Assembler'!G$21, Calculations!$AC$5:$AG$5, 0))</f>
        <v>0</v>
      </c>
      <c r="H59" s="128">
        <f>INDEX(Calculations!$AC$5:$AG$51, MATCH('Rotation Assembler'!$A59, Calculations!$AC$5:$AC$51, 0), MATCH('Rotation Assembler'!H$21, Calculations!$AC$5:$AG$5, 0))</f>
        <v>0</v>
      </c>
      <c r="I59" s="128">
        <f>INDEX(Calculations!$AC$5:$AG$51, MATCH('Rotation Assembler'!$A59, Calculations!$AC$5:$AC$51, 0), MATCH('Rotation Assembler'!I$21, Calculations!$AC$5:$AG$5, 0))</f>
        <v>0</v>
      </c>
      <c r="J59" s="128">
        <f>INDEX(Calculations!$AC$5:$AG$51, MATCH('Rotation Assembler'!$A59, Calculations!$AC$5:$AC$51, 0), MATCH('Rotation Assembler'!J$21, Calculations!$AC$5:$AG$5, 0))</f>
        <v>0</v>
      </c>
      <c r="K59" s="128">
        <f>INDEX(Calculations!$AC$5:$AG$51, MATCH('Rotation Assembler'!$A59, Calculations!$AC$5:$AC$51, 0), MATCH('Rotation Assembler'!K$21, Calculations!$AC$5:$AG$5, 0))</f>
        <v>0</v>
      </c>
      <c r="L59" s="128">
        <f>INDEX(Calculations!$AC$5:$AG$51, MATCH('Rotation Assembler'!$A59, Calculations!$AC$5:$AC$51, 0), MATCH('Rotation Assembler'!L$21, Calculations!$AC$5:$AG$5, 0))</f>
        <v>0</v>
      </c>
      <c r="M59" s="128">
        <f>INDEX(Calculations!$AC$5:$AG$51, MATCH('Rotation Assembler'!$A59, Calculations!$AC$5:$AC$51, 0), MATCH('Rotation Assembler'!M$21, Calculations!$AC$5:$AG$5, 0))</f>
        <v>0</v>
      </c>
      <c r="N59" s="128">
        <f>INDEX(Calculations!$AC$5:$AG$51, MATCH('Rotation Assembler'!$A59, Calculations!$AC$5:$AC$51, 0), MATCH('Rotation Assembler'!N$21, Calculations!$AC$5:$AG$5, 0))</f>
        <v>0</v>
      </c>
      <c r="O59" s="128">
        <f>INDEX(Calculations!$AC$5:$AG$51, MATCH('Rotation Assembler'!$A59, Calculations!$AC$5:$AC$51, 0), MATCH('Rotation Assembler'!O$21, Calculations!$AC$5:$AG$5, 0))</f>
        <v>0</v>
      </c>
      <c r="P59" s="128">
        <f>INDEX(Calculations!$AC$5:$AG$51, MATCH('Rotation Assembler'!$A59, Calculations!$AC$5:$AC$51, 0), MATCH('Rotation Assembler'!P$21, Calculations!$AC$5:$AG$5, 0))</f>
        <v>0</v>
      </c>
      <c r="Q59" s="128">
        <f>INDEX(Calculations!$AC$5:$AG$51, MATCH('Rotation Assembler'!$A59, Calculations!$AC$5:$AC$51, 0), MATCH('Rotation Assembler'!Q$21, Calculations!$AC$5:$AG$5, 0))</f>
        <v>0</v>
      </c>
      <c r="R59" s="128">
        <f>INDEX(Calculations!$AC$5:$AG$51, MATCH('Rotation Assembler'!$A59, Calculations!$AC$5:$AC$51, 0), MATCH('Rotation Assembler'!R$21, Calculations!$AC$5:$AG$5, 0))</f>
        <v>0</v>
      </c>
      <c r="S59" s="128">
        <f>INDEX(Calculations!$AC$5:$AG$51, MATCH('Rotation Assembler'!$A59, Calculations!$AC$5:$AC$51, 0), MATCH('Rotation Assembler'!S$21, Calculations!$AC$5:$AG$5, 0))</f>
        <v>0</v>
      </c>
      <c r="T59" s="128">
        <f>INDEX(Calculations!$AC$5:$AG$51, MATCH('Rotation Assembler'!$A59, Calculations!$AC$5:$AC$51, 0), MATCH('Rotation Assembler'!T$21, Calculations!$AC$5:$AG$5, 0))</f>
        <v>0</v>
      </c>
      <c r="U59" s="128">
        <f>INDEX(Calculations!$AC$5:$AG$51, MATCH('Rotation Assembler'!$A59, Calculations!$AC$5:$AC$51, 0), MATCH('Rotation Assembler'!U$21, Calculations!$AC$5:$AG$5, 0))</f>
        <v>0</v>
      </c>
      <c r="V59" s="128">
        <f>INDEX(Calculations!$AC$5:$AG$51, MATCH('Rotation Assembler'!$A59, Calculations!$AC$5:$AC$51, 0), MATCH('Rotation Assembler'!V$21, Calculations!$AC$5:$AG$5, 0))</f>
        <v>0</v>
      </c>
      <c r="W59" s="128">
        <f>INDEX(Calculations!$AC$5:$AG$51, MATCH('Rotation Assembler'!$A59, Calculations!$AC$5:$AC$51, 0), MATCH('Rotation Assembler'!W$21, Calculations!$AC$5:$AG$5, 0))</f>
        <v>0</v>
      </c>
      <c r="X59" s="128">
        <f>INDEX(Calculations!$AC$5:$AG$51, MATCH('Rotation Assembler'!$A59, Calculations!$AC$5:$AC$51, 0), MATCH('Rotation Assembler'!X$21, Calculations!$AC$5:$AG$5, 0))</f>
        <v>0</v>
      </c>
      <c r="Y59" s="128">
        <f>INDEX(Calculations!$AC$5:$AG$51, MATCH('Rotation Assembler'!$A59, Calculations!$AC$5:$AC$51, 0), MATCH('Rotation Assembler'!Y$21, Calculations!$AC$5:$AG$5, 0))</f>
        <v>0</v>
      </c>
      <c r="Z59" s="128">
        <f>INDEX(Calculations!$AC$5:$AG$51, MATCH('Rotation Assembler'!$A59, Calculations!$AC$5:$AC$51, 0), MATCH('Rotation Assembler'!Z$21, Calculations!$AC$5:$AG$5, 0))</f>
        <v>0</v>
      </c>
      <c r="AA59" s="128">
        <f>INDEX(Calculations!$AC$5:$AG$51, MATCH('Rotation Assembler'!$A59, Calculations!$AC$5:$AC$51, 0), MATCH('Rotation Assembler'!AA$21, Calculations!$AC$5:$AG$5, 0))</f>
        <v>0</v>
      </c>
      <c r="AB59" s="128">
        <f>INDEX(Calculations!$AC$5:$AG$51, MATCH('Rotation Assembler'!$A59, Calculations!$AC$5:$AC$51, 0), MATCH('Rotation Assembler'!AB$21, Calculations!$AC$5:$AG$5, 0))</f>
        <v>0</v>
      </c>
      <c r="AC59" s="128">
        <f>INDEX(Calculations!$AC$5:$AG$51, MATCH('Rotation Assembler'!$A59, Calculations!$AC$5:$AC$51, 0), MATCH('Rotation Assembler'!AC$21, Calculations!$AC$5:$AG$5, 0))</f>
        <v>0</v>
      </c>
      <c r="AD59" s="128">
        <f>INDEX(Calculations!$AC$5:$AG$51, MATCH('Rotation Assembler'!$A59, Calculations!$AC$5:$AC$51, 0), MATCH('Rotation Assembler'!AD$21, Calculations!$AC$5:$AG$5, 0))</f>
        <v>0</v>
      </c>
      <c r="AE59" s="128">
        <f>INDEX(Calculations!$AC$5:$AG$51, MATCH('Rotation Assembler'!$A59, Calculations!$AC$5:$AC$51, 0), MATCH('Rotation Assembler'!AE$21, Calculations!$AC$5:$AG$5, 0))</f>
        <v>0</v>
      </c>
      <c r="AF59" s="128">
        <f>INDEX(Calculations!$AC$5:$AG$51, MATCH('Rotation Assembler'!$A59, Calculations!$AC$5:$AC$51, 0), MATCH('Rotation Assembler'!AF$21, Calculations!$AC$5:$AG$5, 0))</f>
        <v>0</v>
      </c>
      <c r="AG59" s="128">
        <f>INDEX(Calculations!$AC$5:$AG$51, MATCH('Rotation Assembler'!$A59, Calculations!$AC$5:$AC$51, 0), MATCH('Rotation Assembler'!AG$21, Calculations!$AC$5:$AG$5, 0))</f>
        <v>0</v>
      </c>
      <c r="AH59" s="128">
        <f>INDEX(Calculations!$AC$5:$AG$51, MATCH('Rotation Assembler'!$A59, Calculations!$AC$5:$AC$51, 0), MATCH('Rotation Assembler'!AH$21, Calculations!$AC$5:$AG$5, 0))</f>
        <v>0</v>
      </c>
      <c r="AI59" s="128">
        <f>INDEX(Calculations!$AC$5:$AG$51, MATCH('Rotation Assembler'!$A59, Calculations!$AC$5:$AC$51, 0), MATCH('Rotation Assembler'!AI$21, Calculations!$AC$5:$AG$5, 0))</f>
        <v>0</v>
      </c>
      <c r="AJ59" s="128">
        <f>INDEX(Calculations!$AC$5:$AG$51, MATCH('Rotation Assembler'!$A59, Calculations!$AC$5:$AC$51, 0), MATCH('Rotation Assembler'!AJ$21, Calculations!$AC$5:$AG$5, 0))</f>
        <v>0</v>
      </c>
      <c r="AK59" s="128"/>
      <c r="AL59" s="128"/>
      <c r="AM59" s="128"/>
      <c r="AN59" s="128"/>
      <c r="AO59" s="128"/>
      <c r="AP59" s="128"/>
      <c r="AQ59" s="128"/>
      <c r="AR59" s="128"/>
      <c r="AS59" s="128"/>
      <c r="AT59" s="128"/>
      <c r="AU59" s="128"/>
      <c r="AV59" s="128"/>
      <c r="AW59" s="128"/>
      <c r="AX59" s="128"/>
      <c r="AY59" s="128"/>
      <c r="AZ59" s="128"/>
      <c r="BA59" s="128"/>
      <c r="BB59" s="128"/>
      <c r="BC59" s="128"/>
      <c r="BD59" s="128"/>
      <c r="BE59" s="128"/>
      <c r="BF59" s="128"/>
      <c r="BG59" s="128"/>
      <c r="BH59" s="128"/>
      <c r="BI59" s="128"/>
      <c r="BJ59" s="128"/>
      <c r="BK59" s="128"/>
      <c r="BL59" s="128"/>
      <c r="BM59" s="128"/>
      <c r="BN59" s="128"/>
      <c r="BO59" s="128"/>
      <c r="BP59" s="128"/>
      <c r="BQ59" s="128"/>
      <c r="BR59" s="128"/>
      <c r="BS59" s="128"/>
      <c r="BT59" s="128"/>
    </row>
    <row r="60" spans="1:72" hidden="1" outlineLevel="1" x14ac:dyDescent="0.25">
      <c r="A60" s="124" t="s">
        <v>95</v>
      </c>
      <c r="B60" s="128">
        <f>INDEX(Calculations!$AC$5:$AG$51, MATCH('Rotation Assembler'!$A60, Calculations!$AC$5:$AC$51, 0), MATCH('Rotation Assembler'!B$21, Calculations!$AC$5:$AG$5, 0))</f>
        <v>0</v>
      </c>
      <c r="C60" s="128">
        <f>INDEX(Calculations!$AC$5:$AG$51, MATCH('Rotation Assembler'!$A60, Calculations!$AC$5:$AC$51, 0), MATCH('Rotation Assembler'!C$21, Calculations!$AC$5:$AG$5, 0))</f>
        <v>0</v>
      </c>
      <c r="D60" s="128">
        <f>INDEX(Calculations!$AC$5:$AG$51, MATCH('Rotation Assembler'!$A60, Calculations!$AC$5:$AC$51, 0), MATCH('Rotation Assembler'!D$21, Calculations!$AC$5:$AG$5, 0))</f>
        <v>0</v>
      </c>
      <c r="E60" s="128">
        <f>INDEX(Calculations!$AC$5:$AG$51, MATCH('Rotation Assembler'!$A60, Calculations!$AC$5:$AC$51, 0), MATCH('Rotation Assembler'!E$21, Calculations!$AC$5:$AG$5, 0))</f>
        <v>0</v>
      </c>
      <c r="F60" s="128">
        <f>INDEX(Calculations!$AC$5:$AG$51, MATCH('Rotation Assembler'!$A60, Calculations!$AC$5:$AC$51, 0), MATCH('Rotation Assembler'!F$21, Calculations!$AC$5:$AG$5, 0))</f>
        <v>0</v>
      </c>
      <c r="G60" s="128">
        <f>INDEX(Calculations!$AC$5:$AG$51, MATCH('Rotation Assembler'!$A60, Calculations!$AC$5:$AC$51, 0), MATCH('Rotation Assembler'!G$21, Calculations!$AC$5:$AG$5, 0))</f>
        <v>0</v>
      </c>
      <c r="H60" s="128">
        <f>INDEX(Calculations!$AC$5:$AG$51, MATCH('Rotation Assembler'!$A60, Calculations!$AC$5:$AC$51, 0), MATCH('Rotation Assembler'!H$21, Calculations!$AC$5:$AG$5, 0))</f>
        <v>0</v>
      </c>
      <c r="I60" s="128">
        <f>INDEX(Calculations!$AC$5:$AG$51, MATCH('Rotation Assembler'!$A60, Calculations!$AC$5:$AC$51, 0), MATCH('Rotation Assembler'!I$21, Calculations!$AC$5:$AG$5, 0))</f>
        <v>0</v>
      </c>
      <c r="J60" s="128">
        <f>INDEX(Calculations!$AC$5:$AG$51, MATCH('Rotation Assembler'!$A60, Calculations!$AC$5:$AC$51, 0), MATCH('Rotation Assembler'!J$21, Calculations!$AC$5:$AG$5, 0))</f>
        <v>0</v>
      </c>
      <c r="K60" s="128">
        <f>INDEX(Calculations!$AC$5:$AG$51, MATCH('Rotation Assembler'!$A60, Calculations!$AC$5:$AC$51, 0), MATCH('Rotation Assembler'!K$21, Calculations!$AC$5:$AG$5, 0))</f>
        <v>0</v>
      </c>
      <c r="L60" s="128">
        <f>INDEX(Calculations!$AC$5:$AG$51, MATCH('Rotation Assembler'!$A60, Calculations!$AC$5:$AC$51, 0), MATCH('Rotation Assembler'!L$21, Calculations!$AC$5:$AG$5, 0))</f>
        <v>0</v>
      </c>
      <c r="M60" s="128">
        <f>INDEX(Calculations!$AC$5:$AG$51, MATCH('Rotation Assembler'!$A60, Calculations!$AC$5:$AC$51, 0), MATCH('Rotation Assembler'!M$21, Calculations!$AC$5:$AG$5, 0))</f>
        <v>0</v>
      </c>
      <c r="N60" s="128">
        <f>INDEX(Calculations!$AC$5:$AG$51, MATCH('Rotation Assembler'!$A60, Calculations!$AC$5:$AC$51, 0), MATCH('Rotation Assembler'!N$21, Calculations!$AC$5:$AG$5, 0))</f>
        <v>0</v>
      </c>
      <c r="O60" s="128">
        <f>INDEX(Calculations!$AC$5:$AG$51, MATCH('Rotation Assembler'!$A60, Calculations!$AC$5:$AC$51, 0), MATCH('Rotation Assembler'!O$21, Calculations!$AC$5:$AG$5, 0))</f>
        <v>0</v>
      </c>
      <c r="P60" s="128">
        <f>INDEX(Calculations!$AC$5:$AG$51, MATCH('Rotation Assembler'!$A60, Calculations!$AC$5:$AC$51, 0), MATCH('Rotation Assembler'!P$21, Calculations!$AC$5:$AG$5, 0))</f>
        <v>0</v>
      </c>
      <c r="Q60" s="128">
        <f>INDEX(Calculations!$AC$5:$AG$51, MATCH('Rotation Assembler'!$A60, Calculations!$AC$5:$AC$51, 0), MATCH('Rotation Assembler'!Q$21, Calculations!$AC$5:$AG$5, 0))</f>
        <v>0</v>
      </c>
      <c r="R60" s="128">
        <f>INDEX(Calculations!$AC$5:$AG$51, MATCH('Rotation Assembler'!$A60, Calculations!$AC$5:$AC$51, 0), MATCH('Rotation Assembler'!R$21, Calculations!$AC$5:$AG$5, 0))</f>
        <v>0</v>
      </c>
      <c r="S60" s="128">
        <f>INDEX(Calculations!$AC$5:$AG$51, MATCH('Rotation Assembler'!$A60, Calculations!$AC$5:$AC$51, 0), MATCH('Rotation Assembler'!S$21, Calculations!$AC$5:$AG$5, 0))</f>
        <v>0</v>
      </c>
      <c r="T60" s="128">
        <f>INDEX(Calculations!$AC$5:$AG$51, MATCH('Rotation Assembler'!$A60, Calculations!$AC$5:$AC$51, 0), MATCH('Rotation Assembler'!T$21, Calculations!$AC$5:$AG$5, 0))</f>
        <v>0</v>
      </c>
      <c r="U60" s="128">
        <f>INDEX(Calculations!$AC$5:$AG$51, MATCH('Rotation Assembler'!$A60, Calculations!$AC$5:$AC$51, 0), MATCH('Rotation Assembler'!U$21, Calculations!$AC$5:$AG$5, 0))</f>
        <v>0</v>
      </c>
      <c r="V60" s="128">
        <f>INDEX(Calculations!$AC$5:$AG$51, MATCH('Rotation Assembler'!$A60, Calculations!$AC$5:$AC$51, 0), MATCH('Rotation Assembler'!V$21, Calculations!$AC$5:$AG$5, 0))</f>
        <v>0</v>
      </c>
      <c r="W60" s="128">
        <f>INDEX(Calculations!$AC$5:$AG$51, MATCH('Rotation Assembler'!$A60, Calculations!$AC$5:$AC$51, 0), MATCH('Rotation Assembler'!W$21, Calculations!$AC$5:$AG$5, 0))</f>
        <v>0</v>
      </c>
      <c r="X60" s="128">
        <f>INDEX(Calculations!$AC$5:$AG$51, MATCH('Rotation Assembler'!$A60, Calculations!$AC$5:$AC$51, 0), MATCH('Rotation Assembler'!X$21, Calculations!$AC$5:$AG$5, 0))</f>
        <v>0</v>
      </c>
      <c r="Y60" s="128">
        <f>INDEX(Calculations!$AC$5:$AG$51, MATCH('Rotation Assembler'!$A60, Calculations!$AC$5:$AC$51, 0), MATCH('Rotation Assembler'!Y$21, Calculations!$AC$5:$AG$5, 0))</f>
        <v>0</v>
      </c>
      <c r="Z60" s="128">
        <f>INDEX(Calculations!$AC$5:$AG$51, MATCH('Rotation Assembler'!$A60, Calculations!$AC$5:$AC$51, 0), MATCH('Rotation Assembler'!Z$21, Calculations!$AC$5:$AG$5, 0))</f>
        <v>0</v>
      </c>
      <c r="AA60" s="128">
        <f>INDEX(Calculations!$AC$5:$AG$51, MATCH('Rotation Assembler'!$A60, Calculations!$AC$5:$AC$51, 0), MATCH('Rotation Assembler'!AA$21, Calculations!$AC$5:$AG$5, 0))</f>
        <v>0</v>
      </c>
      <c r="AB60" s="128">
        <f>INDEX(Calculations!$AC$5:$AG$51, MATCH('Rotation Assembler'!$A60, Calculations!$AC$5:$AC$51, 0), MATCH('Rotation Assembler'!AB$21, Calculations!$AC$5:$AG$5, 0))</f>
        <v>0</v>
      </c>
      <c r="AC60" s="128">
        <f>INDEX(Calculations!$AC$5:$AG$51, MATCH('Rotation Assembler'!$A60, Calculations!$AC$5:$AC$51, 0), MATCH('Rotation Assembler'!AC$21, Calculations!$AC$5:$AG$5, 0))</f>
        <v>0</v>
      </c>
      <c r="AD60" s="128">
        <f>INDEX(Calculations!$AC$5:$AG$51, MATCH('Rotation Assembler'!$A60, Calculations!$AC$5:$AC$51, 0), MATCH('Rotation Assembler'!AD$21, Calculations!$AC$5:$AG$5, 0))</f>
        <v>0</v>
      </c>
      <c r="AE60" s="128">
        <f>INDEX(Calculations!$AC$5:$AG$51, MATCH('Rotation Assembler'!$A60, Calculations!$AC$5:$AC$51, 0), MATCH('Rotation Assembler'!AE$21, Calculations!$AC$5:$AG$5, 0))</f>
        <v>0</v>
      </c>
      <c r="AF60" s="128">
        <f>INDEX(Calculations!$AC$5:$AG$51, MATCH('Rotation Assembler'!$A60, Calculations!$AC$5:$AC$51, 0), MATCH('Rotation Assembler'!AF$21, Calculations!$AC$5:$AG$5, 0))</f>
        <v>0</v>
      </c>
      <c r="AG60" s="128">
        <f>INDEX(Calculations!$AC$5:$AG$51, MATCH('Rotation Assembler'!$A60, Calculations!$AC$5:$AC$51, 0), MATCH('Rotation Assembler'!AG$21, Calculations!$AC$5:$AG$5, 0))</f>
        <v>0</v>
      </c>
      <c r="AH60" s="128">
        <f>INDEX(Calculations!$AC$5:$AG$51, MATCH('Rotation Assembler'!$A60, Calculations!$AC$5:$AC$51, 0), MATCH('Rotation Assembler'!AH$21, Calculations!$AC$5:$AG$5, 0))</f>
        <v>0</v>
      </c>
      <c r="AI60" s="128">
        <f>INDEX(Calculations!$AC$5:$AG$51, MATCH('Rotation Assembler'!$A60, Calculations!$AC$5:$AC$51, 0), MATCH('Rotation Assembler'!AI$21, Calculations!$AC$5:$AG$5, 0))</f>
        <v>0</v>
      </c>
      <c r="AJ60" s="128">
        <f>INDEX(Calculations!$AC$5:$AG$51, MATCH('Rotation Assembler'!$A60, Calculations!$AC$5:$AC$51, 0), MATCH('Rotation Assembler'!AJ$21, Calculations!$AC$5:$AG$5, 0))</f>
        <v>0</v>
      </c>
      <c r="AK60" s="128"/>
      <c r="AL60" s="128"/>
      <c r="AM60" s="128"/>
      <c r="AN60" s="128"/>
      <c r="AO60" s="128"/>
      <c r="AP60" s="128"/>
      <c r="AQ60" s="128"/>
      <c r="AR60" s="128"/>
      <c r="AS60" s="128"/>
      <c r="AT60" s="128"/>
      <c r="AU60" s="128"/>
      <c r="AV60" s="128"/>
      <c r="AW60" s="128"/>
      <c r="AX60" s="128"/>
      <c r="AY60" s="128"/>
      <c r="AZ60" s="128"/>
      <c r="BA60" s="128"/>
      <c r="BB60" s="128"/>
      <c r="BC60" s="128"/>
      <c r="BD60" s="128"/>
      <c r="BE60" s="128"/>
      <c r="BF60" s="128"/>
      <c r="BG60" s="128"/>
      <c r="BH60" s="128"/>
      <c r="BI60" s="128"/>
      <c r="BJ60" s="128"/>
      <c r="BK60" s="128"/>
      <c r="BL60" s="128"/>
      <c r="BM60" s="128"/>
      <c r="BN60" s="128"/>
      <c r="BO60" s="128"/>
      <c r="BP60" s="128"/>
      <c r="BQ60" s="128"/>
      <c r="BR60" s="128"/>
      <c r="BS60" s="128"/>
      <c r="BT60" s="128"/>
    </row>
    <row r="61" spans="1:72" hidden="1" outlineLevel="1" x14ac:dyDescent="0.25">
      <c r="A61" s="124" t="s">
        <v>96</v>
      </c>
      <c r="B61" s="128">
        <f>INDEX(Calculations!$AC$5:$AG$51, MATCH('Rotation Assembler'!$A61, Calculations!$AC$5:$AC$51, 0), MATCH('Rotation Assembler'!B$21, Calculations!$AC$5:$AG$5, 0))</f>
        <v>0</v>
      </c>
      <c r="C61" s="128">
        <f>INDEX(Calculations!$AC$5:$AG$51, MATCH('Rotation Assembler'!$A61, Calculations!$AC$5:$AC$51, 0), MATCH('Rotation Assembler'!C$21, Calculations!$AC$5:$AG$5, 0))</f>
        <v>0</v>
      </c>
      <c r="D61" s="128">
        <f>INDEX(Calculations!$AC$5:$AG$51, MATCH('Rotation Assembler'!$A61, Calculations!$AC$5:$AC$51, 0), MATCH('Rotation Assembler'!D$21, Calculations!$AC$5:$AG$5, 0))</f>
        <v>0</v>
      </c>
      <c r="E61" s="128">
        <f>INDEX(Calculations!$AC$5:$AG$51, MATCH('Rotation Assembler'!$A61, Calculations!$AC$5:$AC$51, 0), MATCH('Rotation Assembler'!E$21, Calculations!$AC$5:$AG$5, 0))</f>
        <v>0</v>
      </c>
      <c r="F61" s="128">
        <f>INDEX(Calculations!$AC$5:$AG$51, MATCH('Rotation Assembler'!$A61, Calculations!$AC$5:$AC$51, 0), MATCH('Rotation Assembler'!F$21, Calculations!$AC$5:$AG$5, 0))</f>
        <v>0</v>
      </c>
      <c r="G61" s="128">
        <f>INDEX(Calculations!$AC$5:$AG$51, MATCH('Rotation Assembler'!$A61, Calculations!$AC$5:$AC$51, 0), MATCH('Rotation Assembler'!G$21, Calculations!$AC$5:$AG$5, 0))</f>
        <v>0</v>
      </c>
      <c r="H61" s="128">
        <f>INDEX(Calculations!$AC$5:$AG$51, MATCH('Rotation Assembler'!$A61, Calculations!$AC$5:$AC$51, 0), MATCH('Rotation Assembler'!H$21, Calculations!$AC$5:$AG$5, 0))</f>
        <v>0</v>
      </c>
      <c r="I61" s="128">
        <f>INDEX(Calculations!$AC$5:$AG$51, MATCH('Rotation Assembler'!$A61, Calculations!$AC$5:$AC$51, 0), MATCH('Rotation Assembler'!I$21, Calculations!$AC$5:$AG$5, 0))</f>
        <v>0</v>
      </c>
      <c r="J61" s="128">
        <f>INDEX(Calculations!$AC$5:$AG$51, MATCH('Rotation Assembler'!$A61, Calculations!$AC$5:$AC$51, 0), MATCH('Rotation Assembler'!J$21, Calculations!$AC$5:$AG$5, 0))</f>
        <v>0</v>
      </c>
      <c r="K61" s="128">
        <f>INDEX(Calculations!$AC$5:$AG$51, MATCH('Rotation Assembler'!$A61, Calculations!$AC$5:$AC$51, 0), MATCH('Rotation Assembler'!K$21, Calculations!$AC$5:$AG$5, 0))</f>
        <v>0</v>
      </c>
      <c r="L61" s="128">
        <f>INDEX(Calculations!$AC$5:$AG$51, MATCH('Rotation Assembler'!$A61, Calculations!$AC$5:$AC$51, 0), MATCH('Rotation Assembler'!L$21, Calculations!$AC$5:$AG$5, 0))</f>
        <v>0</v>
      </c>
      <c r="M61" s="128">
        <f>INDEX(Calculations!$AC$5:$AG$51, MATCH('Rotation Assembler'!$A61, Calculations!$AC$5:$AC$51, 0), MATCH('Rotation Assembler'!M$21, Calculations!$AC$5:$AG$5, 0))</f>
        <v>0</v>
      </c>
      <c r="N61" s="128">
        <f>INDEX(Calculations!$AC$5:$AG$51, MATCH('Rotation Assembler'!$A61, Calculations!$AC$5:$AC$51, 0), MATCH('Rotation Assembler'!N$21, Calculations!$AC$5:$AG$5, 0))</f>
        <v>0</v>
      </c>
      <c r="O61" s="128">
        <f>INDEX(Calculations!$AC$5:$AG$51, MATCH('Rotation Assembler'!$A61, Calculations!$AC$5:$AC$51, 0), MATCH('Rotation Assembler'!O$21, Calculations!$AC$5:$AG$5, 0))</f>
        <v>0</v>
      </c>
      <c r="P61" s="128">
        <f>INDEX(Calculations!$AC$5:$AG$51, MATCH('Rotation Assembler'!$A61, Calculations!$AC$5:$AC$51, 0), MATCH('Rotation Assembler'!P$21, Calculations!$AC$5:$AG$5, 0))</f>
        <v>0</v>
      </c>
      <c r="Q61" s="128">
        <f>INDEX(Calculations!$AC$5:$AG$51, MATCH('Rotation Assembler'!$A61, Calculations!$AC$5:$AC$51, 0), MATCH('Rotation Assembler'!Q$21, Calculations!$AC$5:$AG$5, 0))</f>
        <v>0</v>
      </c>
      <c r="R61" s="128">
        <f>INDEX(Calculations!$AC$5:$AG$51, MATCH('Rotation Assembler'!$A61, Calculations!$AC$5:$AC$51, 0), MATCH('Rotation Assembler'!R$21, Calculations!$AC$5:$AG$5, 0))</f>
        <v>0</v>
      </c>
      <c r="S61" s="128">
        <f>INDEX(Calculations!$AC$5:$AG$51, MATCH('Rotation Assembler'!$A61, Calculations!$AC$5:$AC$51, 0), MATCH('Rotation Assembler'!S$21, Calculations!$AC$5:$AG$5, 0))</f>
        <v>0</v>
      </c>
      <c r="T61" s="128">
        <f>INDEX(Calculations!$AC$5:$AG$51, MATCH('Rotation Assembler'!$A61, Calculations!$AC$5:$AC$51, 0), MATCH('Rotation Assembler'!T$21, Calculations!$AC$5:$AG$5, 0))</f>
        <v>0</v>
      </c>
      <c r="U61" s="128">
        <f>INDEX(Calculations!$AC$5:$AG$51, MATCH('Rotation Assembler'!$A61, Calculations!$AC$5:$AC$51, 0), MATCH('Rotation Assembler'!U$21, Calculations!$AC$5:$AG$5, 0))</f>
        <v>0</v>
      </c>
      <c r="V61" s="128">
        <f>INDEX(Calculations!$AC$5:$AG$51, MATCH('Rotation Assembler'!$A61, Calculations!$AC$5:$AC$51, 0), MATCH('Rotation Assembler'!V$21, Calculations!$AC$5:$AG$5, 0))</f>
        <v>0</v>
      </c>
      <c r="W61" s="128">
        <f>INDEX(Calculations!$AC$5:$AG$51, MATCH('Rotation Assembler'!$A61, Calculations!$AC$5:$AC$51, 0), MATCH('Rotation Assembler'!W$21, Calculations!$AC$5:$AG$5, 0))</f>
        <v>0</v>
      </c>
      <c r="X61" s="128">
        <f>INDEX(Calculations!$AC$5:$AG$51, MATCH('Rotation Assembler'!$A61, Calculations!$AC$5:$AC$51, 0), MATCH('Rotation Assembler'!X$21, Calculations!$AC$5:$AG$5, 0))</f>
        <v>0</v>
      </c>
      <c r="Y61" s="128">
        <f>INDEX(Calculations!$AC$5:$AG$51, MATCH('Rotation Assembler'!$A61, Calculations!$AC$5:$AC$51, 0), MATCH('Rotation Assembler'!Y$21, Calculations!$AC$5:$AG$5, 0))</f>
        <v>0</v>
      </c>
      <c r="Z61" s="128">
        <f>INDEX(Calculations!$AC$5:$AG$51, MATCH('Rotation Assembler'!$A61, Calculations!$AC$5:$AC$51, 0), MATCH('Rotation Assembler'!Z$21, Calculations!$AC$5:$AG$5, 0))</f>
        <v>0</v>
      </c>
      <c r="AA61" s="128">
        <f>INDEX(Calculations!$AC$5:$AG$51, MATCH('Rotation Assembler'!$A61, Calculations!$AC$5:$AC$51, 0), MATCH('Rotation Assembler'!AA$21, Calculations!$AC$5:$AG$5, 0))</f>
        <v>0</v>
      </c>
      <c r="AB61" s="128">
        <f>INDEX(Calculations!$AC$5:$AG$51, MATCH('Rotation Assembler'!$A61, Calculations!$AC$5:$AC$51, 0), MATCH('Rotation Assembler'!AB$21, Calculations!$AC$5:$AG$5, 0))</f>
        <v>0</v>
      </c>
      <c r="AC61" s="128">
        <f>INDEX(Calculations!$AC$5:$AG$51, MATCH('Rotation Assembler'!$A61, Calculations!$AC$5:$AC$51, 0), MATCH('Rotation Assembler'!AC$21, Calculations!$AC$5:$AG$5, 0))</f>
        <v>0</v>
      </c>
      <c r="AD61" s="128">
        <f>INDEX(Calculations!$AC$5:$AG$51, MATCH('Rotation Assembler'!$A61, Calculations!$AC$5:$AC$51, 0), MATCH('Rotation Assembler'!AD$21, Calculations!$AC$5:$AG$5, 0))</f>
        <v>0</v>
      </c>
      <c r="AE61" s="128">
        <f>INDEX(Calculations!$AC$5:$AG$51, MATCH('Rotation Assembler'!$A61, Calculations!$AC$5:$AC$51, 0), MATCH('Rotation Assembler'!AE$21, Calculations!$AC$5:$AG$5, 0))</f>
        <v>0</v>
      </c>
      <c r="AF61" s="128">
        <f>INDEX(Calculations!$AC$5:$AG$51, MATCH('Rotation Assembler'!$A61, Calculations!$AC$5:$AC$51, 0), MATCH('Rotation Assembler'!AF$21, Calculations!$AC$5:$AG$5, 0))</f>
        <v>0</v>
      </c>
      <c r="AG61" s="128">
        <f>INDEX(Calculations!$AC$5:$AG$51, MATCH('Rotation Assembler'!$A61, Calculations!$AC$5:$AC$51, 0), MATCH('Rotation Assembler'!AG$21, Calculations!$AC$5:$AG$5, 0))</f>
        <v>0</v>
      </c>
      <c r="AH61" s="128">
        <f>INDEX(Calculations!$AC$5:$AG$51, MATCH('Rotation Assembler'!$A61, Calculations!$AC$5:$AC$51, 0), MATCH('Rotation Assembler'!AH$21, Calculations!$AC$5:$AG$5, 0))</f>
        <v>0</v>
      </c>
      <c r="AI61" s="128">
        <f>INDEX(Calculations!$AC$5:$AG$51, MATCH('Rotation Assembler'!$A61, Calculations!$AC$5:$AC$51, 0), MATCH('Rotation Assembler'!AI$21, Calculations!$AC$5:$AG$5, 0))</f>
        <v>0</v>
      </c>
      <c r="AJ61" s="128">
        <f>INDEX(Calculations!$AC$5:$AG$51, MATCH('Rotation Assembler'!$A61, Calculations!$AC$5:$AC$51, 0), MATCH('Rotation Assembler'!AJ$21, Calculations!$AC$5:$AG$5, 0))</f>
        <v>0</v>
      </c>
      <c r="AK61" s="128"/>
      <c r="AL61" s="128"/>
      <c r="AM61" s="128"/>
      <c r="AN61" s="128"/>
      <c r="AO61" s="128"/>
      <c r="AP61" s="128"/>
      <c r="AQ61" s="128"/>
      <c r="AR61" s="128"/>
      <c r="AS61" s="128"/>
      <c r="AT61" s="128"/>
      <c r="AU61" s="128"/>
      <c r="AV61" s="128"/>
      <c r="AW61" s="128"/>
      <c r="AX61" s="128"/>
      <c r="AY61" s="128"/>
      <c r="AZ61" s="128"/>
      <c r="BA61" s="128"/>
      <c r="BB61" s="128"/>
      <c r="BC61" s="128"/>
      <c r="BD61" s="128"/>
      <c r="BE61" s="128"/>
      <c r="BF61" s="128"/>
      <c r="BG61" s="128"/>
      <c r="BH61" s="128"/>
      <c r="BI61" s="128"/>
      <c r="BJ61" s="128"/>
      <c r="BK61" s="128"/>
      <c r="BL61" s="128"/>
      <c r="BM61" s="128"/>
      <c r="BN61" s="128"/>
      <c r="BO61" s="128"/>
      <c r="BP61" s="128"/>
      <c r="BQ61" s="128"/>
      <c r="BR61" s="128"/>
      <c r="BS61" s="128"/>
      <c r="BT61" s="128"/>
    </row>
    <row r="62" spans="1:72" hidden="1" outlineLevel="1" x14ac:dyDescent="0.25">
      <c r="A62" s="124" t="s">
        <v>97</v>
      </c>
      <c r="B62" s="128">
        <f>INDEX(Calculations!$AC$5:$AG$51, MATCH('Rotation Assembler'!$A62, Calculations!$AC$5:$AC$51, 0), MATCH('Rotation Assembler'!B$21, Calculations!$AC$5:$AG$5, 0))</f>
        <v>0</v>
      </c>
      <c r="C62" s="128">
        <f>INDEX(Calculations!$AC$5:$AG$51, MATCH('Rotation Assembler'!$A62, Calculations!$AC$5:$AC$51, 0), MATCH('Rotation Assembler'!C$21, Calculations!$AC$5:$AG$5, 0))</f>
        <v>0</v>
      </c>
      <c r="D62" s="128">
        <f>INDEX(Calculations!$AC$5:$AG$51, MATCH('Rotation Assembler'!$A62, Calculations!$AC$5:$AC$51, 0), MATCH('Rotation Assembler'!D$21, Calculations!$AC$5:$AG$5, 0))</f>
        <v>0</v>
      </c>
      <c r="E62" s="128">
        <f>INDEX(Calculations!$AC$5:$AG$51, MATCH('Rotation Assembler'!$A62, Calculations!$AC$5:$AC$51, 0), MATCH('Rotation Assembler'!E$21, Calculations!$AC$5:$AG$5, 0))</f>
        <v>0</v>
      </c>
      <c r="F62" s="128">
        <f>INDEX(Calculations!$AC$5:$AG$51, MATCH('Rotation Assembler'!$A62, Calculations!$AC$5:$AC$51, 0), MATCH('Rotation Assembler'!F$21, Calculations!$AC$5:$AG$5, 0))</f>
        <v>0</v>
      </c>
      <c r="G62" s="128">
        <f>INDEX(Calculations!$AC$5:$AG$51, MATCH('Rotation Assembler'!$A62, Calculations!$AC$5:$AC$51, 0), MATCH('Rotation Assembler'!G$21, Calculations!$AC$5:$AG$5, 0))</f>
        <v>0</v>
      </c>
      <c r="H62" s="128">
        <f>INDEX(Calculations!$AC$5:$AG$51, MATCH('Rotation Assembler'!$A62, Calculations!$AC$5:$AC$51, 0), MATCH('Rotation Assembler'!H$21, Calculations!$AC$5:$AG$5, 0))</f>
        <v>0</v>
      </c>
      <c r="I62" s="128">
        <f>INDEX(Calculations!$AC$5:$AG$51, MATCH('Rotation Assembler'!$A62, Calculations!$AC$5:$AC$51, 0), MATCH('Rotation Assembler'!I$21, Calculations!$AC$5:$AG$5, 0))</f>
        <v>0</v>
      </c>
      <c r="J62" s="128">
        <f>INDEX(Calculations!$AC$5:$AG$51, MATCH('Rotation Assembler'!$A62, Calculations!$AC$5:$AC$51, 0), MATCH('Rotation Assembler'!J$21, Calculations!$AC$5:$AG$5, 0))</f>
        <v>0</v>
      </c>
      <c r="K62" s="128">
        <f>INDEX(Calculations!$AC$5:$AG$51, MATCH('Rotation Assembler'!$A62, Calculations!$AC$5:$AC$51, 0), MATCH('Rotation Assembler'!K$21, Calculations!$AC$5:$AG$5, 0))</f>
        <v>0</v>
      </c>
      <c r="L62" s="128">
        <f>INDEX(Calculations!$AC$5:$AG$51, MATCH('Rotation Assembler'!$A62, Calculations!$AC$5:$AC$51, 0), MATCH('Rotation Assembler'!L$21, Calculations!$AC$5:$AG$5, 0))</f>
        <v>0</v>
      </c>
      <c r="M62" s="128">
        <f>INDEX(Calculations!$AC$5:$AG$51, MATCH('Rotation Assembler'!$A62, Calculations!$AC$5:$AC$51, 0), MATCH('Rotation Assembler'!M$21, Calculations!$AC$5:$AG$5, 0))</f>
        <v>0</v>
      </c>
      <c r="N62" s="128">
        <f>INDEX(Calculations!$AC$5:$AG$51, MATCH('Rotation Assembler'!$A62, Calculations!$AC$5:$AC$51, 0), MATCH('Rotation Assembler'!N$21, Calculations!$AC$5:$AG$5, 0))</f>
        <v>0</v>
      </c>
      <c r="O62" s="128">
        <f>INDEX(Calculations!$AC$5:$AG$51, MATCH('Rotation Assembler'!$A62, Calculations!$AC$5:$AC$51, 0), MATCH('Rotation Assembler'!O$21, Calculations!$AC$5:$AG$5, 0))</f>
        <v>0</v>
      </c>
      <c r="P62" s="128">
        <f>INDEX(Calculations!$AC$5:$AG$51, MATCH('Rotation Assembler'!$A62, Calculations!$AC$5:$AC$51, 0), MATCH('Rotation Assembler'!P$21, Calculations!$AC$5:$AG$5, 0))</f>
        <v>0</v>
      </c>
      <c r="Q62" s="128">
        <f>INDEX(Calculations!$AC$5:$AG$51, MATCH('Rotation Assembler'!$A62, Calculations!$AC$5:$AC$51, 0), MATCH('Rotation Assembler'!Q$21, Calculations!$AC$5:$AG$5, 0))</f>
        <v>0</v>
      </c>
      <c r="R62" s="128">
        <f>INDEX(Calculations!$AC$5:$AG$51, MATCH('Rotation Assembler'!$A62, Calculations!$AC$5:$AC$51, 0), MATCH('Rotation Assembler'!R$21, Calculations!$AC$5:$AG$5, 0))</f>
        <v>0</v>
      </c>
      <c r="S62" s="128">
        <f>INDEX(Calculations!$AC$5:$AG$51, MATCH('Rotation Assembler'!$A62, Calculations!$AC$5:$AC$51, 0), MATCH('Rotation Assembler'!S$21, Calculations!$AC$5:$AG$5, 0))</f>
        <v>0</v>
      </c>
      <c r="T62" s="128">
        <f>INDEX(Calculations!$AC$5:$AG$51, MATCH('Rotation Assembler'!$A62, Calculations!$AC$5:$AC$51, 0), MATCH('Rotation Assembler'!T$21, Calculations!$AC$5:$AG$5, 0))</f>
        <v>0</v>
      </c>
      <c r="U62" s="128">
        <f>INDEX(Calculations!$AC$5:$AG$51, MATCH('Rotation Assembler'!$A62, Calculations!$AC$5:$AC$51, 0), MATCH('Rotation Assembler'!U$21, Calculations!$AC$5:$AG$5, 0))</f>
        <v>0</v>
      </c>
      <c r="V62" s="128">
        <f>INDEX(Calculations!$AC$5:$AG$51, MATCH('Rotation Assembler'!$A62, Calculations!$AC$5:$AC$51, 0), MATCH('Rotation Assembler'!V$21, Calculations!$AC$5:$AG$5, 0))</f>
        <v>0</v>
      </c>
      <c r="W62" s="128">
        <f>INDEX(Calculations!$AC$5:$AG$51, MATCH('Rotation Assembler'!$A62, Calculations!$AC$5:$AC$51, 0), MATCH('Rotation Assembler'!W$21, Calculations!$AC$5:$AG$5, 0))</f>
        <v>0</v>
      </c>
      <c r="X62" s="128">
        <f>INDEX(Calculations!$AC$5:$AG$51, MATCH('Rotation Assembler'!$A62, Calculations!$AC$5:$AC$51, 0), MATCH('Rotation Assembler'!X$21, Calculations!$AC$5:$AG$5, 0))</f>
        <v>0</v>
      </c>
      <c r="Y62" s="128">
        <f>INDEX(Calculations!$AC$5:$AG$51, MATCH('Rotation Assembler'!$A62, Calculations!$AC$5:$AC$51, 0), MATCH('Rotation Assembler'!Y$21, Calculations!$AC$5:$AG$5, 0))</f>
        <v>0</v>
      </c>
      <c r="Z62" s="128">
        <f>INDEX(Calculations!$AC$5:$AG$51, MATCH('Rotation Assembler'!$A62, Calculations!$AC$5:$AC$51, 0), MATCH('Rotation Assembler'!Z$21, Calculations!$AC$5:$AG$5, 0))</f>
        <v>0</v>
      </c>
      <c r="AA62" s="128">
        <f>INDEX(Calculations!$AC$5:$AG$51, MATCH('Rotation Assembler'!$A62, Calculations!$AC$5:$AC$51, 0), MATCH('Rotation Assembler'!AA$21, Calculations!$AC$5:$AG$5, 0))</f>
        <v>0</v>
      </c>
      <c r="AB62" s="128">
        <f>INDEX(Calculations!$AC$5:$AG$51, MATCH('Rotation Assembler'!$A62, Calculations!$AC$5:$AC$51, 0), MATCH('Rotation Assembler'!AB$21, Calculations!$AC$5:$AG$5, 0))</f>
        <v>0</v>
      </c>
      <c r="AC62" s="128">
        <f>INDEX(Calculations!$AC$5:$AG$51, MATCH('Rotation Assembler'!$A62, Calculations!$AC$5:$AC$51, 0), MATCH('Rotation Assembler'!AC$21, Calculations!$AC$5:$AG$5, 0))</f>
        <v>0</v>
      </c>
      <c r="AD62" s="128">
        <f>INDEX(Calculations!$AC$5:$AG$51, MATCH('Rotation Assembler'!$A62, Calculations!$AC$5:$AC$51, 0), MATCH('Rotation Assembler'!AD$21, Calculations!$AC$5:$AG$5, 0))</f>
        <v>0</v>
      </c>
      <c r="AE62" s="128">
        <f>INDEX(Calculations!$AC$5:$AG$51, MATCH('Rotation Assembler'!$A62, Calculations!$AC$5:$AC$51, 0), MATCH('Rotation Assembler'!AE$21, Calculations!$AC$5:$AG$5, 0))</f>
        <v>0</v>
      </c>
      <c r="AF62" s="128">
        <f>INDEX(Calculations!$AC$5:$AG$51, MATCH('Rotation Assembler'!$A62, Calculations!$AC$5:$AC$51, 0), MATCH('Rotation Assembler'!AF$21, Calculations!$AC$5:$AG$5, 0))</f>
        <v>0</v>
      </c>
      <c r="AG62" s="128">
        <f>INDEX(Calculations!$AC$5:$AG$51, MATCH('Rotation Assembler'!$A62, Calculations!$AC$5:$AC$51, 0), MATCH('Rotation Assembler'!AG$21, Calculations!$AC$5:$AG$5, 0))</f>
        <v>0</v>
      </c>
      <c r="AH62" s="128">
        <f>INDEX(Calculations!$AC$5:$AG$51, MATCH('Rotation Assembler'!$A62, Calculations!$AC$5:$AC$51, 0), MATCH('Rotation Assembler'!AH$21, Calculations!$AC$5:$AG$5, 0))</f>
        <v>0</v>
      </c>
      <c r="AI62" s="128">
        <f>INDEX(Calculations!$AC$5:$AG$51, MATCH('Rotation Assembler'!$A62, Calculations!$AC$5:$AC$51, 0), MATCH('Rotation Assembler'!AI$21, Calculations!$AC$5:$AG$5, 0))</f>
        <v>0</v>
      </c>
      <c r="AJ62" s="128">
        <f>INDEX(Calculations!$AC$5:$AG$51, MATCH('Rotation Assembler'!$A62, Calculations!$AC$5:$AC$51, 0), MATCH('Rotation Assembler'!AJ$21, Calculations!$AC$5:$AG$5, 0))</f>
        <v>0</v>
      </c>
      <c r="AK62" s="128"/>
      <c r="AL62" s="128"/>
      <c r="AM62" s="128"/>
      <c r="AN62" s="128"/>
      <c r="AO62" s="128"/>
      <c r="AP62" s="128"/>
      <c r="AQ62" s="128"/>
      <c r="AR62" s="128"/>
      <c r="AS62" s="128"/>
      <c r="AT62" s="128"/>
      <c r="AU62" s="128"/>
      <c r="AV62" s="128"/>
      <c r="AW62" s="128"/>
      <c r="AX62" s="128"/>
      <c r="AY62" s="128"/>
      <c r="AZ62" s="128"/>
      <c r="BA62" s="128"/>
      <c r="BB62" s="128"/>
      <c r="BC62" s="128"/>
      <c r="BD62" s="128"/>
      <c r="BE62" s="128"/>
      <c r="BF62" s="128"/>
      <c r="BG62" s="128"/>
      <c r="BH62" s="128"/>
      <c r="BI62" s="128"/>
      <c r="BJ62" s="128"/>
      <c r="BK62" s="128"/>
      <c r="BL62" s="128"/>
      <c r="BM62" s="128"/>
      <c r="BN62" s="128"/>
      <c r="BO62" s="128"/>
      <c r="BP62" s="128"/>
      <c r="BQ62" s="128"/>
      <c r="BR62" s="128"/>
      <c r="BS62" s="128"/>
      <c r="BT62" s="128"/>
    </row>
    <row r="63" spans="1:72" hidden="1" outlineLevel="1" x14ac:dyDescent="0.25">
      <c r="A63" s="124" t="s">
        <v>98</v>
      </c>
      <c r="B63" s="128">
        <f>INDEX(Calculations!$AC$5:$AG$51, MATCH('Rotation Assembler'!$A63, Calculations!$AC$5:$AC$51, 0), MATCH('Rotation Assembler'!B$21, Calculations!$AC$5:$AG$5, 0))</f>
        <v>0</v>
      </c>
      <c r="C63" s="128">
        <f>INDEX(Calculations!$AC$5:$AG$51, MATCH('Rotation Assembler'!$A63, Calculations!$AC$5:$AC$51, 0), MATCH('Rotation Assembler'!C$21, Calculations!$AC$5:$AG$5, 0))</f>
        <v>0</v>
      </c>
      <c r="D63" s="128">
        <f>INDEX(Calculations!$AC$5:$AG$51, MATCH('Rotation Assembler'!$A63, Calculations!$AC$5:$AC$51, 0), MATCH('Rotation Assembler'!D$21, Calculations!$AC$5:$AG$5, 0))</f>
        <v>0</v>
      </c>
      <c r="E63" s="128">
        <f>INDEX(Calculations!$AC$5:$AG$51, MATCH('Rotation Assembler'!$A63, Calculations!$AC$5:$AC$51, 0), MATCH('Rotation Assembler'!E$21, Calculations!$AC$5:$AG$5, 0))</f>
        <v>0</v>
      </c>
      <c r="F63" s="128">
        <f>INDEX(Calculations!$AC$5:$AG$51, MATCH('Rotation Assembler'!$A63, Calculations!$AC$5:$AC$51, 0), MATCH('Rotation Assembler'!F$21, Calculations!$AC$5:$AG$5, 0))</f>
        <v>0</v>
      </c>
      <c r="G63" s="128">
        <f>INDEX(Calculations!$AC$5:$AG$51, MATCH('Rotation Assembler'!$A63, Calculations!$AC$5:$AC$51, 0), MATCH('Rotation Assembler'!G$21, Calculations!$AC$5:$AG$5, 0))</f>
        <v>0</v>
      </c>
      <c r="H63" s="128">
        <f>INDEX(Calculations!$AC$5:$AG$51, MATCH('Rotation Assembler'!$A63, Calculations!$AC$5:$AC$51, 0), MATCH('Rotation Assembler'!H$21, Calculations!$AC$5:$AG$5, 0))</f>
        <v>0</v>
      </c>
      <c r="I63" s="128">
        <f>INDEX(Calculations!$AC$5:$AG$51, MATCH('Rotation Assembler'!$A63, Calculations!$AC$5:$AC$51, 0), MATCH('Rotation Assembler'!I$21, Calculations!$AC$5:$AG$5, 0))</f>
        <v>0</v>
      </c>
      <c r="J63" s="128">
        <f>INDEX(Calculations!$AC$5:$AG$51, MATCH('Rotation Assembler'!$A63, Calculations!$AC$5:$AC$51, 0), MATCH('Rotation Assembler'!J$21, Calculations!$AC$5:$AG$5, 0))</f>
        <v>0</v>
      </c>
      <c r="K63" s="128">
        <f>INDEX(Calculations!$AC$5:$AG$51, MATCH('Rotation Assembler'!$A63, Calculations!$AC$5:$AC$51, 0), MATCH('Rotation Assembler'!K$21, Calculations!$AC$5:$AG$5, 0))</f>
        <v>0</v>
      </c>
      <c r="L63" s="128">
        <f>INDEX(Calculations!$AC$5:$AG$51, MATCH('Rotation Assembler'!$A63, Calculations!$AC$5:$AC$51, 0), MATCH('Rotation Assembler'!L$21, Calculations!$AC$5:$AG$5, 0))</f>
        <v>0</v>
      </c>
      <c r="M63" s="128">
        <f>INDEX(Calculations!$AC$5:$AG$51, MATCH('Rotation Assembler'!$A63, Calculations!$AC$5:$AC$51, 0), MATCH('Rotation Assembler'!M$21, Calculations!$AC$5:$AG$5, 0))</f>
        <v>0</v>
      </c>
      <c r="N63" s="128">
        <f>INDEX(Calculations!$AC$5:$AG$51, MATCH('Rotation Assembler'!$A63, Calculations!$AC$5:$AC$51, 0), MATCH('Rotation Assembler'!N$21, Calculations!$AC$5:$AG$5, 0))</f>
        <v>0</v>
      </c>
      <c r="O63" s="128">
        <f>INDEX(Calculations!$AC$5:$AG$51, MATCH('Rotation Assembler'!$A63, Calculations!$AC$5:$AC$51, 0), MATCH('Rotation Assembler'!O$21, Calculations!$AC$5:$AG$5, 0))</f>
        <v>0</v>
      </c>
      <c r="P63" s="128">
        <f>INDEX(Calculations!$AC$5:$AG$51, MATCH('Rotation Assembler'!$A63, Calculations!$AC$5:$AC$51, 0), MATCH('Rotation Assembler'!P$21, Calculations!$AC$5:$AG$5, 0))</f>
        <v>0</v>
      </c>
      <c r="Q63" s="128">
        <f>INDEX(Calculations!$AC$5:$AG$51, MATCH('Rotation Assembler'!$A63, Calculations!$AC$5:$AC$51, 0), MATCH('Rotation Assembler'!Q$21, Calculations!$AC$5:$AG$5, 0))</f>
        <v>0</v>
      </c>
      <c r="R63" s="128">
        <f>INDEX(Calculations!$AC$5:$AG$51, MATCH('Rotation Assembler'!$A63, Calculations!$AC$5:$AC$51, 0), MATCH('Rotation Assembler'!R$21, Calculations!$AC$5:$AG$5, 0))</f>
        <v>0</v>
      </c>
      <c r="S63" s="128">
        <f>INDEX(Calculations!$AC$5:$AG$51, MATCH('Rotation Assembler'!$A63, Calculations!$AC$5:$AC$51, 0), MATCH('Rotation Assembler'!S$21, Calculations!$AC$5:$AG$5, 0))</f>
        <v>0</v>
      </c>
      <c r="T63" s="128">
        <f>INDEX(Calculations!$AC$5:$AG$51, MATCH('Rotation Assembler'!$A63, Calculations!$AC$5:$AC$51, 0), MATCH('Rotation Assembler'!T$21, Calculations!$AC$5:$AG$5, 0))</f>
        <v>0</v>
      </c>
      <c r="U63" s="128">
        <f>INDEX(Calculations!$AC$5:$AG$51, MATCH('Rotation Assembler'!$A63, Calculations!$AC$5:$AC$51, 0), MATCH('Rotation Assembler'!U$21, Calculations!$AC$5:$AG$5, 0))</f>
        <v>0</v>
      </c>
      <c r="V63" s="128">
        <f>INDEX(Calculations!$AC$5:$AG$51, MATCH('Rotation Assembler'!$A63, Calculations!$AC$5:$AC$51, 0), MATCH('Rotation Assembler'!V$21, Calculations!$AC$5:$AG$5, 0))</f>
        <v>0</v>
      </c>
      <c r="W63" s="128">
        <f>INDEX(Calculations!$AC$5:$AG$51, MATCH('Rotation Assembler'!$A63, Calculations!$AC$5:$AC$51, 0), MATCH('Rotation Assembler'!W$21, Calculations!$AC$5:$AG$5, 0))</f>
        <v>0</v>
      </c>
      <c r="X63" s="128">
        <f>INDEX(Calculations!$AC$5:$AG$51, MATCH('Rotation Assembler'!$A63, Calculations!$AC$5:$AC$51, 0), MATCH('Rotation Assembler'!X$21, Calculations!$AC$5:$AG$5, 0))</f>
        <v>0</v>
      </c>
      <c r="Y63" s="128">
        <f>INDEX(Calculations!$AC$5:$AG$51, MATCH('Rotation Assembler'!$A63, Calculations!$AC$5:$AC$51, 0), MATCH('Rotation Assembler'!Y$21, Calculations!$AC$5:$AG$5, 0))</f>
        <v>0</v>
      </c>
      <c r="Z63" s="128">
        <f>INDEX(Calculations!$AC$5:$AG$51, MATCH('Rotation Assembler'!$A63, Calculations!$AC$5:$AC$51, 0), MATCH('Rotation Assembler'!Z$21, Calculations!$AC$5:$AG$5, 0))</f>
        <v>0</v>
      </c>
      <c r="AA63" s="128">
        <f>INDEX(Calculations!$AC$5:$AG$51, MATCH('Rotation Assembler'!$A63, Calculations!$AC$5:$AC$51, 0), MATCH('Rotation Assembler'!AA$21, Calculations!$AC$5:$AG$5, 0))</f>
        <v>0</v>
      </c>
      <c r="AB63" s="128">
        <f>INDEX(Calculations!$AC$5:$AG$51, MATCH('Rotation Assembler'!$A63, Calculations!$AC$5:$AC$51, 0), MATCH('Rotation Assembler'!AB$21, Calculations!$AC$5:$AG$5, 0))</f>
        <v>0</v>
      </c>
      <c r="AC63" s="128">
        <f>INDEX(Calculations!$AC$5:$AG$51, MATCH('Rotation Assembler'!$A63, Calculations!$AC$5:$AC$51, 0), MATCH('Rotation Assembler'!AC$21, Calculations!$AC$5:$AG$5, 0))</f>
        <v>0</v>
      </c>
      <c r="AD63" s="128">
        <f>INDEX(Calculations!$AC$5:$AG$51, MATCH('Rotation Assembler'!$A63, Calculations!$AC$5:$AC$51, 0), MATCH('Rotation Assembler'!AD$21, Calculations!$AC$5:$AG$5, 0))</f>
        <v>0</v>
      </c>
      <c r="AE63" s="128">
        <f>INDEX(Calculations!$AC$5:$AG$51, MATCH('Rotation Assembler'!$A63, Calculations!$AC$5:$AC$51, 0), MATCH('Rotation Assembler'!AE$21, Calculations!$AC$5:$AG$5, 0))</f>
        <v>0</v>
      </c>
      <c r="AF63" s="128">
        <f>INDEX(Calculations!$AC$5:$AG$51, MATCH('Rotation Assembler'!$A63, Calculations!$AC$5:$AC$51, 0), MATCH('Rotation Assembler'!AF$21, Calculations!$AC$5:$AG$5, 0))</f>
        <v>0</v>
      </c>
      <c r="AG63" s="128">
        <f>INDEX(Calculations!$AC$5:$AG$51, MATCH('Rotation Assembler'!$A63, Calculations!$AC$5:$AC$51, 0), MATCH('Rotation Assembler'!AG$21, Calculations!$AC$5:$AG$5, 0))</f>
        <v>0</v>
      </c>
      <c r="AH63" s="128">
        <f>INDEX(Calculations!$AC$5:$AG$51, MATCH('Rotation Assembler'!$A63, Calculations!$AC$5:$AC$51, 0), MATCH('Rotation Assembler'!AH$21, Calculations!$AC$5:$AG$5, 0))</f>
        <v>0</v>
      </c>
      <c r="AI63" s="128">
        <f>INDEX(Calculations!$AC$5:$AG$51, MATCH('Rotation Assembler'!$A63, Calculations!$AC$5:$AC$51, 0), MATCH('Rotation Assembler'!AI$21, Calculations!$AC$5:$AG$5, 0))</f>
        <v>0</v>
      </c>
      <c r="AJ63" s="128">
        <f>INDEX(Calculations!$AC$5:$AG$51, MATCH('Rotation Assembler'!$A63, Calculations!$AC$5:$AC$51, 0), MATCH('Rotation Assembler'!AJ$21, Calculations!$AC$5:$AG$5, 0))</f>
        <v>0</v>
      </c>
      <c r="AK63" s="128"/>
      <c r="AL63" s="128"/>
      <c r="AM63" s="128"/>
      <c r="AN63" s="128"/>
      <c r="AO63" s="128"/>
      <c r="AP63" s="128"/>
      <c r="AQ63" s="128"/>
      <c r="AR63" s="128"/>
      <c r="AS63" s="128"/>
      <c r="AT63" s="128"/>
      <c r="AU63" s="128"/>
      <c r="AV63" s="128"/>
      <c r="AW63" s="128"/>
      <c r="AX63" s="128"/>
      <c r="AY63" s="128"/>
      <c r="AZ63" s="128"/>
      <c r="BA63" s="128"/>
      <c r="BB63" s="128"/>
      <c r="BC63" s="128"/>
      <c r="BD63" s="128"/>
      <c r="BE63" s="128"/>
      <c r="BF63" s="128"/>
      <c r="BG63" s="128"/>
      <c r="BH63" s="128"/>
      <c r="BI63" s="128"/>
      <c r="BJ63" s="128"/>
      <c r="BK63" s="128"/>
      <c r="BL63" s="128"/>
      <c r="BM63" s="128"/>
      <c r="BN63" s="128"/>
      <c r="BO63" s="128"/>
      <c r="BP63" s="128"/>
      <c r="BQ63" s="128"/>
      <c r="BR63" s="128"/>
      <c r="BS63" s="128"/>
      <c r="BT63" s="128"/>
    </row>
    <row r="64" spans="1:72" hidden="1" outlineLevel="1" x14ac:dyDescent="0.25">
      <c r="A64" s="124" t="s">
        <v>424</v>
      </c>
      <c r="B64" s="128">
        <f>INDEX(Calculations!$AC$5:$AG$51, MATCH('Rotation Assembler'!$A64, Calculations!$AC$5:$AC$51, 0), MATCH('Rotation Assembler'!B$21, Calculations!$AC$5:$AG$5, 0))</f>
        <v>0.12</v>
      </c>
      <c r="C64" s="128">
        <f>INDEX(Calculations!$AC$5:$AG$51, MATCH('Rotation Assembler'!$A64, Calculations!$AC$5:$AC$51, 0), MATCH('Rotation Assembler'!C$21, Calculations!$AC$5:$AG$5, 0))</f>
        <v>0.12</v>
      </c>
      <c r="D64" s="128">
        <f>INDEX(Calculations!$AC$5:$AG$51, MATCH('Rotation Assembler'!$A64, Calculations!$AC$5:$AC$51, 0), MATCH('Rotation Assembler'!D$21, Calculations!$AC$5:$AG$5, 0))</f>
        <v>0.12</v>
      </c>
      <c r="E64" s="128">
        <f>INDEX(Calculations!$AC$5:$AG$51, MATCH('Rotation Assembler'!$A64, Calculations!$AC$5:$AC$51, 0), MATCH('Rotation Assembler'!E$21, Calculations!$AC$5:$AG$5, 0))</f>
        <v>0.12</v>
      </c>
      <c r="F64" s="128">
        <f>INDEX(Calculations!$AC$5:$AG$51, MATCH('Rotation Assembler'!$A64, Calculations!$AC$5:$AC$51, 0), MATCH('Rotation Assembler'!F$21, Calculations!$AC$5:$AG$5, 0))</f>
        <v>0</v>
      </c>
      <c r="G64" s="128">
        <f>INDEX(Calculations!$AC$5:$AG$51, MATCH('Rotation Assembler'!$A64, Calculations!$AC$5:$AC$51, 0), MATCH('Rotation Assembler'!G$21, Calculations!$AC$5:$AG$5, 0))</f>
        <v>0</v>
      </c>
      <c r="H64" s="128">
        <f>INDEX(Calculations!$AC$5:$AG$51, MATCH('Rotation Assembler'!$A64, Calculations!$AC$5:$AC$51, 0), MATCH('Rotation Assembler'!H$21, Calculations!$AC$5:$AG$5, 0))</f>
        <v>0</v>
      </c>
      <c r="I64" s="128">
        <f>INDEX(Calculations!$AC$5:$AG$51, MATCH('Rotation Assembler'!$A64, Calculations!$AC$5:$AC$51, 0), MATCH('Rotation Assembler'!I$21, Calculations!$AC$5:$AG$5, 0))</f>
        <v>0</v>
      </c>
      <c r="J64" s="128">
        <f>INDEX(Calculations!$AC$5:$AG$51, MATCH('Rotation Assembler'!$A64, Calculations!$AC$5:$AC$51, 0), MATCH('Rotation Assembler'!J$21, Calculations!$AC$5:$AG$5, 0))</f>
        <v>0</v>
      </c>
      <c r="K64" s="128">
        <f>INDEX(Calculations!$AC$5:$AG$51, MATCH('Rotation Assembler'!$A64, Calculations!$AC$5:$AC$51, 0), MATCH('Rotation Assembler'!K$21, Calculations!$AC$5:$AG$5, 0))</f>
        <v>0</v>
      </c>
      <c r="L64" s="128">
        <f>INDEX(Calculations!$AC$5:$AG$51, MATCH('Rotation Assembler'!$A64, Calculations!$AC$5:$AC$51, 0), MATCH('Rotation Assembler'!L$21, Calculations!$AC$5:$AG$5, 0))</f>
        <v>0</v>
      </c>
      <c r="M64" s="128">
        <f>INDEX(Calculations!$AC$5:$AG$51, MATCH('Rotation Assembler'!$A64, Calculations!$AC$5:$AC$51, 0), MATCH('Rotation Assembler'!M$21, Calculations!$AC$5:$AG$5, 0))</f>
        <v>0.12</v>
      </c>
      <c r="N64" s="128">
        <f>INDEX(Calculations!$AC$5:$AG$51, MATCH('Rotation Assembler'!$A64, Calculations!$AC$5:$AC$51, 0), MATCH('Rotation Assembler'!N$21, Calculations!$AC$5:$AG$5, 0))</f>
        <v>0.12</v>
      </c>
      <c r="O64" s="128">
        <f>INDEX(Calculations!$AC$5:$AG$51, MATCH('Rotation Assembler'!$A64, Calculations!$AC$5:$AC$51, 0), MATCH('Rotation Assembler'!O$21, Calculations!$AC$5:$AG$5, 0))</f>
        <v>0.12</v>
      </c>
      <c r="P64" s="128">
        <f>INDEX(Calculations!$AC$5:$AG$51, MATCH('Rotation Assembler'!$A64, Calculations!$AC$5:$AC$51, 0), MATCH('Rotation Assembler'!P$21, Calculations!$AC$5:$AG$5, 0))</f>
        <v>0.12</v>
      </c>
      <c r="Q64" s="128">
        <f>INDEX(Calculations!$AC$5:$AG$51, MATCH('Rotation Assembler'!$A64, Calculations!$AC$5:$AC$51, 0), MATCH('Rotation Assembler'!Q$21, Calculations!$AC$5:$AG$5, 0))</f>
        <v>0.12</v>
      </c>
      <c r="R64" s="128">
        <f>INDEX(Calculations!$AC$5:$AG$51, MATCH('Rotation Assembler'!$A64, Calculations!$AC$5:$AC$51, 0), MATCH('Rotation Assembler'!R$21, Calculations!$AC$5:$AG$5, 0))</f>
        <v>0.12</v>
      </c>
      <c r="S64" s="128">
        <f>INDEX(Calculations!$AC$5:$AG$51, MATCH('Rotation Assembler'!$A64, Calculations!$AC$5:$AC$51, 0), MATCH('Rotation Assembler'!S$21, Calculations!$AC$5:$AG$5, 0))</f>
        <v>0.12</v>
      </c>
      <c r="T64" s="128">
        <f>INDEX(Calculations!$AC$5:$AG$51, MATCH('Rotation Assembler'!$A64, Calculations!$AC$5:$AC$51, 0), MATCH('Rotation Assembler'!T$21, Calculations!$AC$5:$AG$5, 0))</f>
        <v>0.12</v>
      </c>
      <c r="U64" s="128">
        <f>INDEX(Calculations!$AC$5:$AG$51, MATCH('Rotation Assembler'!$A64, Calculations!$AC$5:$AC$51, 0), MATCH('Rotation Assembler'!U$21, Calculations!$AC$5:$AG$5, 0))</f>
        <v>0.12</v>
      </c>
      <c r="V64" s="128">
        <f>INDEX(Calculations!$AC$5:$AG$51, MATCH('Rotation Assembler'!$A64, Calculations!$AC$5:$AC$51, 0), MATCH('Rotation Assembler'!V$21, Calculations!$AC$5:$AG$5, 0))</f>
        <v>0.12</v>
      </c>
      <c r="W64" s="128">
        <f>INDEX(Calculations!$AC$5:$AG$51, MATCH('Rotation Assembler'!$A64, Calculations!$AC$5:$AC$51, 0), MATCH('Rotation Assembler'!W$21, Calculations!$AC$5:$AG$5, 0))</f>
        <v>0.12</v>
      </c>
      <c r="X64" s="128">
        <f>INDEX(Calculations!$AC$5:$AG$51, MATCH('Rotation Assembler'!$A64, Calculations!$AC$5:$AC$51, 0), MATCH('Rotation Assembler'!X$21, Calculations!$AC$5:$AG$5, 0))</f>
        <v>0.12</v>
      </c>
      <c r="Y64" s="128">
        <f>INDEX(Calculations!$AC$5:$AG$51, MATCH('Rotation Assembler'!$A64, Calculations!$AC$5:$AC$51, 0), MATCH('Rotation Assembler'!Y$21, Calculations!$AC$5:$AG$5, 0))</f>
        <v>0.12</v>
      </c>
      <c r="Z64" s="128">
        <f>INDEX(Calculations!$AC$5:$AG$51, MATCH('Rotation Assembler'!$A64, Calculations!$AC$5:$AC$51, 0), MATCH('Rotation Assembler'!Z$21, Calculations!$AC$5:$AG$5, 0))</f>
        <v>0.12</v>
      </c>
      <c r="AA64" s="128">
        <f>INDEX(Calculations!$AC$5:$AG$51, MATCH('Rotation Assembler'!$A64, Calculations!$AC$5:$AC$51, 0), MATCH('Rotation Assembler'!AA$21, Calculations!$AC$5:$AG$5, 0))</f>
        <v>0.12</v>
      </c>
      <c r="AB64" s="128">
        <f>INDEX(Calculations!$AC$5:$AG$51, MATCH('Rotation Assembler'!$A64, Calculations!$AC$5:$AC$51, 0), MATCH('Rotation Assembler'!AB$21, Calculations!$AC$5:$AG$5, 0))</f>
        <v>0.12</v>
      </c>
      <c r="AC64" s="128">
        <f>INDEX(Calculations!$AC$5:$AG$51, MATCH('Rotation Assembler'!$A64, Calculations!$AC$5:$AC$51, 0), MATCH('Rotation Assembler'!AC$21, Calculations!$AC$5:$AG$5, 0))</f>
        <v>0.12</v>
      </c>
      <c r="AD64" s="128">
        <f>INDEX(Calculations!$AC$5:$AG$51, MATCH('Rotation Assembler'!$A64, Calculations!$AC$5:$AC$51, 0), MATCH('Rotation Assembler'!AD$21, Calculations!$AC$5:$AG$5, 0))</f>
        <v>0.12</v>
      </c>
      <c r="AE64" s="128">
        <f>INDEX(Calculations!$AC$5:$AG$51, MATCH('Rotation Assembler'!$A64, Calculations!$AC$5:$AC$51, 0), MATCH('Rotation Assembler'!AE$21, Calculations!$AC$5:$AG$5, 0))</f>
        <v>0.12</v>
      </c>
      <c r="AF64" s="128">
        <f>INDEX(Calculations!$AC$5:$AG$51, MATCH('Rotation Assembler'!$A64, Calculations!$AC$5:$AC$51, 0), MATCH('Rotation Assembler'!AF$21, Calculations!$AC$5:$AG$5, 0))</f>
        <v>0.12</v>
      </c>
      <c r="AG64" s="128">
        <f>INDEX(Calculations!$AC$5:$AG$51, MATCH('Rotation Assembler'!$A64, Calculations!$AC$5:$AC$51, 0), MATCH('Rotation Assembler'!AG$21, Calculations!$AC$5:$AG$5, 0))</f>
        <v>0.12</v>
      </c>
      <c r="AH64" s="128">
        <f>INDEX(Calculations!$AC$5:$AG$51, MATCH('Rotation Assembler'!$A64, Calculations!$AC$5:$AC$51, 0), MATCH('Rotation Assembler'!AH$21, Calculations!$AC$5:$AG$5, 0))</f>
        <v>0.12</v>
      </c>
      <c r="AI64" s="128">
        <f>INDEX(Calculations!$AC$5:$AG$51, MATCH('Rotation Assembler'!$A64, Calculations!$AC$5:$AC$51, 0), MATCH('Rotation Assembler'!AI$21, Calculations!$AC$5:$AG$5, 0))</f>
        <v>0</v>
      </c>
      <c r="AJ64" s="128">
        <f>INDEX(Calculations!$AC$5:$AG$51, MATCH('Rotation Assembler'!$A64, Calculations!$AC$5:$AC$51, 0), MATCH('Rotation Assembler'!AJ$21, Calculations!$AC$5:$AG$5, 0))</f>
        <v>0</v>
      </c>
      <c r="AK64" s="128"/>
      <c r="AL64" s="128"/>
      <c r="AM64" s="128"/>
      <c r="AN64" s="128"/>
      <c r="AO64" s="128"/>
      <c r="AP64" s="128"/>
      <c r="AQ64" s="128"/>
      <c r="AR64" s="128"/>
      <c r="AS64" s="128"/>
      <c r="AT64" s="128"/>
      <c r="AU64" s="128"/>
      <c r="AV64" s="128"/>
      <c r="AW64" s="128"/>
      <c r="AX64" s="128"/>
      <c r="AY64" s="128"/>
      <c r="AZ64" s="128"/>
      <c r="BA64" s="128"/>
      <c r="BB64" s="128"/>
      <c r="BC64" s="128"/>
      <c r="BD64" s="128"/>
      <c r="BE64" s="128"/>
      <c r="BF64" s="128"/>
      <c r="BG64" s="128"/>
      <c r="BH64" s="128"/>
      <c r="BI64" s="128"/>
      <c r="BJ64" s="128"/>
      <c r="BK64" s="128"/>
      <c r="BL64" s="128"/>
      <c r="BM64" s="128"/>
      <c r="BN64" s="128"/>
      <c r="BO64" s="128"/>
      <c r="BP64" s="128"/>
      <c r="BQ64" s="128"/>
      <c r="BR64" s="128"/>
      <c r="BS64" s="128"/>
      <c r="BT64" s="128"/>
    </row>
    <row r="65" spans="1:72" hidden="1" outlineLevel="1" x14ac:dyDescent="0.25">
      <c r="A65" s="124" t="s">
        <v>425</v>
      </c>
      <c r="B65" s="128">
        <f>INDEX(Calculations!$AC$5:$AG$51, MATCH('Rotation Assembler'!$A65, Calculations!$AC$5:$AC$51, 0), MATCH('Rotation Assembler'!B$21, Calculations!$AC$5:$AG$5, 0))</f>
        <v>0</v>
      </c>
      <c r="C65" s="128">
        <f>INDEX(Calculations!$AC$5:$AG$51, MATCH('Rotation Assembler'!$A65, Calculations!$AC$5:$AC$51, 0), MATCH('Rotation Assembler'!C$21, Calculations!$AC$5:$AG$5, 0))</f>
        <v>0</v>
      </c>
      <c r="D65" s="128">
        <f>INDEX(Calculations!$AC$5:$AG$51, MATCH('Rotation Assembler'!$A65, Calculations!$AC$5:$AC$51, 0), MATCH('Rotation Assembler'!D$21, Calculations!$AC$5:$AG$5, 0))</f>
        <v>0</v>
      </c>
      <c r="E65" s="128">
        <f>INDEX(Calculations!$AC$5:$AG$51, MATCH('Rotation Assembler'!$A65, Calculations!$AC$5:$AC$51, 0), MATCH('Rotation Assembler'!E$21, Calculations!$AC$5:$AG$5, 0))</f>
        <v>0</v>
      </c>
      <c r="F65" s="128">
        <f>INDEX(Calculations!$AC$5:$AG$51, MATCH('Rotation Assembler'!$A65, Calculations!$AC$5:$AC$51, 0), MATCH('Rotation Assembler'!F$21, Calculations!$AC$5:$AG$5, 0))</f>
        <v>0</v>
      </c>
      <c r="G65" s="128">
        <f>INDEX(Calculations!$AC$5:$AG$51, MATCH('Rotation Assembler'!$A65, Calculations!$AC$5:$AC$51, 0), MATCH('Rotation Assembler'!G$21, Calculations!$AC$5:$AG$5, 0))</f>
        <v>0</v>
      </c>
      <c r="H65" s="128">
        <f>INDEX(Calculations!$AC$5:$AG$51, MATCH('Rotation Assembler'!$A65, Calculations!$AC$5:$AC$51, 0), MATCH('Rotation Assembler'!H$21, Calculations!$AC$5:$AG$5, 0))</f>
        <v>0</v>
      </c>
      <c r="I65" s="128">
        <f>INDEX(Calculations!$AC$5:$AG$51, MATCH('Rotation Assembler'!$A65, Calculations!$AC$5:$AC$51, 0), MATCH('Rotation Assembler'!I$21, Calculations!$AC$5:$AG$5, 0))</f>
        <v>0</v>
      </c>
      <c r="J65" s="128">
        <f>INDEX(Calculations!$AC$5:$AG$51, MATCH('Rotation Assembler'!$A65, Calculations!$AC$5:$AC$51, 0), MATCH('Rotation Assembler'!J$21, Calculations!$AC$5:$AG$5, 0))</f>
        <v>0</v>
      </c>
      <c r="K65" s="128">
        <f>INDEX(Calculations!$AC$5:$AG$51, MATCH('Rotation Assembler'!$A65, Calculations!$AC$5:$AC$51, 0), MATCH('Rotation Assembler'!K$21, Calculations!$AC$5:$AG$5, 0))</f>
        <v>0</v>
      </c>
      <c r="L65" s="128">
        <f>INDEX(Calculations!$AC$5:$AG$51, MATCH('Rotation Assembler'!$A65, Calculations!$AC$5:$AC$51, 0), MATCH('Rotation Assembler'!L$21, Calculations!$AC$5:$AG$5, 0))</f>
        <v>0</v>
      </c>
      <c r="M65" s="128">
        <f>INDEX(Calculations!$AC$5:$AG$51, MATCH('Rotation Assembler'!$A65, Calculations!$AC$5:$AC$51, 0), MATCH('Rotation Assembler'!M$21, Calculations!$AC$5:$AG$5, 0))</f>
        <v>0</v>
      </c>
      <c r="N65" s="128">
        <f>INDEX(Calculations!$AC$5:$AG$51, MATCH('Rotation Assembler'!$A65, Calculations!$AC$5:$AC$51, 0), MATCH('Rotation Assembler'!N$21, Calculations!$AC$5:$AG$5, 0))</f>
        <v>0</v>
      </c>
      <c r="O65" s="128">
        <f>INDEX(Calculations!$AC$5:$AG$51, MATCH('Rotation Assembler'!$A65, Calculations!$AC$5:$AC$51, 0), MATCH('Rotation Assembler'!O$21, Calculations!$AC$5:$AG$5, 0))</f>
        <v>0</v>
      </c>
      <c r="P65" s="128">
        <f>INDEX(Calculations!$AC$5:$AG$51, MATCH('Rotation Assembler'!$A65, Calculations!$AC$5:$AC$51, 0), MATCH('Rotation Assembler'!P$21, Calculations!$AC$5:$AG$5, 0))</f>
        <v>0</v>
      </c>
      <c r="Q65" s="128">
        <f>INDEX(Calculations!$AC$5:$AG$51, MATCH('Rotation Assembler'!$A65, Calculations!$AC$5:$AC$51, 0), MATCH('Rotation Assembler'!Q$21, Calculations!$AC$5:$AG$5, 0))</f>
        <v>0</v>
      </c>
      <c r="R65" s="128">
        <f>INDEX(Calculations!$AC$5:$AG$51, MATCH('Rotation Assembler'!$A65, Calculations!$AC$5:$AC$51, 0), MATCH('Rotation Assembler'!R$21, Calculations!$AC$5:$AG$5, 0))</f>
        <v>0</v>
      </c>
      <c r="S65" s="128">
        <f>INDEX(Calculations!$AC$5:$AG$51, MATCH('Rotation Assembler'!$A65, Calculations!$AC$5:$AC$51, 0), MATCH('Rotation Assembler'!S$21, Calculations!$AC$5:$AG$5, 0))</f>
        <v>0</v>
      </c>
      <c r="T65" s="128">
        <f>INDEX(Calculations!$AC$5:$AG$51, MATCH('Rotation Assembler'!$A65, Calculations!$AC$5:$AC$51, 0), MATCH('Rotation Assembler'!T$21, Calculations!$AC$5:$AG$5, 0))</f>
        <v>0</v>
      </c>
      <c r="U65" s="128">
        <f>INDEX(Calculations!$AC$5:$AG$51, MATCH('Rotation Assembler'!$A65, Calculations!$AC$5:$AC$51, 0), MATCH('Rotation Assembler'!U$21, Calculations!$AC$5:$AG$5, 0))</f>
        <v>0</v>
      </c>
      <c r="V65" s="128">
        <f>INDEX(Calculations!$AC$5:$AG$51, MATCH('Rotation Assembler'!$A65, Calculations!$AC$5:$AC$51, 0), MATCH('Rotation Assembler'!V$21, Calculations!$AC$5:$AG$5, 0))</f>
        <v>0</v>
      </c>
      <c r="W65" s="128">
        <f>INDEX(Calculations!$AC$5:$AG$51, MATCH('Rotation Assembler'!$A65, Calculations!$AC$5:$AC$51, 0), MATCH('Rotation Assembler'!W$21, Calculations!$AC$5:$AG$5, 0))</f>
        <v>0</v>
      </c>
      <c r="X65" s="128">
        <f>INDEX(Calculations!$AC$5:$AG$51, MATCH('Rotation Assembler'!$A65, Calculations!$AC$5:$AC$51, 0), MATCH('Rotation Assembler'!X$21, Calculations!$AC$5:$AG$5, 0))</f>
        <v>0</v>
      </c>
      <c r="Y65" s="128">
        <f>INDEX(Calculations!$AC$5:$AG$51, MATCH('Rotation Assembler'!$A65, Calculations!$AC$5:$AC$51, 0), MATCH('Rotation Assembler'!Y$21, Calculations!$AC$5:$AG$5, 0))</f>
        <v>0</v>
      </c>
      <c r="Z65" s="128">
        <f>INDEX(Calculations!$AC$5:$AG$51, MATCH('Rotation Assembler'!$A65, Calculations!$AC$5:$AC$51, 0), MATCH('Rotation Assembler'!Z$21, Calculations!$AC$5:$AG$5, 0))</f>
        <v>0</v>
      </c>
      <c r="AA65" s="128">
        <f>INDEX(Calculations!$AC$5:$AG$51, MATCH('Rotation Assembler'!$A65, Calculations!$AC$5:$AC$51, 0), MATCH('Rotation Assembler'!AA$21, Calculations!$AC$5:$AG$5, 0))</f>
        <v>0</v>
      </c>
      <c r="AB65" s="128">
        <f>INDEX(Calculations!$AC$5:$AG$51, MATCH('Rotation Assembler'!$A65, Calculations!$AC$5:$AC$51, 0), MATCH('Rotation Assembler'!AB$21, Calculations!$AC$5:$AG$5, 0))</f>
        <v>0</v>
      </c>
      <c r="AC65" s="128">
        <f>INDEX(Calculations!$AC$5:$AG$51, MATCH('Rotation Assembler'!$A65, Calculations!$AC$5:$AC$51, 0), MATCH('Rotation Assembler'!AC$21, Calculations!$AC$5:$AG$5, 0))</f>
        <v>0</v>
      </c>
      <c r="AD65" s="128">
        <f>INDEX(Calculations!$AC$5:$AG$51, MATCH('Rotation Assembler'!$A65, Calculations!$AC$5:$AC$51, 0), MATCH('Rotation Assembler'!AD$21, Calculations!$AC$5:$AG$5, 0))</f>
        <v>0</v>
      </c>
      <c r="AE65" s="128">
        <f>INDEX(Calculations!$AC$5:$AG$51, MATCH('Rotation Assembler'!$A65, Calculations!$AC$5:$AC$51, 0), MATCH('Rotation Assembler'!AE$21, Calculations!$AC$5:$AG$5, 0))</f>
        <v>0</v>
      </c>
      <c r="AF65" s="128">
        <f>INDEX(Calculations!$AC$5:$AG$51, MATCH('Rotation Assembler'!$A65, Calculations!$AC$5:$AC$51, 0), MATCH('Rotation Assembler'!AF$21, Calculations!$AC$5:$AG$5, 0))</f>
        <v>0</v>
      </c>
      <c r="AG65" s="128">
        <f>INDEX(Calculations!$AC$5:$AG$51, MATCH('Rotation Assembler'!$A65, Calculations!$AC$5:$AC$51, 0), MATCH('Rotation Assembler'!AG$21, Calculations!$AC$5:$AG$5, 0))</f>
        <v>0</v>
      </c>
      <c r="AH65" s="128">
        <f>INDEX(Calculations!$AC$5:$AG$51, MATCH('Rotation Assembler'!$A65, Calculations!$AC$5:$AC$51, 0), MATCH('Rotation Assembler'!AH$21, Calculations!$AC$5:$AG$5, 0))</f>
        <v>0</v>
      </c>
      <c r="AI65" s="128">
        <f>INDEX(Calculations!$AC$5:$AG$51, MATCH('Rotation Assembler'!$A65, Calculations!$AC$5:$AC$51, 0), MATCH('Rotation Assembler'!AI$21, Calculations!$AC$5:$AG$5, 0))</f>
        <v>0</v>
      </c>
      <c r="AJ65" s="128">
        <f>INDEX(Calculations!$AC$5:$AG$51, MATCH('Rotation Assembler'!$A65, Calculations!$AC$5:$AC$51, 0), MATCH('Rotation Assembler'!AJ$21, Calculations!$AC$5:$AG$5, 0))</f>
        <v>0</v>
      </c>
      <c r="AK65" s="128"/>
      <c r="AL65" s="128"/>
      <c r="AM65" s="128"/>
      <c r="AN65" s="128"/>
      <c r="AO65" s="128"/>
      <c r="AP65" s="128"/>
      <c r="AQ65" s="128"/>
      <c r="AR65" s="128"/>
      <c r="AS65" s="128"/>
      <c r="AT65" s="128"/>
      <c r="AU65" s="128"/>
      <c r="AV65" s="128"/>
      <c r="AW65" s="128"/>
      <c r="AX65" s="128"/>
      <c r="AY65" s="128"/>
      <c r="AZ65" s="128"/>
      <c r="BA65" s="128"/>
      <c r="BB65" s="128"/>
      <c r="BC65" s="128"/>
      <c r="BD65" s="128"/>
      <c r="BE65" s="128"/>
      <c r="BF65" s="128"/>
      <c r="BG65" s="128"/>
      <c r="BH65" s="128"/>
      <c r="BI65" s="128"/>
      <c r="BJ65" s="128"/>
      <c r="BK65" s="128"/>
      <c r="BL65" s="128"/>
      <c r="BM65" s="128"/>
      <c r="BN65" s="128"/>
      <c r="BO65" s="128"/>
      <c r="BP65" s="128"/>
      <c r="BQ65" s="128"/>
      <c r="BR65" s="128"/>
      <c r="BS65" s="128"/>
      <c r="BT65" s="128"/>
    </row>
    <row r="66" spans="1:72" hidden="1" outlineLevel="1" x14ac:dyDescent="0.25">
      <c r="A66" s="124" t="s">
        <v>438</v>
      </c>
      <c r="B66" s="128">
        <f>INDEX(Calculations!$AC$5:$AG$51, MATCH('Rotation Assembler'!$A66, Calculations!$AC$5:$AC$51, 0), MATCH('Rotation Assembler'!B$21, Calculations!$AC$5:$AG$5, 0))</f>
        <v>0</v>
      </c>
      <c r="C66" s="128">
        <f>INDEX(Calculations!$AC$5:$AG$51, MATCH('Rotation Assembler'!$A66, Calculations!$AC$5:$AC$51, 0), MATCH('Rotation Assembler'!C$21, Calculations!$AC$5:$AG$5, 0))</f>
        <v>0</v>
      </c>
      <c r="D66" s="128">
        <f>INDEX(Calculations!$AC$5:$AG$51, MATCH('Rotation Assembler'!$A66, Calculations!$AC$5:$AC$51, 0), MATCH('Rotation Assembler'!D$21, Calculations!$AC$5:$AG$5, 0))</f>
        <v>0</v>
      </c>
      <c r="E66" s="128">
        <f>INDEX(Calculations!$AC$5:$AG$51, MATCH('Rotation Assembler'!$A66, Calculations!$AC$5:$AC$51, 0), MATCH('Rotation Assembler'!E$21, Calculations!$AC$5:$AG$5, 0))</f>
        <v>0</v>
      </c>
      <c r="F66" s="128">
        <f>INDEX(Calculations!$AC$5:$AG$51, MATCH('Rotation Assembler'!$A66, Calculations!$AC$5:$AC$51, 0), MATCH('Rotation Assembler'!F$21, Calculations!$AC$5:$AG$5, 0))</f>
        <v>0</v>
      </c>
      <c r="G66" s="128">
        <f>INDEX(Calculations!$AC$5:$AG$51, MATCH('Rotation Assembler'!$A66, Calculations!$AC$5:$AC$51, 0), MATCH('Rotation Assembler'!G$21, Calculations!$AC$5:$AG$5, 0))</f>
        <v>0</v>
      </c>
      <c r="H66" s="128">
        <f>INDEX(Calculations!$AC$5:$AG$51, MATCH('Rotation Assembler'!$A66, Calculations!$AC$5:$AC$51, 0), MATCH('Rotation Assembler'!H$21, Calculations!$AC$5:$AG$5, 0))</f>
        <v>0</v>
      </c>
      <c r="I66" s="128">
        <f>INDEX(Calculations!$AC$5:$AG$51, MATCH('Rotation Assembler'!$A66, Calculations!$AC$5:$AC$51, 0), MATCH('Rotation Assembler'!I$21, Calculations!$AC$5:$AG$5, 0))</f>
        <v>0</v>
      </c>
      <c r="J66" s="128">
        <f>INDEX(Calculations!$AC$5:$AG$51, MATCH('Rotation Assembler'!$A66, Calculations!$AC$5:$AC$51, 0), MATCH('Rotation Assembler'!J$21, Calculations!$AC$5:$AG$5, 0))</f>
        <v>0</v>
      </c>
      <c r="K66" s="128">
        <f>INDEX(Calculations!$AC$5:$AG$51, MATCH('Rotation Assembler'!$A66, Calculations!$AC$5:$AC$51, 0), MATCH('Rotation Assembler'!K$21, Calculations!$AC$5:$AG$5, 0))</f>
        <v>0</v>
      </c>
      <c r="L66" s="128">
        <f>INDEX(Calculations!$AC$5:$AG$51, MATCH('Rotation Assembler'!$A66, Calculations!$AC$5:$AC$51, 0), MATCH('Rotation Assembler'!L$21, Calculations!$AC$5:$AG$5, 0))</f>
        <v>0</v>
      </c>
      <c r="M66" s="128">
        <f>INDEX(Calculations!$AC$5:$AG$51, MATCH('Rotation Assembler'!$A66, Calculations!$AC$5:$AC$51, 0), MATCH('Rotation Assembler'!M$21, Calculations!$AC$5:$AG$5, 0))</f>
        <v>0</v>
      </c>
      <c r="N66" s="128">
        <f>INDEX(Calculations!$AC$5:$AG$51, MATCH('Rotation Assembler'!$A66, Calculations!$AC$5:$AC$51, 0), MATCH('Rotation Assembler'!N$21, Calculations!$AC$5:$AG$5, 0))</f>
        <v>0</v>
      </c>
      <c r="O66" s="128">
        <f>INDEX(Calculations!$AC$5:$AG$51, MATCH('Rotation Assembler'!$A66, Calculations!$AC$5:$AC$51, 0), MATCH('Rotation Assembler'!O$21, Calculations!$AC$5:$AG$5, 0))</f>
        <v>0</v>
      </c>
      <c r="P66" s="128">
        <f>INDEX(Calculations!$AC$5:$AG$51, MATCH('Rotation Assembler'!$A66, Calculations!$AC$5:$AC$51, 0), MATCH('Rotation Assembler'!P$21, Calculations!$AC$5:$AG$5, 0))</f>
        <v>0</v>
      </c>
      <c r="Q66" s="128">
        <f>INDEX(Calculations!$AC$5:$AG$51, MATCH('Rotation Assembler'!$A66, Calculations!$AC$5:$AC$51, 0), MATCH('Rotation Assembler'!Q$21, Calculations!$AC$5:$AG$5, 0))</f>
        <v>0</v>
      </c>
      <c r="R66" s="128">
        <f>INDEX(Calculations!$AC$5:$AG$51, MATCH('Rotation Assembler'!$A66, Calculations!$AC$5:$AC$51, 0), MATCH('Rotation Assembler'!R$21, Calculations!$AC$5:$AG$5, 0))</f>
        <v>0</v>
      </c>
      <c r="S66" s="128">
        <f>INDEX(Calculations!$AC$5:$AG$51, MATCH('Rotation Assembler'!$A66, Calculations!$AC$5:$AC$51, 0), MATCH('Rotation Assembler'!S$21, Calculations!$AC$5:$AG$5, 0))</f>
        <v>0</v>
      </c>
      <c r="T66" s="128">
        <f>INDEX(Calculations!$AC$5:$AG$51, MATCH('Rotation Assembler'!$A66, Calculations!$AC$5:$AC$51, 0), MATCH('Rotation Assembler'!T$21, Calculations!$AC$5:$AG$5, 0))</f>
        <v>0</v>
      </c>
      <c r="U66" s="128">
        <f>INDEX(Calculations!$AC$5:$AG$51, MATCH('Rotation Assembler'!$A66, Calculations!$AC$5:$AC$51, 0), MATCH('Rotation Assembler'!U$21, Calculations!$AC$5:$AG$5, 0))</f>
        <v>0</v>
      </c>
      <c r="V66" s="128">
        <f>INDEX(Calculations!$AC$5:$AG$51, MATCH('Rotation Assembler'!$A66, Calculations!$AC$5:$AC$51, 0), MATCH('Rotation Assembler'!V$21, Calculations!$AC$5:$AG$5, 0))</f>
        <v>0</v>
      </c>
      <c r="W66" s="128">
        <f>INDEX(Calculations!$AC$5:$AG$51, MATCH('Rotation Assembler'!$A66, Calculations!$AC$5:$AC$51, 0), MATCH('Rotation Assembler'!W$21, Calculations!$AC$5:$AG$5, 0))</f>
        <v>0</v>
      </c>
      <c r="X66" s="128">
        <f>INDEX(Calculations!$AC$5:$AG$51, MATCH('Rotation Assembler'!$A66, Calculations!$AC$5:$AC$51, 0), MATCH('Rotation Assembler'!X$21, Calculations!$AC$5:$AG$5, 0))</f>
        <v>0</v>
      </c>
      <c r="Y66" s="128">
        <f>INDEX(Calculations!$AC$5:$AG$51, MATCH('Rotation Assembler'!$A66, Calculations!$AC$5:$AC$51, 0), MATCH('Rotation Assembler'!Y$21, Calculations!$AC$5:$AG$5, 0))</f>
        <v>0</v>
      </c>
      <c r="Z66" s="128">
        <f>INDEX(Calculations!$AC$5:$AG$51, MATCH('Rotation Assembler'!$A66, Calculations!$AC$5:$AC$51, 0), MATCH('Rotation Assembler'!Z$21, Calculations!$AC$5:$AG$5, 0))</f>
        <v>0</v>
      </c>
      <c r="AA66" s="128">
        <f>INDEX(Calculations!$AC$5:$AG$51, MATCH('Rotation Assembler'!$A66, Calculations!$AC$5:$AC$51, 0), MATCH('Rotation Assembler'!AA$21, Calculations!$AC$5:$AG$5, 0))</f>
        <v>0</v>
      </c>
      <c r="AB66" s="128">
        <f>INDEX(Calculations!$AC$5:$AG$51, MATCH('Rotation Assembler'!$A66, Calculations!$AC$5:$AC$51, 0), MATCH('Rotation Assembler'!AB$21, Calculations!$AC$5:$AG$5, 0))</f>
        <v>0</v>
      </c>
      <c r="AC66" s="128">
        <f>INDEX(Calculations!$AC$5:$AG$51, MATCH('Rotation Assembler'!$A66, Calculations!$AC$5:$AC$51, 0), MATCH('Rotation Assembler'!AC$21, Calculations!$AC$5:$AG$5, 0))</f>
        <v>0</v>
      </c>
      <c r="AD66" s="128">
        <f>INDEX(Calculations!$AC$5:$AG$51, MATCH('Rotation Assembler'!$A66, Calculations!$AC$5:$AC$51, 0), MATCH('Rotation Assembler'!AD$21, Calculations!$AC$5:$AG$5, 0))</f>
        <v>0</v>
      </c>
      <c r="AE66" s="128">
        <f>INDEX(Calculations!$AC$5:$AG$51, MATCH('Rotation Assembler'!$A66, Calculations!$AC$5:$AC$51, 0), MATCH('Rotation Assembler'!AE$21, Calculations!$AC$5:$AG$5, 0))</f>
        <v>0</v>
      </c>
      <c r="AF66" s="128">
        <f>INDEX(Calculations!$AC$5:$AG$51, MATCH('Rotation Assembler'!$A66, Calculations!$AC$5:$AC$51, 0), MATCH('Rotation Assembler'!AF$21, Calculations!$AC$5:$AG$5, 0))</f>
        <v>0</v>
      </c>
      <c r="AG66" s="128">
        <f>INDEX(Calculations!$AC$5:$AG$51, MATCH('Rotation Assembler'!$A66, Calculations!$AC$5:$AC$51, 0), MATCH('Rotation Assembler'!AG$21, Calculations!$AC$5:$AG$5, 0))</f>
        <v>0</v>
      </c>
      <c r="AH66" s="128">
        <f>INDEX(Calculations!$AC$5:$AG$51, MATCH('Rotation Assembler'!$A66, Calculations!$AC$5:$AC$51, 0), MATCH('Rotation Assembler'!AH$21, Calculations!$AC$5:$AG$5, 0))</f>
        <v>0</v>
      </c>
      <c r="AI66" s="128">
        <f>INDEX(Calculations!$AC$5:$AG$51, MATCH('Rotation Assembler'!$A66, Calculations!$AC$5:$AC$51, 0), MATCH('Rotation Assembler'!AI$21, Calculations!$AC$5:$AG$5, 0))</f>
        <v>0</v>
      </c>
      <c r="AJ66" s="128">
        <f>INDEX(Calculations!$AC$5:$AG$51, MATCH('Rotation Assembler'!$A66, Calculations!$AC$5:$AC$51, 0), MATCH('Rotation Assembler'!AJ$21, Calculations!$AC$5:$AG$5, 0))</f>
        <v>0</v>
      </c>
      <c r="AK66" s="128"/>
      <c r="AL66" s="128"/>
      <c r="AM66" s="128"/>
      <c r="AN66" s="128"/>
      <c r="AO66" s="128"/>
      <c r="AP66" s="128"/>
      <c r="AQ66" s="128"/>
      <c r="AR66" s="128"/>
      <c r="AS66" s="128"/>
      <c r="AT66" s="128"/>
      <c r="AU66" s="128"/>
      <c r="AV66" s="128"/>
      <c r="AW66" s="128"/>
      <c r="AX66" s="128"/>
      <c r="AY66" s="128"/>
      <c r="AZ66" s="128"/>
      <c r="BA66" s="128"/>
      <c r="BB66" s="128"/>
      <c r="BC66" s="128"/>
      <c r="BD66" s="128"/>
      <c r="BE66" s="128"/>
      <c r="BF66" s="128"/>
      <c r="BG66" s="128"/>
      <c r="BH66" s="128"/>
      <c r="BI66" s="128"/>
      <c r="BJ66" s="128"/>
      <c r="BK66" s="128"/>
      <c r="BL66" s="128"/>
      <c r="BM66" s="128"/>
      <c r="BN66" s="128"/>
      <c r="BO66" s="128"/>
      <c r="BP66" s="128"/>
      <c r="BQ66" s="128"/>
      <c r="BR66" s="128"/>
      <c r="BS66" s="128"/>
      <c r="BT66" s="128"/>
    </row>
    <row r="67" spans="1:72" hidden="1" outlineLevel="1" x14ac:dyDescent="0.25">
      <c r="A67" s="124" t="s">
        <v>426</v>
      </c>
      <c r="B67" s="128">
        <f>INDEX(Calculations!$AC$5:$AG$51, MATCH('Rotation Assembler'!$A67, Calculations!$AC$5:$AC$51, 0), MATCH('Rotation Assembler'!B$21, Calculations!$AC$5:$AG$5, 0))</f>
        <v>0</v>
      </c>
      <c r="C67" s="128">
        <f>INDEX(Calculations!$AC$5:$AG$51, MATCH('Rotation Assembler'!$A67, Calculations!$AC$5:$AC$51, 0), MATCH('Rotation Assembler'!C$21, Calculations!$AC$5:$AG$5, 0))</f>
        <v>0</v>
      </c>
      <c r="D67" s="128">
        <f>INDEX(Calculations!$AC$5:$AG$51, MATCH('Rotation Assembler'!$A67, Calculations!$AC$5:$AC$51, 0), MATCH('Rotation Assembler'!D$21, Calculations!$AC$5:$AG$5, 0))</f>
        <v>0</v>
      </c>
      <c r="E67" s="128">
        <f>INDEX(Calculations!$AC$5:$AG$51, MATCH('Rotation Assembler'!$A67, Calculations!$AC$5:$AC$51, 0), MATCH('Rotation Assembler'!E$21, Calculations!$AC$5:$AG$5, 0))</f>
        <v>0</v>
      </c>
      <c r="F67" s="128">
        <f>INDEX(Calculations!$AC$5:$AG$51, MATCH('Rotation Assembler'!$A67, Calculations!$AC$5:$AC$51, 0), MATCH('Rotation Assembler'!F$21, Calculations!$AC$5:$AG$5, 0))</f>
        <v>0</v>
      </c>
      <c r="G67" s="128">
        <f>INDEX(Calculations!$AC$5:$AG$51, MATCH('Rotation Assembler'!$A67, Calculations!$AC$5:$AC$51, 0), MATCH('Rotation Assembler'!G$21, Calculations!$AC$5:$AG$5, 0))</f>
        <v>0</v>
      </c>
      <c r="H67" s="128">
        <f>INDEX(Calculations!$AC$5:$AG$51, MATCH('Rotation Assembler'!$A67, Calculations!$AC$5:$AC$51, 0), MATCH('Rotation Assembler'!H$21, Calculations!$AC$5:$AG$5, 0))</f>
        <v>0</v>
      </c>
      <c r="I67" s="128">
        <f>INDEX(Calculations!$AC$5:$AG$51, MATCH('Rotation Assembler'!$A67, Calculations!$AC$5:$AC$51, 0), MATCH('Rotation Assembler'!I$21, Calculations!$AC$5:$AG$5, 0))</f>
        <v>0</v>
      </c>
      <c r="J67" s="128">
        <f>INDEX(Calculations!$AC$5:$AG$51, MATCH('Rotation Assembler'!$A67, Calculations!$AC$5:$AC$51, 0), MATCH('Rotation Assembler'!J$21, Calculations!$AC$5:$AG$5, 0))</f>
        <v>0</v>
      </c>
      <c r="K67" s="128">
        <f>INDEX(Calculations!$AC$5:$AG$51, MATCH('Rotation Assembler'!$A67, Calculations!$AC$5:$AC$51, 0), MATCH('Rotation Assembler'!K$21, Calculations!$AC$5:$AG$5, 0))</f>
        <v>0</v>
      </c>
      <c r="L67" s="128">
        <f>INDEX(Calculations!$AC$5:$AG$51, MATCH('Rotation Assembler'!$A67, Calculations!$AC$5:$AC$51, 0), MATCH('Rotation Assembler'!L$21, Calculations!$AC$5:$AG$5, 0))</f>
        <v>0</v>
      </c>
      <c r="M67" s="128">
        <f>INDEX(Calculations!$AC$5:$AG$51, MATCH('Rotation Assembler'!$A67, Calculations!$AC$5:$AC$51, 0), MATCH('Rotation Assembler'!M$21, Calculations!$AC$5:$AG$5, 0))</f>
        <v>0</v>
      </c>
      <c r="N67" s="128">
        <f>INDEX(Calculations!$AC$5:$AG$51, MATCH('Rotation Assembler'!$A67, Calculations!$AC$5:$AC$51, 0), MATCH('Rotation Assembler'!N$21, Calculations!$AC$5:$AG$5, 0))</f>
        <v>0</v>
      </c>
      <c r="O67" s="128">
        <f>INDEX(Calculations!$AC$5:$AG$51, MATCH('Rotation Assembler'!$A67, Calculations!$AC$5:$AC$51, 0), MATCH('Rotation Assembler'!O$21, Calculations!$AC$5:$AG$5, 0))</f>
        <v>0</v>
      </c>
      <c r="P67" s="128">
        <f>INDEX(Calculations!$AC$5:$AG$51, MATCH('Rotation Assembler'!$A67, Calculations!$AC$5:$AC$51, 0), MATCH('Rotation Assembler'!P$21, Calculations!$AC$5:$AG$5, 0))</f>
        <v>0</v>
      </c>
      <c r="Q67" s="128">
        <f>INDEX(Calculations!$AC$5:$AG$51, MATCH('Rotation Assembler'!$A67, Calculations!$AC$5:$AC$51, 0), MATCH('Rotation Assembler'!Q$21, Calculations!$AC$5:$AG$5, 0))</f>
        <v>0</v>
      </c>
      <c r="R67" s="128">
        <f>INDEX(Calculations!$AC$5:$AG$51, MATCH('Rotation Assembler'!$A67, Calculations!$AC$5:$AC$51, 0), MATCH('Rotation Assembler'!R$21, Calculations!$AC$5:$AG$5, 0))</f>
        <v>0</v>
      </c>
      <c r="S67" s="128">
        <f>INDEX(Calculations!$AC$5:$AG$51, MATCH('Rotation Assembler'!$A67, Calculations!$AC$5:$AC$51, 0), MATCH('Rotation Assembler'!S$21, Calculations!$AC$5:$AG$5, 0))</f>
        <v>0</v>
      </c>
      <c r="T67" s="128">
        <f>INDEX(Calculations!$AC$5:$AG$51, MATCH('Rotation Assembler'!$A67, Calculations!$AC$5:$AC$51, 0), MATCH('Rotation Assembler'!T$21, Calculations!$AC$5:$AG$5, 0))</f>
        <v>0</v>
      </c>
      <c r="U67" s="128">
        <f>INDEX(Calculations!$AC$5:$AG$51, MATCH('Rotation Assembler'!$A67, Calculations!$AC$5:$AC$51, 0), MATCH('Rotation Assembler'!U$21, Calculations!$AC$5:$AG$5, 0))</f>
        <v>0</v>
      </c>
      <c r="V67" s="128">
        <f>INDEX(Calculations!$AC$5:$AG$51, MATCH('Rotation Assembler'!$A67, Calculations!$AC$5:$AC$51, 0), MATCH('Rotation Assembler'!V$21, Calculations!$AC$5:$AG$5, 0))</f>
        <v>0</v>
      </c>
      <c r="W67" s="128">
        <f>INDEX(Calculations!$AC$5:$AG$51, MATCH('Rotation Assembler'!$A67, Calculations!$AC$5:$AC$51, 0), MATCH('Rotation Assembler'!W$21, Calculations!$AC$5:$AG$5, 0))</f>
        <v>0</v>
      </c>
      <c r="X67" s="128">
        <f>INDEX(Calculations!$AC$5:$AG$51, MATCH('Rotation Assembler'!$A67, Calculations!$AC$5:$AC$51, 0), MATCH('Rotation Assembler'!X$21, Calculations!$AC$5:$AG$5, 0))</f>
        <v>0</v>
      </c>
      <c r="Y67" s="128">
        <f>INDEX(Calculations!$AC$5:$AG$51, MATCH('Rotation Assembler'!$A67, Calculations!$AC$5:$AC$51, 0), MATCH('Rotation Assembler'!Y$21, Calculations!$AC$5:$AG$5, 0))</f>
        <v>0</v>
      </c>
      <c r="Z67" s="128">
        <f>INDEX(Calculations!$AC$5:$AG$51, MATCH('Rotation Assembler'!$A67, Calculations!$AC$5:$AC$51, 0), MATCH('Rotation Assembler'!Z$21, Calculations!$AC$5:$AG$5, 0))</f>
        <v>0</v>
      </c>
      <c r="AA67" s="128">
        <f>INDEX(Calculations!$AC$5:$AG$51, MATCH('Rotation Assembler'!$A67, Calculations!$AC$5:$AC$51, 0), MATCH('Rotation Assembler'!AA$21, Calculations!$AC$5:$AG$5, 0))</f>
        <v>0</v>
      </c>
      <c r="AB67" s="128">
        <f>INDEX(Calculations!$AC$5:$AG$51, MATCH('Rotation Assembler'!$A67, Calculations!$AC$5:$AC$51, 0), MATCH('Rotation Assembler'!AB$21, Calculations!$AC$5:$AG$5, 0))</f>
        <v>0</v>
      </c>
      <c r="AC67" s="128">
        <f>INDEX(Calculations!$AC$5:$AG$51, MATCH('Rotation Assembler'!$A67, Calculations!$AC$5:$AC$51, 0), MATCH('Rotation Assembler'!AC$21, Calculations!$AC$5:$AG$5, 0))</f>
        <v>0</v>
      </c>
      <c r="AD67" s="128">
        <f>INDEX(Calculations!$AC$5:$AG$51, MATCH('Rotation Assembler'!$A67, Calculations!$AC$5:$AC$51, 0), MATCH('Rotation Assembler'!AD$21, Calculations!$AC$5:$AG$5, 0))</f>
        <v>0</v>
      </c>
      <c r="AE67" s="128">
        <f>INDEX(Calculations!$AC$5:$AG$51, MATCH('Rotation Assembler'!$A67, Calculations!$AC$5:$AC$51, 0), MATCH('Rotation Assembler'!AE$21, Calculations!$AC$5:$AG$5, 0))</f>
        <v>0</v>
      </c>
      <c r="AF67" s="128">
        <f>INDEX(Calculations!$AC$5:$AG$51, MATCH('Rotation Assembler'!$A67, Calculations!$AC$5:$AC$51, 0), MATCH('Rotation Assembler'!AF$21, Calculations!$AC$5:$AG$5, 0))</f>
        <v>0</v>
      </c>
      <c r="AG67" s="128">
        <f>INDEX(Calculations!$AC$5:$AG$51, MATCH('Rotation Assembler'!$A67, Calculations!$AC$5:$AC$51, 0), MATCH('Rotation Assembler'!AG$21, Calculations!$AC$5:$AG$5, 0))</f>
        <v>0</v>
      </c>
      <c r="AH67" s="128">
        <f>INDEX(Calculations!$AC$5:$AG$51, MATCH('Rotation Assembler'!$A67, Calculations!$AC$5:$AC$51, 0), MATCH('Rotation Assembler'!AH$21, Calculations!$AC$5:$AG$5, 0))</f>
        <v>0</v>
      </c>
      <c r="AI67" s="128">
        <f>INDEX(Calculations!$AC$5:$AG$51, MATCH('Rotation Assembler'!$A67, Calculations!$AC$5:$AC$51, 0), MATCH('Rotation Assembler'!AI$21, Calculations!$AC$5:$AG$5, 0))</f>
        <v>0</v>
      </c>
      <c r="AJ67" s="128">
        <f>INDEX(Calculations!$AC$5:$AG$51, MATCH('Rotation Assembler'!$A67, Calculations!$AC$5:$AC$51, 0), MATCH('Rotation Assembler'!AJ$21, Calculations!$AC$5:$AG$5, 0))</f>
        <v>0</v>
      </c>
      <c r="AK67" s="128"/>
      <c r="AL67" s="128"/>
      <c r="AM67" s="128"/>
      <c r="AN67" s="128"/>
      <c r="AO67" s="128"/>
      <c r="AP67" s="128"/>
      <c r="AQ67" s="128"/>
      <c r="AR67" s="128"/>
      <c r="AS67" s="128"/>
      <c r="AT67" s="128"/>
      <c r="AU67" s="128"/>
      <c r="AV67" s="128"/>
      <c r="AW67" s="128"/>
      <c r="AX67" s="128"/>
      <c r="AY67" s="128"/>
      <c r="AZ67" s="128"/>
      <c r="BA67" s="128"/>
      <c r="BB67" s="128"/>
      <c r="BC67" s="128"/>
      <c r="BD67" s="128"/>
      <c r="BE67" s="128"/>
      <c r="BF67" s="128"/>
      <c r="BG67" s="128"/>
      <c r="BH67" s="128"/>
      <c r="BI67" s="128"/>
      <c r="BJ67" s="128"/>
      <c r="BK67" s="128"/>
      <c r="BL67" s="128"/>
      <c r="BM67" s="128"/>
      <c r="BN67" s="128"/>
      <c r="BO67" s="128"/>
      <c r="BP67" s="128"/>
      <c r="BQ67" s="128"/>
      <c r="BR67" s="128"/>
      <c r="BS67" s="128"/>
      <c r="BT67" s="128"/>
    </row>
    <row r="68" spans="1:72" hidden="1" outlineLevel="1" x14ac:dyDescent="0.25">
      <c r="A68" s="124" t="s">
        <v>652</v>
      </c>
      <c r="B68" s="128">
        <f t="shared" ref="B68:E68" si="4">enemyPhysRes</f>
        <v>0.1</v>
      </c>
      <c r="C68" s="128">
        <f t="shared" si="4"/>
        <v>0.1</v>
      </c>
      <c r="D68" s="128">
        <f t="shared" si="4"/>
        <v>0.1</v>
      </c>
      <c r="E68" s="128">
        <f t="shared" si="4"/>
        <v>0.1</v>
      </c>
      <c r="F68" s="128">
        <f t="shared" ref="F68:AJ68" si="5">enemyPhysRes</f>
        <v>0.1</v>
      </c>
      <c r="G68" s="128">
        <f t="shared" si="5"/>
        <v>0.1</v>
      </c>
      <c r="H68" s="128">
        <f t="shared" si="5"/>
        <v>0.1</v>
      </c>
      <c r="I68" s="128">
        <f t="shared" si="5"/>
        <v>0.1</v>
      </c>
      <c r="J68" s="128">
        <f t="shared" si="5"/>
        <v>0.1</v>
      </c>
      <c r="K68" s="128">
        <f t="shared" si="5"/>
        <v>0.1</v>
      </c>
      <c r="L68" s="128">
        <f t="shared" si="5"/>
        <v>0.1</v>
      </c>
      <c r="M68" s="128">
        <f t="shared" si="5"/>
        <v>0.1</v>
      </c>
      <c r="N68" s="128">
        <f t="shared" si="5"/>
        <v>0.1</v>
      </c>
      <c r="O68" s="128">
        <f t="shared" si="5"/>
        <v>0.1</v>
      </c>
      <c r="P68" s="128">
        <f t="shared" si="5"/>
        <v>0.1</v>
      </c>
      <c r="Q68" s="128">
        <f t="shared" si="5"/>
        <v>0.1</v>
      </c>
      <c r="R68" s="128">
        <f t="shared" si="5"/>
        <v>0.1</v>
      </c>
      <c r="S68" s="128">
        <f t="shared" si="5"/>
        <v>0.1</v>
      </c>
      <c r="T68" s="128">
        <f t="shared" si="5"/>
        <v>0.1</v>
      </c>
      <c r="U68" s="128">
        <f t="shared" si="5"/>
        <v>0.1</v>
      </c>
      <c r="V68" s="128">
        <f t="shared" si="5"/>
        <v>0.1</v>
      </c>
      <c r="W68" s="128">
        <f t="shared" si="5"/>
        <v>0.1</v>
      </c>
      <c r="X68" s="128">
        <f t="shared" si="5"/>
        <v>0.1</v>
      </c>
      <c r="Y68" s="128">
        <f t="shared" si="5"/>
        <v>0.1</v>
      </c>
      <c r="Z68" s="128">
        <f t="shared" si="5"/>
        <v>0.1</v>
      </c>
      <c r="AA68" s="128">
        <f t="shared" si="5"/>
        <v>0.1</v>
      </c>
      <c r="AB68" s="128">
        <f t="shared" si="5"/>
        <v>0.1</v>
      </c>
      <c r="AC68" s="128">
        <f t="shared" si="5"/>
        <v>0.1</v>
      </c>
      <c r="AD68" s="128">
        <f t="shared" si="5"/>
        <v>0.1</v>
      </c>
      <c r="AE68" s="128">
        <f t="shared" si="5"/>
        <v>0.1</v>
      </c>
      <c r="AF68" s="128">
        <f t="shared" si="5"/>
        <v>0.1</v>
      </c>
      <c r="AG68" s="128">
        <f t="shared" si="5"/>
        <v>0.1</v>
      </c>
      <c r="AH68" s="128">
        <f t="shared" si="5"/>
        <v>0.1</v>
      </c>
      <c r="AI68" s="128">
        <f t="shared" si="5"/>
        <v>0.1</v>
      </c>
      <c r="AJ68" s="128">
        <f t="shared" si="5"/>
        <v>0.1</v>
      </c>
      <c r="AK68" s="128"/>
      <c r="AL68" s="128"/>
      <c r="AM68" s="128"/>
      <c r="AN68" s="128"/>
      <c r="AO68" s="128"/>
      <c r="AP68" s="128"/>
      <c r="AQ68" s="128"/>
      <c r="AR68" s="128"/>
      <c r="AS68" s="128"/>
      <c r="AT68" s="128"/>
      <c r="AU68" s="128"/>
      <c r="AV68" s="128"/>
      <c r="AW68" s="128"/>
      <c r="AX68" s="128"/>
      <c r="AY68" s="128"/>
      <c r="AZ68" s="128"/>
      <c r="BA68" s="128"/>
      <c r="BB68" s="128"/>
      <c r="BC68" s="128"/>
      <c r="BD68" s="128"/>
      <c r="BE68" s="128"/>
      <c r="BF68" s="128"/>
      <c r="BG68" s="128"/>
      <c r="BH68" s="128"/>
      <c r="BI68" s="128"/>
      <c r="BJ68" s="128"/>
      <c r="BK68" s="128"/>
      <c r="BL68" s="128"/>
      <c r="BM68" s="128"/>
      <c r="BN68" s="128"/>
      <c r="BO68" s="128"/>
      <c r="BP68" s="128"/>
      <c r="BQ68" s="128"/>
      <c r="BR68" s="128"/>
      <c r="BS68" s="128"/>
      <c r="BT68" s="128"/>
    </row>
    <row r="69" spans="1:72" hidden="1" outlineLevel="1" x14ac:dyDescent="0.25">
      <c r="A69" s="124" t="s">
        <v>653</v>
      </c>
      <c r="B69" s="128">
        <f t="shared" ref="B69:E69" si="6">enemyAnemoRes</f>
        <v>0.1</v>
      </c>
      <c r="C69" s="128">
        <f t="shared" si="6"/>
        <v>0.1</v>
      </c>
      <c r="D69" s="128">
        <f t="shared" si="6"/>
        <v>0.1</v>
      </c>
      <c r="E69" s="128">
        <f t="shared" si="6"/>
        <v>0.1</v>
      </c>
      <c r="F69" s="128">
        <f t="shared" ref="F69:AJ69" si="7">enemyAnemoRes</f>
        <v>0.1</v>
      </c>
      <c r="G69" s="128">
        <f t="shared" si="7"/>
        <v>0.1</v>
      </c>
      <c r="H69" s="128">
        <f t="shared" si="7"/>
        <v>0.1</v>
      </c>
      <c r="I69" s="128">
        <f t="shared" si="7"/>
        <v>0.1</v>
      </c>
      <c r="J69" s="128">
        <f t="shared" si="7"/>
        <v>0.1</v>
      </c>
      <c r="K69" s="128">
        <f t="shared" si="7"/>
        <v>0.1</v>
      </c>
      <c r="L69" s="128">
        <f t="shared" si="7"/>
        <v>0.1</v>
      </c>
      <c r="M69" s="128">
        <f t="shared" si="7"/>
        <v>0.1</v>
      </c>
      <c r="N69" s="128">
        <f t="shared" si="7"/>
        <v>0.1</v>
      </c>
      <c r="O69" s="128">
        <f t="shared" si="7"/>
        <v>0.1</v>
      </c>
      <c r="P69" s="128">
        <f t="shared" si="7"/>
        <v>0.1</v>
      </c>
      <c r="Q69" s="128">
        <f t="shared" si="7"/>
        <v>0.1</v>
      </c>
      <c r="R69" s="128">
        <f t="shared" si="7"/>
        <v>0.1</v>
      </c>
      <c r="S69" s="128">
        <f t="shared" si="7"/>
        <v>0.1</v>
      </c>
      <c r="T69" s="128">
        <f t="shared" si="7"/>
        <v>0.1</v>
      </c>
      <c r="U69" s="128">
        <f t="shared" si="7"/>
        <v>0.1</v>
      </c>
      <c r="V69" s="128">
        <f t="shared" si="7"/>
        <v>0.1</v>
      </c>
      <c r="W69" s="128">
        <f t="shared" si="7"/>
        <v>0.1</v>
      </c>
      <c r="X69" s="128">
        <f t="shared" si="7"/>
        <v>0.1</v>
      </c>
      <c r="Y69" s="128">
        <f t="shared" si="7"/>
        <v>0.1</v>
      </c>
      <c r="Z69" s="128">
        <f t="shared" si="7"/>
        <v>0.1</v>
      </c>
      <c r="AA69" s="128">
        <f t="shared" si="7"/>
        <v>0.1</v>
      </c>
      <c r="AB69" s="128">
        <f t="shared" si="7"/>
        <v>0.1</v>
      </c>
      <c r="AC69" s="128">
        <f t="shared" si="7"/>
        <v>0.1</v>
      </c>
      <c r="AD69" s="128">
        <f t="shared" si="7"/>
        <v>0.1</v>
      </c>
      <c r="AE69" s="128">
        <f t="shared" si="7"/>
        <v>0.1</v>
      </c>
      <c r="AF69" s="128">
        <f t="shared" si="7"/>
        <v>0.1</v>
      </c>
      <c r="AG69" s="128">
        <f t="shared" si="7"/>
        <v>0.1</v>
      </c>
      <c r="AH69" s="128">
        <f t="shared" si="7"/>
        <v>0.1</v>
      </c>
      <c r="AI69" s="128">
        <f t="shared" si="7"/>
        <v>0.1</v>
      </c>
      <c r="AJ69" s="128">
        <f t="shared" si="7"/>
        <v>0.1</v>
      </c>
      <c r="AK69" s="128"/>
      <c r="AL69" s="128"/>
      <c r="AM69" s="128"/>
      <c r="AN69" s="128"/>
      <c r="AO69" s="128"/>
      <c r="AP69" s="128"/>
      <c r="AQ69" s="128"/>
      <c r="AR69" s="128"/>
      <c r="AS69" s="128"/>
      <c r="AT69" s="128"/>
      <c r="AU69" s="128"/>
      <c r="AV69" s="128"/>
      <c r="AW69" s="128"/>
      <c r="AX69" s="128"/>
      <c r="AY69" s="128"/>
      <c r="AZ69" s="128"/>
      <c r="BA69" s="128"/>
      <c r="BB69" s="128"/>
      <c r="BC69" s="128"/>
      <c r="BD69" s="128"/>
      <c r="BE69" s="128"/>
      <c r="BF69" s="128"/>
      <c r="BG69" s="128"/>
      <c r="BH69" s="128"/>
      <c r="BI69" s="128"/>
      <c r="BJ69" s="128"/>
      <c r="BK69" s="128"/>
      <c r="BL69" s="128"/>
      <c r="BM69" s="128"/>
      <c r="BN69" s="128"/>
      <c r="BO69" s="128"/>
      <c r="BP69" s="128"/>
      <c r="BQ69" s="128"/>
      <c r="BR69" s="128"/>
      <c r="BS69" s="128"/>
      <c r="BT69" s="128"/>
    </row>
    <row r="70" spans="1:72" hidden="1" outlineLevel="1" x14ac:dyDescent="0.25">
      <c r="A70" s="124" t="s">
        <v>654</v>
      </c>
      <c r="B70" s="128">
        <f t="shared" ref="B70:E70" si="8">enemyGeoRes</f>
        <v>0.1</v>
      </c>
      <c r="C70" s="128">
        <f t="shared" si="8"/>
        <v>0.1</v>
      </c>
      <c r="D70" s="128">
        <f t="shared" si="8"/>
        <v>0.1</v>
      </c>
      <c r="E70" s="128">
        <f t="shared" si="8"/>
        <v>0.1</v>
      </c>
      <c r="F70" s="128">
        <f t="shared" ref="F70:AJ70" si="9">enemyGeoRes</f>
        <v>0.1</v>
      </c>
      <c r="G70" s="128">
        <f t="shared" si="9"/>
        <v>0.1</v>
      </c>
      <c r="H70" s="128">
        <f t="shared" si="9"/>
        <v>0.1</v>
      </c>
      <c r="I70" s="128">
        <f t="shared" si="9"/>
        <v>0.1</v>
      </c>
      <c r="J70" s="128">
        <f t="shared" si="9"/>
        <v>0.1</v>
      </c>
      <c r="K70" s="128">
        <f t="shared" si="9"/>
        <v>0.1</v>
      </c>
      <c r="L70" s="128">
        <f t="shared" si="9"/>
        <v>0.1</v>
      </c>
      <c r="M70" s="128">
        <f t="shared" si="9"/>
        <v>0.1</v>
      </c>
      <c r="N70" s="128">
        <f t="shared" si="9"/>
        <v>0.1</v>
      </c>
      <c r="O70" s="128">
        <f t="shared" si="9"/>
        <v>0.1</v>
      </c>
      <c r="P70" s="128">
        <f t="shared" si="9"/>
        <v>0.1</v>
      </c>
      <c r="Q70" s="128">
        <f t="shared" si="9"/>
        <v>0.1</v>
      </c>
      <c r="R70" s="128">
        <f t="shared" si="9"/>
        <v>0.1</v>
      </c>
      <c r="S70" s="128">
        <f t="shared" si="9"/>
        <v>0.1</v>
      </c>
      <c r="T70" s="128">
        <f t="shared" si="9"/>
        <v>0.1</v>
      </c>
      <c r="U70" s="128">
        <f t="shared" si="9"/>
        <v>0.1</v>
      </c>
      <c r="V70" s="128">
        <f t="shared" si="9"/>
        <v>0.1</v>
      </c>
      <c r="W70" s="128">
        <f t="shared" si="9"/>
        <v>0.1</v>
      </c>
      <c r="X70" s="128">
        <f t="shared" si="9"/>
        <v>0.1</v>
      </c>
      <c r="Y70" s="128">
        <f t="shared" si="9"/>
        <v>0.1</v>
      </c>
      <c r="Z70" s="128">
        <f t="shared" si="9"/>
        <v>0.1</v>
      </c>
      <c r="AA70" s="128">
        <f t="shared" si="9"/>
        <v>0.1</v>
      </c>
      <c r="AB70" s="128">
        <f t="shared" si="9"/>
        <v>0.1</v>
      </c>
      <c r="AC70" s="128">
        <f t="shared" si="9"/>
        <v>0.1</v>
      </c>
      <c r="AD70" s="128">
        <f t="shared" si="9"/>
        <v>0.1</v>
      </c>
      <c r="AE70" s="128">
        <f t="shared" si="9"/>
        <v>0.1</v>
      </c>
      <c r="AF70" s="128">
        <f t="shared" si="9"/>
        <v>0.1</v>
      </c>
      <c r="AG70" s="128">
        <f t="shared" si="9"/>
        <v>0.1</v>
      </c>
      <c r="AH70" s="128">
        <f t="shared" si="9"/>
        <v>0.1</v>
      </c>
      <c r="AI70" s="128">
        <f t="shared" si="9"/>
        <v>0.1</v>
      </c>
      <c r="AJ70" s="128">
        <f t="shared" si="9"/>
        <v>0.1</v>
      </c>
      <c r="AK70" s="128"/>
      <c r="AL70" s="128"/>
      <c r="AM70" s="128"/>
      <c r="AN70" s="128"/>
      <c r="AO70" s="128"/>
      <c r="AP70" s="128"/>
      <c r="AQ70" s="128"/>
      <c r="AR70" s="128"/>
      <c r="AS70" s="128"/>
      <c r="AT70" s="128"/>
      <c r="AU70" s="128"/>
      <c r="AV70" s="128"/>
      <c r="AW70" s="128"/>
      <c r="AX70" s="128"/>
      <c r="AY70" s="128"/>
      <c r="AZ70" s="128"/>
      <c r="BA70" s="128"/>
      <c r="BB70" s="128"/>
      <c r="BC70" s="128"/>
      <c r="BD70" s="128"/>
      <c r="BE70" s="128"/>
      <c r="BF70" s="128"/>
      <c r="BG70" s="128"/>
      <c r="BH70" s="128"/>
      <c r="BI70" s="128"/>
      <c r="BJ70" s="128"/>
      <c r="BK70" s="128"/>
      <c r="BL70" s="128"/>
      <c r="BM70" s="128"/>
      <c r="BN70" s="128"/>
      <c r="BO70" s="128"/>
      <c r="BP70" s="128"/>
      <c r="BQ70" s="128"/>
      <c r="BR70" s="128"/>
      <c r="BS70" s="128"/>
      <c r="BT70" s="128"/>
    </row>
    <row r="71" spans="1:72" hidden="1" outlineLevel="1" x14ac:dyDescent="0.25">
      <c r="A71" s="124" t="s">
        <v>655</v>
      </c>
      <c r="B71" s="128">
        <f t="shared" ref="B71:E71" si="10">enemyPyroRes</f>
        <v>0.1</v>
      </c>
      <c r="C71" s="128">
        <f t="shared" si="10"/>
        <v>0.1</v>
      </c>
      <c r="D71" s="128">
        <f t="shared" si="10"/>
        <v>0.1</v>
      </c>
      <c r="E71" s="128">
        <f t="shared" si="10"/>
        <v>0.1</v>
      </c>
      <c r="F71" s="128">
        <f t="shared" ref="F71:AJ71" si="11">enemyPyroRes</f>
        <v>0.1</v>
      </c>
      <c r="G71" s="128">
        <f t="shared" si="11"/>
        <v>0.1</v>
      </c>
      <c r="H71" s="128">
        <f t="shared" si="11"/>
        <v>0.1</v>
      </c>
      <c r="I71" s="128">
        <f t="shared" si="11"/>
        <v>0.1</v>
      </c>
      <c r="J71" s="128">
        <f t="shared" si="11"/>
        <v>0.1</v>
      </c>
      <c r="K71" s="128">
        <f t="shared" si="11"/>
        <v>0.1</v>
      </c>
      <c r="L71" s="128">
        <f t="shared" si="11"/>
        <v>0.1</v>
      </c>
      <c r="M71" s="128">
        <f t="shared" si="11"/>
        <v>0.1</v>
      </c>
      <c r="N71" s="128">
        <f t="shared" si="11"/>
        <v>0.1</v>
      </c>
      <c r="O71" s="128">
        <f t="shared" si="11"/>
        <v>0.1</v>
      </c>
      <c r="P71" s="128">
        <f t="shared" si="11"/>
        <v>0.1</v>
      </c>
      <c r="Q71" s="128">
        <f t="shared" si="11"/>
        <v>0.1</v>
      </c>
      <c r="R71" s="128">
        <f t="shared" si="11"/>
        <v>0.1</v>
      </c>
      <c r="S71" s="128">
        <f t="shared" si="11"/>
        <v>0.1</v>
      </c>
      <c r="T71" s="128">
        <f t="shared" si="11"/>
        <v>0.1</v>
      </c>
      <c r="U71" s="128">
        <f t="shared" si="11"/>
        <v>0.1</v>
      </c>
      <c r="V71" s="128">
        <f t="shared" si="11"/>
        <v>0.1</v>
      </c>
      <c r="W71" s="128">
        <f t="shared" si="11"/>
        <v>0.1</v>
      </c>
      <c r="X71" s="128">
        <f t="shared" si="11"/>
        <v>0.1</v>
      </c>
      <c r="Y71" s="128">
        <f t="shared" si="11"/>
        <v>0.1</v>
      </c>
      <c r="Z71" s="128">
        <f t="shared" si="11"/>
        <v>0.1</v>
      </c>
      <c r="AA71" s="128">
        <f t="shared" si="11"/>
        <v>0.1</v>
      </c>
      <c r="AB71" s="128">
        <f t="shared" si="11"/>
        <v>0.1</v>
      </c>
      <c r="AC71" s="128">
        <f t="shared" si="11"/>
        <v>0.1</v>
      </c>
      <c r="AD71" s="128">
        <f t="shared" si="11"/>
        <v>0.1</v>
      </c>
      <c r="AE71" s="128">
        <f t="shared" si="11"/>
        <v>0.1</v>
      </c>
      <c r="AF71" s="128">
        <f t="shared" si="11"/>
        <v>0.1</v>
      </c>
      <c r="AG71" s="128">
        <f t="shared" si="11"/>
        <v>0.1</v>
      </c>
      <c r="AH71" s="128">
        <f t="shared" si="11"/>
        <v>0.1</v>
      </c>
      <c r="AI71" s="128">
        <f t="shared" si="11"/>
        <v>0.1</v>
      </c>
      <c r="AJ71" s="128">
        <f t="shared" si="11"/>
        <v>0.1</v>
      </c>
      <c r="AK71" s="128"/>
      <c r="AL71" s="128"/>
      <c r="AM71" s="128"/>
      <c r="AN71" s="128"/>
      <c r="AO71" s="128"/>
      <c r="AP71" s="128"/>
      <c r="AQ71" s="128"/>
      <c r="AR71" s="128"/>
      <c r="AS71" s="128"/>
      <c r="AT71" s="128"/>
      <c r="AU71" s="128"/>
      <c r="AV71" s="128"/>
      <c r="AW71" s="128"/>
      <c r="AX71" s="128"/>
      <c r="AY71" s="128"/>
      <c r="AZ71" s="128"/>
      <c r="BA71" s="128"/>
      <c r="BB71" s="128"/>
      <c r="BC71" s="128"/>
      <c r="BD71" s="128"/>
      <c r="BE71" s="128"/>
      <c r="BF71" s="128"/>
      <c r="BG71" s="128"/>
      <c r="BH71" s="128"/>
      <c r="BI71" s="128"/>
      <c r="BJ71" s="128"/>
      <c r="BK71" s="128"/>
      <c r="BL71" s="128"/>
      <c r="BM71" s="128"/>
      <c r="BN71" s="128"/>
      <c r="BO71" s="128"/>
      <c r="BP71" s="128"/>
      <c r="BQ71" s="128"/>
      <c r="BR71" s="128"/>
      <c r="BS71" s="128"/>
      <c r="BT71" s="128"/>
    </row>
    <row r="72" spans="1:72" hidden="1" outlineLevel="1" x14ac:dyDescent="0.25">
      <c r="A72" s="124" t="s">
        <v>656</v>
      </c>
      <c r="B72" s="128">
        <f t="shared" ref="B72:E72" si="12">enemyHydroRes</f>
        <v>0.1</v>
      </c>
      <c r="C72" s="128">
        <f t="shared" si="12"/>
        <v>0.1</v>
      </c>
      <c r="D72" s="128">
        <f t="shared" si="12"/>
        <v>0.1</v>
      </c>
      <c r="E72" s="128">
        <f t="shared" si="12"/>
        <v>0.1</v>
      </c>
      <c r="F72" s="128">
        <f t="shared" ref="F72:AJ72" si="13">enemyHydroRes</f>
        <v>0.1</v>
      </c>
      <c r="G72" s="128">
        <f t="shared" si="13"/>
        <v>0.1</v>
      </c>
      <c r="H72" s="128">
        <f t="shared" si="13"/>
        <v>0.1</v>
      </c>
      <c r="I72" s="128">
        <f t="shared" si="13"/>
        <v>0.1</v>
      </c>
      <c r="J72" s="128">
        <f t="shared" si="13"/>
        <v>0.1</v>
      </c>
      <c r="K72" s="128">
        <f t="shared" si="13"/>
        <v>0.1</v>
      </c>
      <c r="L72" s="128">
        <f t="shared" si="13"/>
        <v>0.1</v>
      </c>
      <c r="M72" s="128">
        <f t="shared" si="13"/>
        <v>0.1</v>
      </c>
      <c r="N72" s="128">
        <f t="shared" si="13"/>
        <v>0.1</v>
      </c>
      <c r="O72" s="128">
        <f t="shared" si="13"/>
        <v>0.1</v>
      </c>
      <c r="P72" s="128">
        <f t="shared" si="13"/>
        <v>0.1</v>
      </c>
      <c r="Q72" s="128">
        <f t="shared" si="13"/>
        <v>0.1</v>
      </c>
      <c r="R72" s="128">
        <f t="shared" si="13"/>
        <v>0.1</v>
      </c>
      <c r="S72" s="128">
        <f t="shared" si="13"/>
        <v>0.1</v>
      </c>
      <c r="T72" s="128">
        <f t="shared" si="13"/>
        <v>0.1</v>
      </c>
      <c r="U72" s="128">
        <f t="shared" si="13"/>
        <v>0.1</v>
      </c>
      <c r="V72" s="128">
        <f t="shared" si="13"/>
        <v>0.1</v>
      </c>
      <c r="W72" s="128">
        <f t="shared" si="13"/>
        <v>0.1</v>
      </c>
      <c r="X72" s="128">
        <f t="shared" si="13"/>
        <v>0.1</v>
      </c>
      <c r="Y72" s="128">
        <f t="shared" si="13"/>
        <v>0.1</v>
      </c>
      <c r="Z72" s="128">
        <f t="shared" si="13"/>
        <v>0.1</v>
      </c>
      <c r="AA72" s="128">
        <f t="shared" si="13"/>
        <v>0.1</v>
      </c>
      <c r="AB72" s="128">
        <f t="shared" si="13"/>
        <v>0.1</v>
      </c>
      <c r="AC72" s="128">
        <f t="shared" si="13"/>
        <v>0.1</v>
      </c>
      <c r="AD72" s="128">
        <f t="shared" si="13"/>
        <v>0.1</v>
      </c>
      <c r="AE72" s="128">
        <f t="shared" si="13"/>
        <v>0.1</v>
      </c>
      <c r="AF72" s="128">
        <f t="shared" si="13"/>
        <v>0.1</v>
      </c>
      <c r="AG72" s="128">
        <f t="shared" si="13"/>
        <v>0.1</v>
      </c>
      <c r="AH72" s="128">
        <f t="shared" si="13"/>
        <v>0.1</v>
      </c>
      <c r="AI72" s="128">
        <f t="shared" si="13"/>
        <v>0.1</v>
      </c>
      <c r="AJ72" s="128">
        <f t="shared" si="13"/>
        <v>0.1</v>
      </c>
      <c r="AK72" s="128"/>
      <c r="AL72" s="128"/>
      <c r="AM72" s="128"/>
      <c r="AN72" s="128"/>
      <c r="AO72" s="128"/>
      <c r="AP72" s="128"/>
      <c r="AQ72" s="128"/>
      <c r="AR72" s="128"/>
      <c r="AS72" s="128"/>
      <c r="AT72" s="128"/>
      <c r="AU72" s="128"/>
      <c r="AV72" s="128"/>
      <c r="AW72" s="128"/>
      <c r="AX72" s="128"/>
      <c r="AY72" s="128"/>
      <c r="AZ72" s="128"/>
      <c r="BA72" s="128"/>
      <c r="BB72" s="128"/>
      <c r="BC72" s="128"/>
      <c r="BD72" s="128"/>
      <c r="BE72" s="128"/>
      <c r="BF72" s="128"/>
      <c r="BG72" s="128"/>
      <c r="BH72" s="128"/>
      <c r="BI72" s="128"/>
      <c r="BJ72" s="128"/>
      <c r="BK72" s="128"/>
      <c r="BL72" s="128"/>
      <c r="BM72" s="128"/>
      <c r="BN72" s="128"/>
      <c r="BO72" s="128"/>
      <c r="BP72" s="128"/>
      <c r="BQ72" s="128"/>
      <c r="BR72" s="128"/>
      <c r="BS72" s="128"/>
      <c r="BT72" s="128"/>
    </row>
    <row r="73" spans="1:72" hidden="1" outlineLevel="1" x14ac:dyDescent="0.25">
      <c r="A73" s="124" t="s">
        <v>657</v>
      </c>
      <c r="B73" s="128">
        <f t="shared" ref="B73:E73" si="14">enemyCryoRes</f>
        <v>0.1</v>
      </c>
      <c r="C73" s="128">
        <f t="shared" si="14"/>
        <v>0.1</v>
      </c>
      <c r="D73" s="128">
        <f t="shared" si="14"/>
        <v>0.1</v>
      </c>
      <c r="E73" s="128">
        <f t="shared" si="14"/>
        <v>0.1</v>
      </c>
      <c r="F73" s="128">
        <f t="shared" ref="F73:AJ73" si="15">enemyCryoRes</f>
        <v>0.1</v>
      </c>
      <c r="G73" s="128">
        <f t="shared" si="15"/>
        <v>0.1</v>
      </c>
      <c r="H73" s="128">
        <f t="shared" si="15"/>
        <v>0.1</v>
      </c>
      <c r="I73" s="128">
        <f t="shared" si="15"/>
        <v>0.1</v>
      </c>
      <c r="J73" s="128">
        <f t="shared" si="15"/>
        <v>0.1</v>
      </c>
      <c r="K73" s="128">
        <f t="shared" si="15"/>
        <v>0.1</v>
      </c>
      <c r="L73" s="128">
        <f t="shared" si="15"/>
        <v>0.1</v>
      </c>
      <c r="M73" s="128">
        <f t="shared" si="15"/>
        <v>0.1</v>
      </c>
      <c r="N73" s="128">
        <f t="shared" si="15"/>
        <v>0.1</v>
      </c>
      <c r="O73" s="128">
        <f t="shared" si="15"/>
        <v>0.1</v>
      </c>
      <c r="P73" s="128">
        <f t="shared" si="15"/>
        <v>0.1</v>
      </c>
      <c r="Q73" s="128">
        <f t="shared" si="15"/>
        <v>0.1</v>
      </c>
      <c r="R73" s="128">
        <f t="shared" si="15"/>
        <v>0.1</v>
      </c>
      <c r="S73" s="128">
        <f t="shared" si="15"/>
        <v>0.1</v>
      </c>
      <c r="T73" s="128">
        <f t="shared" si="15"/>
        <v>0.1</v>
      </c>
      <c r="U73" s="128">
        <f t="shared" si="15"/>
        <v>0.1</v>
      </c>
      <c r="V73" s="128">
        <f t="shared" si="15"/>
        <v>0.1</v>
      </c>
      <c r="W73" s="128">
        <f t="shared" si="15"/>
        <v>0.1</v>
      </c>
      <c r="X73" s="128">
        <f t="shared" si="15"/>
        <v>0.1</v>
      </c>
      <c r="Y73" s="128">
        <f t="shared" si="15"/>
        <v>0.1</v>
      </c>
      <c r="Z73" s="128">
        <f t="shared" si="15"/>
        <v>0.1</v>
      </c>
      <c r="AA73" s="128">
        <f t="shared" si="15"/>
        <v>0.1</v>
      </c>
      <c r="AB73" s="128">
        <f t="shared" si="15"/>
        <v>0.1</v>
      </c>
      <c r="AC73" s="128">
        <f t="shared" si="15"/>
        <v>0.1</v>
      </c>
      <c r="AD73" s="128">
        <f t="shared" si="15"/>
        <v>0.1</v>
      </c>
      <c r="AE73" s="128">
        <f t="shared" si="15"/>
        <v>0.1</v>
      </c>
      <c r="AF73" s="128">
        <f t="shared" si="15"/>
        <v>0.1</v>
      </c>
      <c r="AG73" s="128">
        <f t="shared" si="15"/>
        <v>0.1</v>
      </c>
      <c r="AH73" s="128">
        <f t="shared" si="15"/>
        <v>0.1</v>
      </c>
      <c r="AI73" s="128">
        <f t="shared" si="15"/>
        <v>0.1</v>
      </c>
      <c r="AJ73" s="128">
        <f t="shared" si="15"/>
        <v>0.1</v>
      </c>
      <c r="AK73" s="128"/>
      <c r="AL73" s="128"/>
      <c r="AM73" s="128"/>
      <c r="AN73" s="128"/>
      <c r="AO73" s="128"/>
      <c r="AP73" s="128"/>
      <c r="AQ73" s="128"/>
      <c r="AR73" s="128"/>
      <c r="AS73" s="128"/>
      <c r="AT73" s="128"/>
      <c r="AU73" s="128"/>
      <c r="AV73" s="128"/>
      <c r="AW73" s="128"/>
      <c r="AX73" s="128"/>
      <c r="AY73" s="128"/>
      <c r="AZ73" s="128"/>
      <c r="BA73" s="128"/>
      <c r="BB73" s="128"/>
      <c r="BC73" s="128"/>
      <c r="BD73" s="128"/>
      <c r="BE73" s="128"/>
      <c r="BF73" s="128"/>
      <c r="BG73" s="128"/>
      <c r="BH73" s="128"/>
      <c r="BI73" s="128"/>
      <c r="BJ73" s="128"/>
      <c r="BK73" s="128"/>
      <c r="BL73" s="128"/>
      <c r="BM73" s="128"/>
      <c r="BN73" s="128"/>
      <c r="BO73" s="128"/>
      <c r="BP73" s="128"/>
      <c r="BQ73" s="128"/>
      <c r="BR73" s="128"/>
      <c r="BS73" s="128"/>
      <c r="BT73" s="128"/>
    </row>
    <row r="74" spans="1:72" hidden="1" outlineLevel="1" x14ac:dyDescent="0.25">
      <c r="A74" s="124" t="s">
        <v>658</v>
      </c>
      <c r="B74" s="128">
        <f t="shared" ref="B74:E74" si="16">enemyElectroRes</f>
        <v>0.1</v>
      </c>
      <c r="C74" s="128">
        <f t="shared" si="16"/>
        <v>0.1</v>
      </c>
      <c r="D74" s="128">
        <f t="shared" si="16"/>
        <v>0.1</v>
      </c>
      <c r="E74" s="128">
        <f t="shared" si="16"/>
        <v>0.1</v>
      </c>
      <c r="F74" s="128">
        <f t="shared" ref="F74:AJ74" si="17">enemyElectroRes</f>
        <v>0.1</v>
      </c>
      <c r="G74" s="128">
        <f t="shared" si="17"/>
        <v>0.1</v>
      </c>
      <c r="H74" s="128">
        <f t="shared" si="17"/>
        <v>0.1</v>
      </c>
      <c r="I74" s="128">
        <f t="shared" si="17"/>
        <v>0.1</v>
      </c>
      <c r="J74" s="128">
        <f t="shared" si="17"/>
        <v>0.1</v>
      </c>
      <c r="K74" s="128">
        <f t="shared" si="17"/>
        <v>0.1</v>
      </c>
      <c r="L74" s="128">
        <f t="shared" si="17"/>
        <v>0.1</v>
      </c>
      <c r="M74" s="128">
        <f t="shared" si="17"/>
        <v>0.1</v>
      </c>
      <c r="N74" s="128">
        <f t="shared" si="17"/>
        <v>0.1</v>
      </c>
      <c r="O74" s="128">
        <f t="shared" si="17"/>
        <v>0.1</v>
      </c>
      <c r="P74" s="128">
        <f t="shared" si="17"/>
        <v>0.1</v>
      </c>
      <c r="Q74" s="128">
        <f t="shared" si="17"/>
        <v>0.1</v>
      </c>
      <c r="R74" s="128">
        <f t="shared" si="17"/>
        <v>0.1</v>
      </c>
      <c r="S74" s="128">
        <f t="shared" si="17"/>
        <v>0.1</v>
      </c>
      <c r="T74" s="128">
        <f t="shared" si="17"/>
        <v>0.1</v>
      </c>
      <c r="U74" s="128">
        <f t="shared" si="17"/>
        <v>0.1</v>
      </c>
      <c r="V74" s="128">
        <f t="shared" si="17"/>
        <v>0.1</v>
      </c>
      <c r="W74" s="128">
        <f t="shared" si="17"/>
        <v>0.1</v>
      </c>
      <c r="X74" s="128">
        <f t="shared" si="17"/>
        <v>0.1</v>
      </c>
      <c r="Y74" s="128">
        <f t="shared" si="17"/>
        <v>0.1</v>
      </c>
      <c r="Z74" s="128">
        <f t="shared" si="17"/>
        <v>0.1</v>
      </c>
      <c r="AA74" s="128">
        <f t="shared" si="17"/>
        <v>0.1</v>
      </c>
      <c r="AB74" s="128">
        <f t="shared" si="17"/>
        <v>0.1</v>
      </c>
      <c r="AC74" s="128">
        <f t="shared" si="17"/>
        <v>0.1</v>
      </c>
      <c r="AD74" s="128">
        <f t="shared" si="17"/>
        <v>0.1</v>
      </c>
      <c r="AE74" s="128">
        <f t="shared" si="17"/>
        <v>0.1</v>
      </c>
      <c r="AF74" s="128">
        <f t="shared" si="17"/>
        <v>0.1</v>
      </c>
      <c r="AG74" s="128">
        <f t="shared" si="17"/>
        <v>0.1</v>
      </c>
      <c r="AH74" s="128">
        <f t="shared" si="17"/>
        <v>0.1</v>
      </c>
      <c r="AI74" s="128">
        <f t="shared" si="17"/>
        <v>0.1</v>
      </c>
      <c r="AJ74" s="128">
        <f t="shared" si="17"/>
        <v>0.1</v>
      </c>
      <c r="AK74" s="128"/>
      <c r="AL74" s="128"/>
      <c r="AM74" s="128"/>
      <c r="AN74" s="128"/>
      <c r="AO74" s="128"/>
      <c r="AP74" s="128"/>
      <c r="AQ74" s="128"/>
      <c r="AR74" s="128"/>
      <c r="AS74" s="128"/>
      <c r="AT74" s="128"/>
      <c r="AU74" s="128"/>
      <c r="AV74" s="128"/>
      <c r="AW74" s="128"/>
      <c r="AX74" s="128"/>
      <c r="AY74" s="128"/>
      <c r="AZ74" s="128"/>
      <c r="BA74" s="128"/>
      <c r="BB74" s="128"/>
      <c r="BC74" s="128"/>
      <c r="BD74" s="128"/>
      <c r="BE74" s="128"/>
      <c r="BF74" s="128"/>
      <c r="BG74" s="128"/>
      <c r="BH74" s="128"/>
      <c r="BI74" s="128"/>
      <c r="BJ74" s="128"/>
      <c r="BK74" s="128"/>
      <c r="BL74" s="128"/>
      <c r="BM74" s="128"/>
      <c r="BN74" s="128"/>
      <c r="BO74" s="128"/>
      <c r="BP74" s="128"/>
      <c r="BQ74" s="128"/>
      <c r="BR74" s="128"/>
      <c r="BS74" s="128"/>
      <c r="BT74" s="128"/>
    </row>
    <row r="75" spans="1:72" s="115" customFormat="1" collapsed="1" x14ac:dyDescent="0.25">
      <c r="A75" s="114" t="s">
        <v>640</v>
      </c>
    </row>
    <row r="76" spans="1:72" s="111" customFormat="1" hidden="1" outlineLevel="1" x14ac:dyDescent="0.25">
      <c r="A76" s="112" t="s">
        <v>62</v>
      </c>
      <c r="D76" s="109">
        <v>1053.3599999999999</v>
      </c>
      <c r="E76" s="109"/>
      <c r="F76" s="109"/>
      <c r="G76" s="109"/>
      <c r="H76" s="109"/>
      <c r="I76" s="109"/>
      <c r="J76" s="109">
        <v>1053.3599999999999</v>
      </c>
      <c r="K76" s="109">
        <v>1053.3599999999999</v>
      </c>
      <c r="L76" s="109">
        <v>1053.3599999999999</v>
      </c>
      <c r="M76" s="109"/>
      <c r="N76" s="109"/>
      <c r="O76" s="109"/>
      <c r="P76" s="109"/>
      <c r="Q76" s="109"/>
      <c r="R76" s="109"/>
      <c r="S76" s="109"/>
      <c r="T76" s="109"/>
      <c r="U76" s="109"/>
      <c r="V76" s="109"/>
      <c r="W76" s="109"/>
      <c r="X76" s="109">
        <f t="shared" ref="X76:AF76" si="18">1.32*(char3BaseATK+char3WeaponBaseATK)</f>
        <v>1053.3600000000001</v>
      </c>
      <c r="Y76" s="109">
        <f t="shared" si="18"/>
        <v>1053.3600000000001</v>
      </c>
      <c r="Z76" s="109">
        <f t="shared" si="18"/>
        <v>1053.3600000000001</v>
      </c>
      <c r="AA76" s="109">
        <f t="shared" si="18"/>
        <v>1053.3600000000001</v>
      </c>
      <c r="AB76" s="109">
        <f t="shared" si="18"/>
        <v>1053.3600000000001</v>
      </c>
      <c r="AC76" s="109">
        <f t="shared" si="18"/>
        <v>1053.3600000000001</v>
      </c>
      <c r="AD76" s="109">
        <f t="shared" si="18"/>
        <v>1053.3600000000001</v>
      </c>
      <c r="AE76" s="109">
        <f t="shared" si="18"/>
        <v>1053.3600000000001</v>
      </c>
      <c r="AF76" s="109">
        <f t="shared" si="18"/>
        <v>1053.3600000000001</v>
      </c>
      <c r="AG76" s="109"/>
      <c r="AH76" s="109"/>
      <c r="AI76" s="109"/>
      <c r="AJ76" s="109"/>
      <c r="AK76" s="109"/>
      <c r="AL76" s="109"/>
    </row>
    <row r="77" spans="1:72" s="110" customFormat="1" hidden="1" outlineLevel="1" x14ac:dyDescent="0.25">
      <c r="A77" s="112" t="s">
        <v>63</v>
      </c>
      <c r="F77" s="108"/>
      <c r="G77" s="108"/>
      <c r="H77" s="108"/>
      <c r="I77" s="108"/>
      <c r="J77" s="108"/>
      <c r="K77" s="108"/>
      <c r="L77" s="108"/>
      <c r="M77" s="108"/>
      <c r="N77" s="108"/>
      <c r="O77" s="108"/>
      <c r="P77" s="108"/>
      <c r="Q77" s="108"/>
      <c r="R77" s="108"/>
      <c r="S77" s="108"/>
      <c r="T77" s="108"/>
      <c r="U77" s="108"/>
      <c r="V77" s="108"/>
      <c r="W77" s="108"/>
      <c r="X77" s="108"/>
      <c r="Y77" s="108"/>
      <c r="Z77" s="108"/>
      <c r="AA77" s="108"/>
      <c r="AB77" s="108"/>
      <c r="AC77" s="108"/>
      <c r="AD77" s="108"/>
      <c r="AE77" s="108"/>
      <c r="AF77" s="108"/>
      <c r="AG77" s="108"/>
      <c r="AH77" s="108"/>
      <c r="AI77" s="108"/>
      <c r="AJ77" s="108"/>
      <c r="AK77" s="108"/>
      <c r="AL77" s="108"/>
    </row>
    <row r="78" spans="1:72" s="109" customFormat="1" hidden="1" outlineLevel="1" x14ac:dyDescent="0.25">
      <c r="A78" s="112" t="s">
        <v>64</v>
      </c>
    </row>
    <row r="79" spans="1:72" s="108" customFormat="1" hidden="1" outlineLevel="1" x14ac:dyDescent="0.25">
      <c r="A79" s="112" t="s">
        <v>69</v>
      </c>
    </row>
    <row r="80" spans="1:72" s="109" customFormat="1" hidden="1" outlineLevel="1" x14ac:dyDescent="0.25">
      <c r="A80" s="112" t="s">
        <v>65</v>
      </c>
      <c r="B80" s="129"/>
      <c r="C80" s="129"/>
      <c r="D80" s="129">
        <v>0.2</v>
      </c>
      <c r="E80" s="129"/>
      <c r="F80" s="129"/>
      <c r="G80" s="129"/>
      <c r="H80" s="129"/>
      <c r="I80" s="129"/>
      <c r="J80" s="129">
        <v>0.2</v>
      </c>
      <c r="K80" s="129">
        <v>0.2</v>
      </c>
      <c r="L80" s="129">
        <v>0.2</v>
      </c>
      <c r="M80" s="129">
        <v>0.2</v>
      </c>
      <c r="N80" s="129">
        <v>0.2</v>
      </c>
      <c r="O80" s="129">
        <v>0.2</v>
      </c>
      <c r="P80" s="129">
        <v>0.2</v>
      </c>
      <c r="Q80" s="129">
        <v>0.2</v>
      </c>
      <c r="R80" s="129">
        <v>0.2</v>
      </c>
      <c r="S80" s="129">
        <v>0.2</v>
      </c>
      <c r="T80" s="129">
        <v>0.2</v>
      </c>
      <c r="U80" s="129">
        <v>0.2</v>
      </c>
      <c r="V80" s="129">
        <v>0.2</v>
      </c>
      <c r="W80" s="129">
        <v>0.2</v>
      </c>
      <c r="X80" s="129">
        <v>0.2</v>
      </c>
      <c r="Y80" s="129">
        <v>0.2</v>
      </c>
      <c r="Z80" s="129">
        <v>0.2</v>
      </c>
      <c r="AA80" s="129">
        <v>0.2</v>
      </c>
      <c r="AB80" s="129">
        <v>0.2</v>
      </c>
      <c r="AC80" s="129">
        <v>0.2</v>
      </c>
      <c r="AD80" s="129">
        <v>0.2</v>
      </c>
      <c r="AE80" s="129">
        <v>0.2</v>
      </c>
      <c r="AF80" s="129">
        <v>0.2</v>
      </c>
      <c r="AG80" s="129"/>
      <c r="AH80" s="129"/>
      <c r="AI80" s="129"/>
      <c r="AJ80" s="129"/>
      <c r="AK80" s="129"/>
      <c r="AL80" s="129"/>
      <c r="AQ80" s="129"/>
      <c r="AR80" s="129"/>
      <c r="AS80" s="129"/>
      <c r="AT80" s="129"/>
      <c r="AU80" s="129"/>
      <c r="AV80" s="129"/>
      <c r="AW80" s="129"/>
      <c r="AX80" s="129"/>
      <c r="AY80" s="129"/>
      <c r="AZ80" s="129"/>
      <c r="BA80" s="129"/>
      <c r="BB80" s="129"/>
      <c r="BC80" s="129"/>
      <c r="BD80" s="129"/>
      <c r="BE80" s="129"/>
      <c r="BF80" s="129"/>
      <c r="BG80" s="129"/>
      <c r="BH80" s="129"/>
      <c r="BI80" s="129"/>
      <c r="BJ80" s="129"/>
      <c r="BK80" s="129"/>
      <c r="BL80" s="129"/>
      <c r="BM80" s="129"/>
      <c r="BN80" s="129"/>
      <c r="BO80" s="129"/>
      <c r="BP80" s="129"/>
      <c r="BQ80" s="129"/>
      <c r="BR80" s="129"/>
      <c r="BS80" s="129"/>
      <c r="BT80" s="129"/>
    </row>
    <row r="81" spans="1:72" s="108" customFormat="1" hidden="1" outlineLevel="1" x14ac:dyDescent="0.25">
      <c r="A81" s="112" t="s">
        <v>66</v>
      </c>
    </row>
    <row r="82" spans="1:72" s="109" customFormat="1" hidden="1" outlineLevel="1" x14ac:dyDescent="0.25">
      <c r="A82" s="112" t="s">
        <v>67</v>
      </c>
    </row>
    <row r="83" spans="1:72" s="108" customFormat="1" hidden="1" outlineLevel="1" x14ac:dyDescent="0.25">
      <c r="A83" s="112" t="s">
        <v>413</v>
      </c>
    </row>
    <row r="84" spans="1:72" s="109" customFormat="1" hidden="1" outlineLevel="1" x14ac:dyDescent="0.25">
      <c r="A84" s="112" t="s">
        <v>414</v>
      </c>
    </row>
    <row r="85" spans="1:72" s="108" customFormat="1" hidden="1" outlineLevel="1" x14ac:dyDescent="0.25">
      <c r="A85" s="112" t="s">
        <v>68</v>
      </c>
    </row>
    <row r="86" spans="1:72" s="109" customFormat="1" hidden="1" outlineLevel="1" x14ac:dyDescent="0.25">
      <c r="A86" s="112" t="s">
        <v>82</v>
      </c>
      <c r="B86" s="129"/>
      <c r="C86" s="129"/>
      <c r="D86" s="129"/>
      <c r="E86" s="129"/>
      <c r="F86" s="129"/>
      <c r="G86" s="129"/>
      <c r="H86" s="129"/>
      <c r="I86" s="129"/>
      <c r="J86" s="129"/>
      <c r="K86" s="129"/>
      <c r="L86" s="129"/>
      <c r="M86" s="129"/>
      <c r="N86" s="129"/>
      <c r="O86" s="129"/>
      <c r="P86" s="129"/>
      <c r="Q86" s="129"/>
      <c r="R86" s="129"/>
      <c r="S86" s="129"/>
      <c r="T86" s="129"/>
      <c r="U86" s="129"/>
      <c r="V86" s="129"/>
      <c r="W86" s="129"/>
      <c r="X86" s="129"/>
      <c r="Y86" s="129"/>
      <c r="Z86" s="129"/>
      <c r="AA86" s="129"/>
      <c r="AB86" s="129"/>
      <c r="AC86" s="129"/>
      <c r="AD86" s="129"/>
      <c r="AE86" s="129"/>
      <c r="AF86" s="129"/>
      <c r="AG86" s="129"/>
      <c r="AH86" s="129"/>
      <c r="AI86" s="129"/>
      <c r="AJ86" s="129"/>
      <c r="AK86" s="129"/>
      <c r="AL86" s="129"/>
      <c r="AM86" s="129"/>
      <c r="AN86" s="129"/>
      <c r="AO86" s="129"/>
      <c r="AP86" s="129"/>
    </row>
    <row r="87" spans="1:72" s="108" customFormat="1" hidden="1" outlineLevel="1" x14ac:dyDescent="0.25">
      <c r="A87" s="112" t="s">
        <v>70</v>
      </c>
    </row>
    <row r="88" spans="1:72" s="109" customFormat="1" hidden="1" outlineLevel="1" x14ac:dyDescent="0.25">
      <c r="A88" s="112" t="s">
        <v>71</v>
      </c>
    </row>
    <row r="89" spans="1:72" s="108" customFormat="1" hidden="1" outlineLevel="1" x14ac:dyDescent="0.25">
      <c r="A89" s="112" t="s">
        <v>72</v>
      </c>
    </row>
    <row r="90" spans="1:72" s="109" customFormat="1" hidden="1" outlineLevel="1" x14ac:dyDescent="0.25">
      <c r="A90" s="112" t="s">
        <v>73</v>
      </c>
      <c r="R90" s="129">
        <v>0.2</v>
      </c>
      <c r="AQ90" s="205"/>
      <c r="AR90" s="205"/>
      <c r="AS90" s="205"/>
      <c r="AT90" s="205"/>
      <c r="AU90" s="205"/>
      <c r="AV90" s="205"/>
      <c r="AW90" s="205"/>
      <c r="AX90" s="205"/>
      <c r="AY90" s="205"/>
      <c r="AZ90" s="205"/>
      <c r="BA90" s="205"/>
      <c r="BB90" s="205"/>
      <c r="BC90" s="205"/>
      <c r="BD90" s="205"/>
      <c r="BE90" s="205"/>
      <c r="BF90" s="205"/>
      <c r="BG90" s="205"/>
      <c r="BH90" s="205"/>
      <c r="BI90" s="205"/>
      <c r="BJ90" s="205"/>
      <c r="BK90" s="205"/>
      <c r="BL90" s="205"/>
      <c r="BM90" s="205"/>
      <c r="BN90" s="205"/>
      <c r="BO90" s="205"/>
      <c r="BP90" s="205"/>
      <c r="BQ90" s="205"/>
      <c r="BR90" s="205"/>
      <c r="BS90" s="205"/>
      <c r="BT90" s="205"/>
    </row>
    <row r="91" spans="1:72" s="108" customFormat="1" hidden="1" outlineLevel="1" x14ac:dyDescent="0.25">
      <c r="A91" s="112" t="s">
        <v>74</v>
      </c>
      <c r="AQ91" s="206"/>
      <c r="AR91" s="206"/>
      <c r="AS91" s="206"/>
      <c r="AT91" s="206"/>
      <c r="AU91" s="206"/>
      <c r="AV91" s="206"/>
      <c r="AW91" s="206"/>
      <c r="AX91" s="206"/>
      <c r="AY91" s="206"/>
      <c r="AZ91" s="206"/>
      <c r="BA91" s="206"/>
      <c r="BB91" s="206"/>
      <c r="BC91" s="206"/>
      <c r="BD91" s="206"/>
      <c r="BE91" s="206"/>
      <c r="BF91" s="206"/>
      <c r="BG91" s="206"/>
      <c r="BH91" s="206"/>
      <c r="BI91" s="206"/>
      <c r="BJ91" s="206"/>
      <c r="BK91" s="206"/>
      <c r="BL91" s="206"/>
      <c r="BM91" s="206"/>
      <c r="BN91" s="206"/>
      <c r="BO91" s="206"/>
      <c r="BP91" s="206"/>
      <c r="BQ91" s="206"/>
      <c r="BR91" s="206"/>
      <c r="BS91" s="206"/>
      <c r="BT91" s="206"/>
    </row>
    <row r="92" spans="1:72" s="109" customFormat="1" hidden="1" outlineLevel="1" x14ac:dyDescent="0.25">
      <c r="A92" s="112" t="s">
        <v>75</v>
      </c>
      <c r="AQ92" s="205"/>
      <c r="AR92" s="205"/>
      <c r="AS92" s="205"/>
      <c r="AT92" s="205"/>
      <c r="AU92" s="205"/>
      <c r="AV92" s="205"/>
      <c r="AW92" s="205"/>
      <c r="AX92" s="205"/>
      <c r="AY92" s="205"/>
      <c r="AZ92" s="205"/>
      <c r="BA92" s="205"/>
      <c r="BB92" s="205"/>
      <c r="BC92" s="205"/>
      <c r="BD92" s="205"/>
      <c r="BE92" s="205"/>
      <c r="BF92" s="205"/>
      <c r="BG92" s="205"/>
      <c r="BH92" s="205"/>
      <c r="BI92" s="205"/>
      <c r="BJ92" s="205"/>
      <c r="BK92" s="205"/>
      <c r="BL92" s="205"/>
      <c r="BM92" s="205"/>
      <c r="BN92" s="205"/>
      <c r="BO92" s="205"/>
      <c r="BP92" s="205"/>
      <c r="BQ92" s="205"/>
      <c r="BR92" s="205"/>
      <c r="BS92" s="205"/>
      <c r="BT92" s="205"/>
    </row>
    <row r="93" spans="1:72" s="108" customFormat="1" hidden="1" outlineLevel="1" x14ac:dyDescent="0.25">
      <c r="A93" s="112" t="s">
        <v>76</v>
      </c>
    </row>
    <row r="94" spans="1:72" s="109" customFormat="1" hidden="1" outlineLevel="1" x14ac:dyDescent="0.25">
      <c r="A94" s="112" t="s">
        <v>77</v>
      </c>
    </row>
    <row r="95" spans="1:72" s="108" customFormat="1" hidden="1" outlineLevel="1" x14ac:dyDescent="0.25">
      <c r="A95" s="112" t="s">
        <v>78</v>
      </c>
    </row>
    <row r="96" spans="1:72" s="109" customFormat="1" hidden="1" outlineLevel="1" x14ac:dyDescent="0.25">
      <c r="A96" s="112" t="s">
        <v>79</v>
      </c>
    </row>
    <row r="97" spans="1:32" s="108" customFormat="1" hidden="1" outlineLevel="1" x14ac:dyDescent="0.25">
      <c r="A97" s="112" t="s">
        <v>80</v>
      </c>
    </row>
    <row r="98" spans="1:32" s="109" customFormat="1" hidden="1" outlineLevel="1" x14ac:dyDescent="0.25">
      <c r="A98" s="112" t="s">
        <v>81</v>
      </c>
    </row>
    <row r="99" spans="1:32" s="108" customFormat="1" hidden="1" outlineLevel="1" x14ac:dyDescent="0.25">
      <c r="A99" s="112" t="s">
        <v>83</v>
      </c>
    </row>
    <row r="100" spans="1:32" s="109" customFormat="1" hidden="1" outlineLevel="1" x14ac:dyDescent="0.25">
      <c r="A100" s="112" t="s">
        <v>84</v>
      </c>
    </row>
    <row r="101" spans="1:32" s="108" customFormat="1" hidden="1" outlineLevel="1" x14ac:dyDescent="0.25">
      <c r="A101" s="112" t="s">
        <v>85</v>
      </c>
    </row>
    <row r="102" spans="1:32" s="109" customFormat="1" hidden="1" outlineLevel="1" x14ac:dyDescent="0.25">
      <c r="A102" s="112" t="s">
        <v>86</v>
      </c>
    </row>
    <row r="103" spans="1:32" s="108" customFormat="1" hidden="1" outlineLevel="1" x14ac:dyDescent="0.25">
      <c r="A103" s="112" t="s">
        <v>87</v>
      </c>
    </row>
    <row r="104" spans="1:32" s="109" customFormat="1" hidden="1" outlineLevel="1" x14ac:dyDescent="0.25">
      <c r="A104" s="112" t="s">
        <v>90</v>
      </c>
    </row>
    <row r="105" spans="1:32" s="108" customFormat="1" hidden="1" outlineLevel="1" x14ac:dyDescent="0.25">
      <c r="A105" s="112" t="s">
        <v>88</v>
      </c>
    </row>
    <row r="106" spans="1:32" s="109" customFormat="1" hidden="1" outlineLevel="1" x14ac:dyDescent="0.25">
      <c r="A106" s="112" t="s">
        <v>89</v>
      </c>
    </row>
    <row r="107" spans="1:32" s="108" customFormat="1" hidden="1" outlineLevel="1" x14ac:dyDescent="0.25">
      <c r="A107" s="112" t="s">
        <v>91</v>
      </c>
      <c r="D107" s="217"/>
      <c r="X107" s="217"/>
      <c r="Y107" s="217"/>
      <c r="Z107" s="217"/>
      <c r="AA107" s="217"/>
      <c r="AB107" s="217"/>
      <c r="AC107" s="217"/>
      <c r="AD107" s="217"/>
      <c r="AE107" s="217"/>
      <c r="AF107" s="217"/>
    </row>
    <row r="108" spans="1:32" s="109" customFormat="1" hidden="1" outlineLevel="1" x14ac:dyDescent="0.25">
      <c r="A108" s="112" t="s">
        <v>458</v>
      </c>
    </row>
    <row r="109" spans="1:32" s="108" customFormat="1" hidden="1" outlineLevel="1" x14ac:dyDescent="0.25">
      <c r="A109" s="112" t="s">
        <v>93</v>
      </c>
    </row>
    <row r="110" spans="1:32" s="109" customFormat="1" hidden="1" outlineLevel="1" x14ac:dyDescent="0.25">
      <c r="A110" s="112" t="s">
        <v>427</v>
      </c>
    </row>
    <row r="111" spans="1:32" s="108" customFormat="1" hidden="1" outlineLevel="1" x14ac:dyDescent="0.25">
      <c r="A111" s="112" t="s">
        <v>457</v>
      </c>
    </row>
    <row r="112" spans="1:32" s="109" customFormat="1" hidden="1" outlineLevel="1" x14ac:dyDescent="0.25">
      <c r="A112" s="112" t="s">
        <v>92</v>
      </c>
    </row>
    <row r="113" spans="1:36" s="108" customFormat="1" hidden="1" outlineLevel="1" x14ac:dyDescent="0.25">
      <c r="A113" s="112" t="s">
        <v>94</v>
      </c>
    </row>
    <row r="114" spans="1:36" s="109" customFormat="1" hidden="1" outlineLevel="1" x14ac:dyDescent="0.25">
      <c r="A114" s="112" t="s">
        <v>95</v>
      </c>
    </row>
    <row r="115" spans="1:36" s="108" customFormat="1" hidden="1" outlineLevel="1" x14ac:dyDescent="0.25">
      <c r="A115" s="112" t="s">
        <v>96</v>
      </c>
    </row>
    <row r="116" spans="1:36" s="109" customFormat="1" hidden="1" outlineLevel="1" x14ac:dyDescent="0.25">
      <c r="A116" s="112" t="s">
        <v>97</v>
      </c>
    </row>
    <row r="117" spans="1:36" s="108" customFormat="1" hidden="1" outlineLevel="1" x14ac:dyDescent="0.25">
      <c r="A117" s="112" t="s">
        <v>98</v>
      </c>
    </row>
    <row r="118" spans="1:36" s="109" customFormat="1" hidden="1" outlineLevel="1" x14ac:dyDescent="0.25">
      <c r="A118" s="112" t="s">
        <v>424</v>
      </c>
    </row>
    <row r="119" spans="1:36" s="108" customFormat="1" hidden="1" outlineLevel="1" x14ac:dyDescent="0.25">
      <c r="A119" s="112" t="s">
        <v>425</v>
      </c>
    </row>
    <row r="120" spans="1:36" s="109" customFormat="1" hidden="1" outlineLevel="1" x14ac:dyDescent="0.25">
      <c r="A120" s="112" t="s">
        <v>438</v>
      </c>
    </row>
    <row r="121" spans="1:36" s="108" customFormat="1" hidden="1" outlineLevel="1" x14ac:dyDescent="0.25">
      <c r="A121" s="112" t="s">
        <v>426</v>
      </c>
    </row>
    <row r="122" spans="1:36" s="109" customFormat="1" hidden="1" outlineLevel="1" x14ac:dyDescent="0.25">
      <c r="A122" s="112" t="s">
        <v>648</v>
      </c>
    </row>
    <row r="123" spans="1:36" s="108" customFormat="1" hidden="1" outlineLevel="1" x14ac:dyDescent="0.25">
      <c r="A123" s="112" t="s">
        <v>642</v>
      </c>
    </row>
    <row r="124" spans="1:36" s="109" customFormat="1" hidden="1" outlineLevel="1" x14ac:dyDescent="0.25">
      <c r="A124" s="112" t="s">
        <v>643</v>
      </c>
      <c r="AG124" s="129"/>
      <c r="AH124" s="129"/>
      <c r="AI124" s="129"/>
      <c r="AJ124" s="129"/>
    </row>
    <row r="125" spans="1:36" s="116" customFormat="1" hidden="1" outlineLevel="1" x14ac:dyDescent="0.25">
      <c r="A125" s="112" t="s">
        <v>644</v>
      </c>
      <c r="E125" s="116">
        <v>0.15</v>
      </c>
      <c r="M125" s="116">
        <v>0.15</v>
      </c>
      <c r="N125" s="116">
        <v>0.15</v>
      </c>
      <c r="O125" s="116">
        <v>0.15</v>
      </c>
      <c r="U125" s="116">
        <v>0.15</v>
      </c>
      <c r="V125" s="116">
        <v>0.15</v>
      </c>
      <c r="W125" s="116">
        <v>0.15</v>
      </c>
    </row>
    <row r="126" spans="1:36" s="117" customFormat="1" hidden="1" outlineLevel="1" x14ac:dyDescent="0.25">
      <c r="A126" s="112" t="s">
        <v>645</v>
      </c>
      <c r="H126" s="117">
        <v>0.15</v>
      </c>
    </row>
    <row r="127" spans="1:36" s="116" customFormat="1" hidden="1" outlineLevel="1" x14ac:dyDescent="0.25">
      <c r="A127" s="112" t="s">
        <v>646</v>
      </c>
    </row>
    <row r="128" spans="1:36" s="117" customFormat="1" hidden="1" outlineLevel="1" x14ac:dyDescent="0.25">
      <c r="A128" s="112" t="s">
        <v>647</v>
      </c>
    </row>
    <row r="129" spans="1:72" s="113" customFormat="1" collapsed="1" x14ac:dyDescent="0.25">
      <c r="A129" s="118" t="s">
        <v>641</v>
      </c>
    </row>
    <row r="130" spans="1:72" s="107" customFormat="1" hidden="1" outlineLevel="1" x14ac:dyDescent="0.25">
      <c r="A130" s="119" t="s">
        <v>127</v>
      </c>
      <c r="B130" s="107" cm="1">
        <f t="array" aca="1" ref="B130" ca="1">IFERROR((INDIRECT(B21&amp;"BaseATK")+INDIRECT(B21&amp;"WeaponBaseATK"))*(1+B137)+B133, 0)</f>
        <v>1839.8047999999999</v>
      </c>
      <c r="C130" s="107" cm="1">
        <f t="array" aca="1" ref="C130" ca="1">IFERROR((INDIRECT(C21&amp;"BaseATK")+INDIRECT(C21&amp;"WeaponBaseATK"))*(1+C137)+C133, 0)</f>
        <v>1839.8047999999999</v>
      </c>
      <c r="D130" s="107" cm="1">
        <f t="array" aca="1" ref="D130" ca="1">IFERROR((INDIRECT(D21&amp;"BaseATK")+INDIRECT(D21&amp;"WeaponBaseATK"))*(1+D137)+D133, 0)</f>
        <v>3057.9647999999997</v>
      </c>
      <c r="E130" s="107" cm="1">
        <f t="array" aca="1" ref="E130" ca="1">IFERROR((INDIRECT(E21&amp;"BaseATK")+INDIRECT(E21&amp;"WeaponBaseATK"))*(1+E137)+E133, 0)</f>
        <v>1839.8047999999999</v>
      </c>
      <c r="F130" s="107" cm="1">
        <f t="array" aca="1" ref="F130" ca="1">IFERROR((INDIRECT(F21&amp;"BaseATK")+INDIRECT(F21&amp;"WeaponBaseATK"))*(1+F137)+F133, 0)</f>
        <v>1881.2156</v>
      </c>
      <c r="G130" s="107" cm="1">
        <f t="array" aca="1" ref="G130" ca="1">IFERROR((INDIRECT(G21&amp;"BaseATK")+INDIRECT(G21&amp;"WeaponBaseATK"))*(1+G137)+G133, 0)</f>
        <v>1881.2156</v>
      </c>
      <c r="H130" s="107" cm="1">
        <f t="array" aca="1" ref="H130" ca="1">IFERROR((INDIRECT(H21&amp;"BaseATK")+INDIRECT(H21&amp;"WeaponBaseATK"))*(1+H137)+H133, 0)</f>
        <v>1881.2156</v>
      </c>
      <c r="I130" s="107" cm="1">
        <f t="array" aca="1" ref="I130" ca="1">IFERROR((INDIRECT(I21&amp;"BaseATK")+INDIRECT(I21&amp;"WeaponBaseATK"))*(1+I137)+I133, 0)</f>
        <v>1881.2156</v>
      </c>
      <c r="J130" s="107" cm="1">
        <f t="array" aca="1" ref="J130" ca="1">IFERROR((INDIRECT(J21&amp;"BaseATK")+INDIRECT(J21&amp;"WeaponBaseATK"))*(1+J137)+J133, 0)</f>
        <v>2793.3015999999998</v>
      </c>
      <c r="K130" s="107" cm="1">
        <f t="array" aca="1" ref="K130" ca="1">IFERROR((INDIRECT(K21&amp;"BaseATK")+INDIRECT(K21&amp;"WeaponBaseATK"))*(1+K137)+K133, 0)</f>
        <v>2793.3015999999998</v>
      </c>
      <c r="L130" s="107" cm="1">
        <f t="array" aca="1" ref="L130" ca="1">IFERROR((INDIRECT(L21&amp;"BaseATK")+INDIRECT(L21&amp;"WeaponBaseATK"))*(1+L137)+L133, 0)</f>
        <v>2793.3015999999998</v>
      </c>
      <c r="M130" s="107" cm="1">
        <f t="array" aca="1" ref="M130" ca="1">IFERROR((INDIRECT(M21&amp;"BaseATK")+INDIRECT(M21&amp;"WeaponBaseATK"))*(1+M137)+M133, 0)</f>
        <v>2536.1019999999999</v>
      </c>
      <c r="N130" s="107" cm="1">
        <f t="array" aca="1" ref="N130" ca="1">IFERROR((INDIRECT(N21&amp;"BaseATK")+INDIRECT(N21&amp;"WeaponBaseATK"))*(1+N137)+N133, 0)</f>
        <v>2536.1019999999999</v>
      </c>
      <c r="O130" s="107" cm="1">
        <f t="array" aca="1" ref="O130" ca="1">IFERROR((INDIRECT(O21&amp;"BaseATK")+INDIRECT(O21&amp;"WeaponBaseATK"))*(1+O137)+O133, 0)</f>
        <v>2536.1019999999999</v>
      </c>
      <c r="P130" s="107" cm="1">
        <f t="array" aca="1" ref="P130" ca="1">IFERROR((INDIRECT(P21&amp;"BaseATK")+INDIRECT(P21&amp;"WeaponBaseATK"))*(1+P137)+P133, 0)</f>
        <v>2536.1019999999999</v>
      </c>
      <c r="Q130" s="107" cm="1">
        <f t="array" aca="1" ref="Q130" ca="1">IFERROR((INDIRECT(Q21&amp;"BaseATK")+INDIRECT(Q21&amp;"WeaponBaseATK"))*(1+Q137)+Q133, 0)</f>
        <v>2536.1019999999999</v>
      </c>
      <c r="R130" s="107" cm="1">
        <f t="array" aca="1" ref="R130" ca="1">IFERROR((INDIRECT(R21&amp;"BaseATK")+INDIRECT(R21&amp;"WeaponBaseATK"))*(1+R137)+R133, 0)</f>
        <v>2536.1019999999999</v>
      </c>
      <c r="S130" s="107" cm="1">
        <f t="array" aca="1" ref="S130" ca="1">IFERROR((INDIRECT(S21&amp;"BaseATK")+INDIRECT(S21&amp;"WeaponBaseATK"))*(1+S137)+S133, 0)</f>
        <v>2536.1019999999999</v>
      </c>
      <c r="T130" s="107" cm="1">
        <f t="array" aca="1" ref="T130" ca="1">IFERROR((INDIRECT(T21&amp;"BaseATK")+INDIRECT(T21&amp;"WeaponBaseATK"))*(1+T137)+T133, 0)</f>
        <v>2536.1019999999999</v>
      </c>
      <c r="U130" s="107" cm="1">
        <f t="array" aca="1" ref="U130" ca="1">IFERROR((INDIRECT(U21&amp;"BaseATK")+INDIRECT(U21&amp;"WeaponBaseATK"))*(1+U137)+U133, 0)</f>
        <v>2536.1019999999999</v>
      </c>
      <c r="V130" s="107" cm="1">
        <f t="array" aca="1" ref="V130" ca="1">IFERROR((INDIRECT(V21&amp;"BaseATK")+INDIRECT(V21&amp;"WeaponBaseATK"))*(1+V137)+V133, 0)</f>
        <v>2536.1019999999999</v>
      </c>
      <c r="W130" s="107" cm="1">
        <f t="array" aca="1" ref="W130" ca="1">IFERROR((INDIRECT(W21&amp;"BaseATK")+INDIRECT(W21&amp;"WeaponBaseATK"))*(1+W137)+W133, 0)</f>
        <v>2536.1019999999999</v>
      </c>
      <c r="X130" s="107" cm="1">
        <f t="array" aca="1" ref="X130" ca="1">IFERROR((INDIRECT(X21&amp;"BaseATK")+INDIRECT(X21&amp;"WeaponBaseATK"))*(1+X137)+X133, 0)</f>
        <v>3057.9648000000002</v>
      </c>
      <c r="Y130" s="107" cm="1">
        <f t="array" aca="1" ref="Y130" ca="1">IFERROR((INDIRECT(Y21&amp;"BaseATK")+INDIRECT(Y21&amp;"WeaponBaseATK"))*(1+Y137)+Y133, 0)</f>
        <v>3057.9648000000002</v>
      </c>
      <c r="Z130" s="107" cm="1">
        <f t="array" aca="1" ref="Z130" ca="1">IFERROR((INDIRECT(Z21&amp;"BaseATK")+INDIRECT(Z21&amp;"WeaponBaseATK"))*(1+Z137)+Z133, 0)</f>
        <v>3057.9648000000002</v>
      </c>
      <c r="AA130" s="107" cm="1">
        <f t="array" aca="1" ref="AA130" ca="1">IFERROR((INDIRECT(AA21&amp;"BaseATK")+INDIRECT(AA21&amp;"WeaponBaseATK"))*(1+AA137)+AA133, 0)</f>
        <v>3057.9648000000002</v>
      </c>
      <c r="AB130" s="107" cm="1">
        <f t="array" aca="1" ref="AB130" ca="1">IFERROR((INDIRECT(AB21&amp;"BaseATK")+INDIRECT(AB21&amp;"WeaponBaseATK"))*(1+AB137)+AB133, 0)</f>
        <v>3057.9648000000002</v>
      </c>
      <c r="AC130" s="107" cm="1">
        <f t="array" aca="1" ref="AC130" ca="1">IFERROR((INDIRECT(AC21&amp;"BaseATK")+INDIRECT(AC21&amp;"WeaponBaseATK"))*(1+AC137)+AC133, 0)</f>
        <v>3057.9648000000002</v>
      </c>
      <c r="AD130" s="107" cm="1">
        <f t="array" aca="1" ref="AD130" ca="1">IFERROR((INDIRECT(AD21&amp;"BaseATK")+INDIRECT(AD21&amp;"WeaponBaseATK"))*(1+AD137)+AD133, 0)</f>
        <v>3057.9648000000002</v>
      </c>
      <c r="AE130" s="107" cm="1">
        <f t="array" aca="1" ref="AE130" ca="1">IFERROR((INDIRECT(AE21&amp;"BaseATK")+INDIRECT(AE21&amp;"WeaponBaseATK"))*(1+AE137)+AE133, 0)</f>
        <v>3057.9648000000002</v>
      </c>
      <c r="AF130" s="107" cm="1">
        <f t="array" aca="1" ref="AF130" ca="1">IFERROR((INDIRECT(AF21&amp;"BaseATK")+INDIRECT(AF21&amp;"WeaponBaseATK"))*(1+AF137)+AF133, 0)</f>
        <v>3057.9648000000002</v>
      </c>
      <c r="AG130" s="107" cm="1">
        <f t="array" aca="1" ref="AG130" ca="1">IFERROR((INDIRECT(AG21&amp;"BaseATK")+INDIRECT(AG21&amp;"WeaponBaseATK"))*(1+AG137)+AG133, 0)</f>
        <v>2389.1019999999999</v>
      </c>
      <c r="AH130" s="107" cm="1">
        <f t="array" aca="1" ref="AH130" ca="1">IFERROR((INDIRECT(AH21&amp;"BaseATK")+INDIRECT(AH21&amp;"WeaponBaseATK"))*(1+AH137)+AH133, 0)</f>
        <v>2389.1019999999999</v>
      </c>
      <c r="AI130" s="107" cm="1">
        <f t="array" aca="1" ref="AI130" ca="1">IFERROR((INDIRECT(AI21&amp;"BaseATK")+INDIRECT(AI21&amp;"WeaponBaseATK"))*(1+AI137)+AI133, 0)</f>
        <v>1580.3415999999997</v>
      </c>
      <c r="AJ130" s="107" cm="1">
        <f t="array" aca="1" ref="AJ130" ca="1">IFERROR((INDIRECT(AJ21&amp;"BaseATK")+INDIRECT(AJ21&amp;"WeaponBaseATK"))*(1+AJ137)+AJ133, 0)</f>
        <v>1580.3415999999997</v>
      </c>
    </row>
    <row r="131" spans="1:72" s="116" customFormat="1" hidden="1" outlineLevel="1" x14ac:dyDescent="0.25">
      <c r="A131" s="119" t="s">
        <v>130</v>
      </c>
      <c r="B131" s="120" cm="1">
        <f t="array" aca="1" ref="B131" ca="1">IFERROR(INDIRECT(B21&amp;"BaseDEF")*(1+B138)+B134, 0)</f>
        <v>864.37600000000009</v>
      </c>
      <c r="C131" s="120" cm="1">
        <f t="array" aca="1" ref="C131" ca="1">IFERROR(INDIRECT(C21&amp;"BaseDEF")*(1+C138)+C134, 0)</f>
        <v>864.37600000000009</v>
      </c>
      <c r="D131" s="120" cm="1">
        <f t="array" aca="1" ref="D131" ca="1">IFERROR(INDIRECT(D21&amp;"BaseDEF")*(1+D138)+D134, 0)</f>
        <v>864.37600000000009</v>
      </c>
      <c r="E131" s="120" cm="1">
        <f t="array" aca="1" ref="E131" ca="1">IFERROR(INDIRECT(E21&amp;"BaseDEF")*(1+E138)+E134, 0)</f>
        <v>864.37600000000009</v>
      </c>
      <c r="F131" s="120" cm="1">
        <f t="array" aca="1" ref="F131" ca="1">IFERROR(INDIRECT(F21&amp;"BaseDEF")*(1+F138)+F134, 0)</f>
        <v>831.78000000000009</v>
      </c>
      <c r="G131" s="120" cm="1">
        <f t="array" aca="1" ref="G131" ca="1">IFERROR(INDIRECT(G21&amp;"BaseDEF")*(1+G138)+G134, 0)</f>
        <v>831.78000000000009</v>
      </c>
      <c r="H131" s="120" cm="1">
        <f t="array" aca="1" ref="H131" ca="1">IFERROR(INDIRECT(H21&amp;"BaseDEF")*(1+H138)+H134, 0)</f>
        <v>831.78000000000009</v>
      </c>
      <c r="I131" s="120" cm="1">
        <f t="array" aca="1" ref="I131" ca="1">IFERROR(INDIRECT(I21&amp;"BaseDEF")*(1+I138)+I134, 0)</f>
        <v>831.78000000000009</v>
      </c>
      <c r="J131" s="120" cm="1">
        <f t="array" aca="1" ref="J131" ca="1">IFERROR(INDIRECT(J21&amp;"BaseDEF")*(1+J138)+J134, 0)</f>
        <v>846.39200000000005</v>
      </c>
      <c r="K131" s="120" cm="1">
        <f t="array" aca="1" ref="K131" ca="1">IFERROR(INDIRECT(K21&amp;"BaseDEF")*(1+K138)+K134, 0)</f>
        <v>846.39200000000005</v>
      </c>
      <c r="L131" s="120" cm="1">
        <f t="array" aca="1" ref="L131" ca="1">IFERROR(INDIRECT(L21&amp;"BaseDEF")*(1+L138)+L134, 0)</f>
        <v>846.39200000000005</v>
      </c>
      <c r="M131" s="120" cm="1">
        <f t="array" aca="1" ref="M131" ca="1">IFERROR(INDIRECT(M21&amp;"BaseDEF")*(1+M138)+M134, 0)</f>
        <v>791.31600000000003</v>
      </c>
      <c r="N131" s="120" cm="1">
        <f t="array" aca="1" ref="N131" ca="1">IFERROR(INDIRECT(N21&amp;"BaseDEF")*(1+N138)+N134, 0)</f>
        <v>791.31600000000003</v>
      </c>
      <c r="O131" s="120" cm="1">
        <f t="array" aca="1" ref="O131" ca="1">IFERROR(INDIRECT(O21&amp;"BaseDEF")*(1+O138)+O134, 0)</f>
        <v>791.31600000000003</v>
      </c>
      <c r="P131" s="120" cm="1">
        <f t="array" aca="1" ref="P131" ca="1">IFERROR(INDIRECT(P21&amp;"BaseDEF")*(1+P138)+P134, 0)</f>
        <v>791.31600000000003</v>
      </c>
      <c r="Q131" s="120" cm="1">
        <f t="array" aca="1" ref="Q131" ca="1">IFERROR(INDIRECT(Q21&amp;"BaseDEF")*(1+Q138)+Q134, 0)</f>
        <v>791.31600000000003</v>
      </c>
      <c r="R131" s="120" cm="1">
        <f t="array" aca="1" ref="R131" ca="1">IFERROR(INDIRECT(R21&amp;"BaseDEF")*(1+R138)+R134, 0)</f>
        <v>791.31600000000003</v>
      </c>
      <c r="S131" s="120" cm="1">
        <f t="array" aca="1" ref="S131" ca="1">IFERROR(INDIRECT(S21&amp;"BaseDEF")*(1+S138)+S134, 0)</f>
        <v>791.31600000000003</v>
      </c>
      <c r="T131" s="120" cm="1">
        <f t="array" aca="1" ref="T131" ca="1">IFERROR(INDIRECT(T21&amp;"BaseDEF")*(1+T138)+T134, 0)</f>
        <v>791.31600000000003</v>
      </c>
      <c r="U131" s="120" cm="1">
        <f t="array" aca="1" ref="U131" ca="1">IFERROR(INDIRECT(U21&amp;"BaseDEF")*(1+U138)+U134, 0)</f>
        <v>791.31600000000003</v>
      </c>
      <c r="V131" s="120" cm="1">
        <f t="array" aca="1" ref="V131" ca="1">IFERROR(INDIRECT(V21&amp;"BaseDEF")*(1+V138)+V134, 0)</f>
        <v>791.31600000000003</v>
      </c>
      <c r="W131" s="120" cm="1">
        <f t="array" aca="1" ref="W131" ca="1">IFERROR(INDIRECT(W21&amp;"BaseDEF")*(1+W138)+W134, 0)</f>
        <v>791.31600000000003</v>
      </c>
      <c r="X131" s="120" cm="1">
        <f t="array" aca="1" ref="X131" ca="1">IFERROR(INDIRECT(X21&amp;"BaseDEF")*(1+X138)+X134, 0)</f>
        <v>864.37600000000009</v>
      </c>
      <c r="Y131" s="120" cm="1">
        <f t="array" aca="1" ref="Y131" ca="1">IFERROR(INDIRECT(Y21&amp;"BaseDEF")*(1+Y138)+Y134, 0)</f>
        <v>864.37600000000009</v>
      </c>
      <c r="Z131" s="120" cm="1">
        <f t="array" aca="1" ref="Z131" ca="1">IFERROR(INDIRECT(Z21&amp;"BaseDEF")*(1+Z138)+Z134, 0)</f>
        <v>864.37600000000009</v>
      </c>
      <c r="AA131" s="120" cm="1">
        <f t="array" aca="1" ref="AA131" ca="1">IFERROR(INDIRECT(AA21&amp;"BaseDEF")*(1+AA138)+AA134, 0)</f>
        <v>864.37600000000009</v>
      </c>
      <c r="AB131" s="120" cm="1">
        <f t="array" aca="1" ref="AB131" ca="1">IFERROR(INDIRECT(AB21&amp;"BaseDEF")*(1+AB138)+AB134, 0)</f>
        <v>864.37600000000009</v>
      </c>
      <c r="AC131" s="120" cm="1">
        <f t="array" aca="1" ref="AC131" ca="1">IFERROR(INDIRECT(AC21&amp;"BaseDEF")*(1+AC138)+AC134, 0)</f>
        <v>864.37600000000009</v>
      </c>
      <c r="AD131" s="120" cm="1">
        <f t="array" aca="1" ref="AD131" ca="1">IFERROR(INDIRECT(AD21&amp;"BaseDEF")*(1+AD138)+AD134, 0)</f>
        <v>864.37600000000009</v>
      </c>
      <c r="AE131" s="120" cm="1">
        <f t="array" aca="1" ref="AE131" ca="1">IFERROR(INDIRECT(AE21&amp;"BaseDEF")*(1+AE138)+AE134, 0)</f>
        <v>864.37600000000009</v>
      </c>
      <c r="AF131" s="120" cm="1">
        <f t="array" aca="1" ref="AF131" ca="1">IFERROR(INDIRECT(AF21&amp;"BaseDEF")*(1+AF138)+AF134, 0)</f>
        <v>864.37600000000009</v>
      </c>
      <c r="AG131" s="120" cm="1">
        <f t="array" aca="1" ref="AG131" ca="1">IFERROR(INDIRECT(AG21&amp;"BaseDEF")*(1+AG138)+AG134, 0)</f>
        <v>791.31600000000003</v>
      </c>
      <c r="AH131" s="120" cm="1">
        <f t="array" aca="1" ref="AH131" ca="1">IFERROR(INDIRECT(AH21&amp;"BaseDEF")*(1+AH138)+AH134, 0)</f>
        <v>791.31600000000003</v>
      </c>
      <c r="AI131" s="120" cm="1">
        <f t="array" aca="1" ref="AI131" ca="1">IFERROR(INDIRECT(AI21&amp;"BaseDEF")*(1+AI138)+AI134, 0)</f>
        <v>846.39200000000005</v>
      </c>
      <c r="AJ131" s="120" cm="1">
        <f t="array" aca="1" ref="AJ131" ca="1">IFERROR(INDIRECT(AJ21&amp;"BaseDEF")*(1+AJ138)+AJ134, 0)</f>
        <v>846.39200000000005</v>
      </c>
      <c r="AK131" s="120"/>
      <c r="AL131" s="120"/>
      <c r="AM131" s="120"/>
      <c r="AN131" s="120"/>
      <c r="AO131" s="120"/>
      <c r="AP131" s="120"/>
      <c r="AQ131" s="120"/>
      <c r="AR131" s="120"/>
      <c r="AS131" s="120"/>
      <c r="AT131" s="120"/>
      <c r="AU131" s="120"/>
      <c r="AV131" s="120"/>
      <c r="AW131" s="120"/>
      <c r="AX131" s="120"/>
      <c r="AY131" s="120"/>
      <c r="AZ131" s="120"/>
      <c r="BA131" s="120"/>
      <c r="BB131" s="120"/>
      <c r="BC131" s="120"/>
      <c r="BD131" s="120"/>
      <c r="BE131" s="120"/>
      <c r="BF131" s="120"/>
      <c r="BG131" s="120"/>
      <c r="BH131" s="120"/>
      <c r="BI131" s="120"/>
      <c r="BJ131" s="120"/>
      <c r="BK131" s="120"/>
      <c r="BL131" s="120"/>
      <c r="BM131" s="120"/>
      <c r="BN131" s="120"/>
      <c r="BO131" s="120"/>
      <c r="BP131" s="120"/>
      <c r="BQ131" s="120"/>
      <c r="BR131" s="120"/>
      <c r="BS131" s="120"/>
      <c r="BT131" s="120"/>
    </row>
    <row r="132" spans="1:72" s="107" customFormat="1" hidden="1" outlineLevel="1" x14ac:dyDescent="0.25">
      <c r="A132" s="119" t="s">
        <v>226</v>
      </c>
      <c r="B132" s="107" cm="1">
        <f t="array" aca="1" ref="B132" ca="1">IFERROR(INDIRECT(B21&amp;"BaseHP")*(1+B139)+B135,0)</f>
        <v>18478.28</v>
      </c>
      <c r="C132" s="107" cm="1">
        <f t="array" aca="1" ref="C132" ca="1">IFERROR(INDIRECT(C21&amp;"BaseHP")*(1+C139)+C135,0)</f>
        <v>18478.28</v>
      </c>
      <c r="D132" s="107" cm="1">
        <f t="array" aca="1" ref="D132" ca="1">IFERROR(INDIRECT(D21&amp;"BaseHP")*(1+D139)+D135,0)</f>
        <v>18478.28</v>
      </c>
      <c r="E132" s="107" cm="1">
        <f t="array" aca="1" ref="E132" ca="1">IFERROR(INDIRECT(E21&amp;"BaseHP")*(1+E139)+E135,0)</f>
        <v>18478.28</v>
      </c>
      <c r="F132" s="107" cm="1">
        <f t="array" aca="1" ref="F132" ca="1">IFERROR(INDIRECT(F21&amp;"BaseHP")*(1+F139)+F135,0)</f>
        <v>15745.668799999999</v>
      </c>
      <c r="G132" s="107" cm="1">
        <f t="array" aca="1" ref="G132" ca="1">IFERROR(INDIRECT(G21&amp;"BaseHP")*(1+G139)+G135,0)</f>
        <v>15745.668799999999</v>
      </c>
      <c r="H132" s="107" cm="1">
        <f t="array" aca="1" ref="H132" ca="1">IFERROR(INDIRECT(H21&amp;"BaseHP")*(1+H139)+H135,0)</f>
        <v>15745.668799999999</v>
      </c>
      <c r="I132" s="107" cm="1">
        <f t="array" aca="1" ref="I132" ca="1">IFERROR(INDIRECT(I21&amp;"BaseHP")*(1+I139)+I135,0)</f>
        <v>15745.668799999999</v>
      </c>
      <c r="J132" s="107" cm="1">
        <f t="array" aca="1" ref="J132" ca="1">IFERROR(INDIRECT(J21&amp;"BaseHP")*(1+J139)+J135,0)</f>
        <v>17971.5488</v>
      </c>
      <c r="K132" s="107" cm="1">
        <f t="array" aca="1" ref="K132" ca="1">IFERROR(INDIRECT(K21&amp;"BaseHP")*(1+K139)+K135,0)</f>
        <v>17971.5488</v>
      </c>
      <c r="L132" s="107" cm="1">
        <f t="array" aca="1" ref="L132" ca="1">IFERROR(INDIRECT(L21&amp;"BaseHP")*(1+L139)+L135,0)</f>
        <v>17971.5488</v>
      </c>
      <c r="M132" s="107" cm="1">
        <f t="array" aca="1" ref="M132" ca="1">IFERROR(INDIRECT(M21&amp;"BaseHP")*(1+M139)+M135,0)</f>
        <v>14194.68</v>
      </c>
      <c r="N132" s="107" cm="1">
        <f t="array" aca="1" ref="N132" ca="1">IFERROR(INDIRECT(N21&amp;"BaseHP")*(1+N139)+N135,0)</f>
        <v>14194.68</v>
      </c>
      <c r="O132" s="107" cm="1">
        <f t="array" aca="1" ref="O132" ca="1">IFERROR(INDIRECT(O21&amp;"BaseHP")*(1+O139)+O135,0)</f>
        <v>14194.68</v>
      </c>
      <c r="P132" s="107" cm="1">
        <f t="array" aca="1" ref="P132" ca="1">IFERROR(INDIRECT(P21&amp;"BaseHP")*(1+P139)+P135,0)</f>
        <v>14194.68</v>
      </c>
      <c r="Q132" s="107" cm="1">
        <f t="array" aca="1" ref="Q132" ca="1">IFERROR(INDIRECT(Q21&amp;"BaseHP")*(1+Q139)+Q135,0)</f>
        <v>14194.68</v>
      </c>
      <c r="R132" s="107" cm="1">
        <f t="array" aca="1" ref="R132" ca="1">IFERROR(INDIRECT(R21&amp;"BaseHP")*(1+R139)+R135,0)</f>
        <v>14194.68</v>
      </c>
      <c r="S132" s="107" cm="1">
        <f t="array" aca="1" ref="S132" ca="1">IFERROR(INDIRECT(S21&amp;"BaseHP")*(1+S139)+S135,0)</f>
        <v>14194.68</v>
      </c>
      <c r="T132" s="107" cm="1">
        <f t="array" aca="1" ref="T132" ca="1">IFERROR(INDIRECT(T21&amp;"BaseHP")*(1+T139)+T135,0)</f>
        <v>14194.68</v>
      </c>
      <c r="U132" s="107" cm="1">
        <f t="array" aca="1" ref="U132" ca="1">IFERROR(INDIRECT(U21&amp;"BaseHP")*(1+U139)+U135,0)</f>
        <v>14194.68</v>
      </c>
      <c r="V132" s="107" cm="1">
        <f t="array" aca="1" ref="V132" ca="1">IFERROR(INDIRECT(V21&amp;"BaseHP")*(1+V139)+V135,0)</f>
        <v>14194.68</v>
      </c>
      <c r="W132" s="107" cm="1">
        <f t="array" aca="1" ref="W132" ca="1">IFERROR(INDIRECT(W21&amp;"BaseHP")*(1+W139)+W135,0)</f>
        <v>14194.68</v>
      </c>
      <c r="X132" s="107" cm="1">
        <f t="array" aca="1" ref="X132" ca="1">IFERROR(INDIRECT(X21&amp;"BaseHP")*(1+X139)+X135,0)</f>
        <v>18478.28</v>
      </c>
      <c r="Y132" s="107" cm="1">
        <f t="array" aca="1" ref="Y132" ca="1">IFERROR(INDIRECT(Y21&amp;"BaseHP")*(1+Y139)+Y135,0)</f>
        <v>18478.28</v>
      </c>
      <c r="Z132" s="107" cm="1">
        <f t="array" aca="1" ref="Z132" ca="1">IFERROR(INDIRECT(Z21&amp;"BaseHP")*(1+Z139)+Z135,0)</f>
        <v>18478.28</v>
      </c>
      <c r="AA132" s="107" cm="1">
        <f t="array" aca="1" ref="AA132" ca="1">IFERROR(INDIRECT(AA21&amp;"BaseHP")*(1+AA139)+AA135,0)</f>
        <v>18478.28</v>
      </c>
      <c r="AB132" s="107" cm="1">
        <f t="array" aca="1" ref="AB132" ca="1">IFERROR(INDIRECT(AB21&amp;"BaseHP")*(1+AB139)+AB135,0)</f>
        <v>18478.28</v>
      </c>
      <c r="AC132" s="107" cm="1">
        <f t="array" aca="1" ref="AC132" ca="1">IFERROR(INDIRECT(AC21&amp;"BaseHP")*(1+AC139)+AC135,0)</f>
        <v>18478.28</v>
      </c>
      <c r="AD132" s="107" cm="1">
        <f t="array" aca="1" ref="AD132" ca="1">IFERROR(INDIRECT(AD21&amp;"BaseHP")*(1+AD139)+AD135,0)</f>
        <v>18478.28</v>
      </c>
      <c r="AE132" s="107" cm="1">
        <f t="array" aca="1" ref="AE132" ca="1">IFERROR(INDIRECT(AE21&amp;"BaseHP")*(1+AE139)+AE135,0)</f>
        <v>18478.28</v>
      </c>
      <c r="AF132" s="107" cm="1">
        <f t="array" aca="1" ref="AF132" ca="1">IFERROR(INDIRECT(AF21&amp;"BaseHP")*(1+AF139)+AF135,0)</f>
        <v>18478.28</v>
      </c>
      <c r="AG132" s="107" cm="1">
        <f t="array" aca="1" ref="AG132" ca="1">IFERROR(INDIRECT(AG21&amp;"BaseHP")*(1+AG139)+AG135,0)</f>
        <v>14194.68</v>
      </c>
      <c r="AH132" s="107" cm="1">
        <f t="array" aca="1" ref="AH132" ca="1">IFERROR(INDIRECT(AH21&amp;"BaseHP")*(1+AH139)+AH135,0)</f>
        <v>14194.68</v>
      </c>
      <c r="AI132" s="107" cm="1">
        <f t="array" aca="1" ref="AI132" ca="1">IFERROR(INDIRECT(AI21&amp;"BaseHP")*(1+AI139)+AI135,0)</f>
        <v>17971.5488</v>
      </c>
      <c r="AJ132" s="107" cm="1">
        <f t="array" aca="1" ref="AJ132" ca="1">IFERROR(INDIRECT(AJ21&amp;"BaseHP")*(1+AJ139)+AJ135,0)</f>
        <v>17971.5488</v>
      </c>
    </row>
    <row r="133" spans="1:72" s="110" customFormat="1" hidden="1" outlineLevel="1" x14ac:dyDescent="0.25">
      <c r="A133" s="112" t="s">
        <v>62</v>
      </c>
      <c r="B133" s="110">
        <f t="shared" ref="B133:D133" si="19">B22+B76</f>
        <v>344.08</v>
      </c>
      <c r="C133" s="110">
        <f t="shared" ref="C133" si="20">C22+C76</f>
        <v>344.08</v>
      </c>
      <c r="D133" s="110">
        <f t="shared" si="19"/>
        <v>1397.4399999999998</v>
      </c>
      <c r="E133" s="110">
        <f t="shared" ref="E133" si="21">E22+E76</f>
        <v>344.08</v>
      </c>
      <c r="F133" s="108">
        <f t="shared" ref="F133:L152" si="22">F22+F76</f>
        <v>344.08</v>
      </c>
      <c r="G133" s="108">
        <f t="shared" si="22"/>
        <v>344.08</v>
      </c>
      <c r="H133" s="108">
        <f t="shared" ref="H133" si="23">H22+H76</f>
        <v>344.08</v>
      </c>
      <c r="I133" s="108">
        <f t="shared" ref="I133" si="24">I22+I76</f>
        <v>344.08</v>
      </c>
      <c r="J133" s="108">
        <f t="shared" si="22"/>
        <v>1397.4399999999998</v>
      </c>
      <c r="K133" s="108">
        <f t="shared" ref="K133" si="25">K22+K76</f>
        <v>1397.4399999999998</v>
      </c>
      <c r="L133" s="108">
        <f t="shared" si="22"/>
        <v>1397.4399999999998</v>
      </c>
      <c r="M133" s="108">
        <f t="shared" ref="M133:AG133" si="26">M22+M76</f>
        <v>1397.44</v>
      </c>
      <c r="N133" s="108">
        <f t="shared" ref="N133:O133" si="27">N22+N76</f>
        <v>1397.44</v>
      </c>
      <c r="O133" s="108">
        <f t="shared" si="27"/>
        <v>1397.44</v>
      </c>
      <c r="P133" s="108">
        <f t="shared" si="26"/>
        <v>1397.44</v>
      </c>
      <c r="Q133" s="108">
        <f t="shared" si="26"/>
        <v>1397.44</v>
      </c>
      <c r="R133" s="108">
        <f t="shared" si="26"/>
        <v>1397.44</v>
      </c>
      <c r="S133" s="108">
        <f t="shared" si="26"/>
        <v>1397.44</v>
      </c>
      <c r="T133" s="108">
        <f t="shared" ref="T133:U133" si="28">T22+T76</f>
        <v>1397.44</v>
      </c>
      <c r="U133" s="108">
        <f t="shared" si="28"/>
        <v>1397.44</v>
      </c>
      <c r="V133" s="108">
        <f t="shared" si="26"/>
        <v>1397.44</v>
      </c>
      <c r="W133" s="108">
        <f t="shared" si="26"/>
        <v>1397.44</v>
      </c>
      <c r="X133" s="108">
        <f t="shared" si="26"/>
        <v>1397.44</v>
      </c>
      <c r="Y133" s="108">
        <f t="shared" si="26"/>
        <v>1397.44</v>
      </c>
      <c r="Z133" s="108">
        <f t="shared" si="26"/>
        <v>1397.44</v>
      </c>
      <c r="AA133" s="108">
        <f t="shared" ref="AA133:AC133" si="29">AA22+AA76</f>
        <v>1397.44</v>
      </c>
      <c r="AB133" s="108">
        <f t="shared" si="29"/>
        <v>1397.44</v>
      </c>
      <c r="AC133" s="108">
        <f t="shared" si="29"/>
        <v>1397.44</v>
      </c>
      <c r="AD133" s="108">
        <f t="shared" ref="AD133" si="30">AD22+AD76</f>
        <v>1397.44</v>
      </c>
      <c r="AE133" s="108">
        <f t="shared" ref="AE133:AF133" si="31">AE22+AE76</f>
        <v>1397.44</v>
      </c>
      <c r="AF133" s="108">
        <f t="shared" si="31"/>
        <v>1397.44</v>
      </c>
      <c r="AG133" s="108">
        <f t="shared" si="26"/>
        <v>1397.44</v>
      </c>
      <c r="AH133" s="108">
        <f t="shared" ref="AH133:AI133" si="32">AH22+AH76</f>
        <v>1397.44</v>
      </c>
      <c r="AI133" s="108">
        <f t="shared" si="32"/>
        <v>344.08</v>
      </c>
      <c r="AJ133" s="108">
        <f t="shared" ref="AJ133" si="33">AJ22+AJ76</f>
        <v>344.08</v>
      </c>
      <c r="AK133" s="108"/>
      <c r="AL133" s="108"/>
    </row>
    <row r="134" spans="1:72" s="109" customFormat="1" hidden="1" outlineLevel="1" x14ac:dyDescent="0.25">
      <c r="A134" s="112" t="s">
        <v>63</v>
      </c>
      <c r="B134" s="109">
        <f t="shared" ref="B134:D134" si="34">B23+B77</f>
        <v>39.36</v>
      </c>
      <c r="C134" s="109">
        <f t="shared" ref="C134" si="35">C23+C77</f>
        <v>39.36</v>
      </c>
      <c r="D134" s="109">
        <f t="shared" si="34"/>
        <v>39.36</v>
      </c>
      <c r="E134" s="109">
        <f t="shared" ref="E134" si="36">E23+E77</f>
        <v>39.36</v>
      </c>
      <c r="F134" s="109">
        <f t="shared" si="22"/>
        <v>39.36</v>
      </c>
      <c r="G134" s="109">
        <f t="shared" si="22"/>
        <v>39.36</v>
      </c>
      <c r="H134" s="109">
        <f t="shared" ref="H134" si="37">H23+H77</f>
        <v>39.36</v>
      </c>
      <c r="I134" s="109">
        <f t="shared" ref="I134" si="38">I23+I77</f>
        <v>39.36</v>
      </c>
      <c r="J134" s="109">
        <f t="shared" si="22"/>
        <v>39.36</v>
      </c>
      <c r="K134" s="109">
        <f t="shared" ref="K134" si="39">K23+K77</f>
        <v>39.36</v>
      </c>
      <c r="L134" s="109">
        <f t="shared" si="22"/>
        <v>39.36</v>
      </c>
      <c r="M134" s="109">
        <f t="shared" ref="M134:AG134" si="40">M23+M77</f>
        <v>39.36</v>
      </c>
      <c r="N134" s="109">
        <f t="shared" ref="N134:O134" si="41">N23+N77</f>
        <v>39.36</v>
      </c>
      <c r="O134" s="109">
        <f t="shared" si="41"/>
        <v>39.36</v>
      </c>
      <c r="P134" s="109">
        <f t="shared" si="40"/>
        <v>39.36</v>
      </c>
      <c r="Q134" s="109">
        <f t="shared" si="40"/>
        <v>39.36</v>
      </c>
      <c r="R134" s="109">
        <f t="shared" si="40"/>
        <v>39.36</v>
      </c>
      <c r="S134" s="109">
        <f t="shared" si="40"/>
        <v>39.36</v>
      </c>
      <c r="T134" s="109">
        <f t="shared" ref="T134:U134" si="42">T23+T77</f>
        <v>39.36</v>
      </c>
      <c r="U134" s="109">
        <f t="shared" si="42"/>
        <v>39.36</v>
      </c>
      <c r="V134" s="109">
        <f t="shared" si="40"/>
        <v>39.36</v>
      </c>
      <c r="W134" s="109">
        <f t="shared" si="40"/>
        <v>39.36</v>
      </c>
      <c r="X134" s="109">
        <f t="shared" si="40"/>
        <v>39.36</v>
      </c>
      <c r="Y134" s="109">
        <f t="shared" si="40"/>
        <v>39.36</v>
      </c>
      <c r="Z134" s="109">
        <f t="shared" si="40"/>
        <v>39.36</v>
      </c>
      <c r="AA134" s="109">
        <f t="shared" ref="AA134:AC134" si="43">AA23+AA77</f>
        <v>39.36</v>
      </c>
      <c r="AB134" s="109">
        <f t="shared" si="43"/>
        <v>39.36</v>
      </c>
      <c r="AC134" s="109">
        <f t="shared" si="43"/>
        <v>39.36</v>
      </c>
      <c r="AD134" s="109">
        <f t="shared" ref="AD134" si="44">AD23+AD77</f>
        <v>39.36</v>
      </c>
      <c r="AE134" s="109">
        <f t="shared" ref="AE134:AF134" si="45">AE23+AE77</f>
        <v>39.36</v>
      </c>
      <c r="AF134" s="109">
        <f t="shared" si="45"/>
        <v>39.36</v>
      </c>
      <c r="AG134" s="109">
        <f t="shared" si="40"/>
        <v>39.36</v>
      </c>
      <c r="AH134" s="109">
        <f t="shared" ref="AH134:AI134" si="46">AH23+AH77</f>
        <v>39.36</v>
      </c>
      <c r="AI134" s="109">
        <f t="shared" si="46"/>
        <v>39.36</v>
      </c>
      <c r="AJ134" s="109">
        <f t="shared" ref="AJ134" si="47">AJ23+AJ77</f>
        <v>39.36</v>
      </c>
    </row>
    <row r="135" spans="1:72" s="108" customFormat="1" hidden="1" outlineLevel="1" x14ac:dyDescent="0.25">
      <c r="A135" s="112" t="s">
        <v>64</v>
      </c>
      <c r="B135" s="108">
        <f t="shared" ref="B135:D135" si="48">B24+B78</f>
        <v>5287.88</v>
      </c>
      <c r="C135" s="108">
        <f t="shared" ref="C135" si="49">C24+C78</f>
        <v>5287.88</v>
      </c>
      <c r="D135" s="108">
        <f t="shared" si="48"/>
        <v>5287.88</v>
      </c>
      <c r="E135" s="108">
        <f t="shared" ref="E135" si="50">E24+E78</f>
        <v>5287.88</v>
      </c>
      <c r="F135" s="108">
        <f t="shared" si="22"/>
        <v>5287.88</v>
      </c>
      <c r="G135" s="108">
        <f t="shared" si="22"/>
        <v>5287.88</v>
      </c>
      <c r="H135" s="108">
        <f t="shared" ref="H135" si="51">H24+H78</f>
        <v>5287.88</v>
      </c>
      <c r="I135" s="108">
        <f t="shared" ref="I135" si="52">I24+I78</f>
        <v>5287.88</v>
      </c>
      <c r="J135" s="108">
        <f t="shared" si="22"/>
        <v>5287.88</v>
      </c>
      <c r="K135" s="108">
        <f t="shared" ref="K135" si="53">K24+K78</f>
        <v>5287.88</v>
      </c>
      <c r="L135" s="108">
        <f t="shared" si="22"/>
        <v>5287.88</v>
      </c>
      <c r="M135" s="108">
        <f t="shared" ref="M135:AG135" si="54">M24+M78</f>
        <v>2240.88</v>
      </c>
      <c r="N135" s="108">
        <f t="shared" ref="N135:O135" si="55">N24+N78</f>
        <v>2240.88</v>
      </c>
      <c r="O135" s="108">
        <f t="shared" si="55"/>
        <v>2240.88</v>
      </c>
      <c r="P135" s="108">
        <f t="shared" si="54"/>
        <v>2240.88</v>
      </c>
      <c r="Q135" s="108">
        <f t="shared" si="54"/>
        <v>2240.88</v>
      </c>
      <c r="R135" s="108">
        <f t="shared" si="54"/>
        <v>2240.88</v>
      </c>
      <c r="S135" s="108">
        <f t="shared" si="54"/>
        <v>2240.88</v>
      </c>
      <c r="T135" s="108">
        <f t="shared" ref="T135:U135" si="56">T24+T78</f>
        <v>2240.88</v>
      </c>
      <c r="U135" s="108">
        <f t="shared" si="56"/>
        <v>2240.88</v>
      </c>
      <c r="V135" s="108">
        <f t="shared" si="54"/>
        <v>2240.88</v>
      </c>
      <c r="W135" s="108">
        <f t="shared" si="54"/>
        <v>2240.88</v>
      </c>
      <c r="X135" s="108">
        <f t="shared" si="54"/>
        <v>5287.88</v>
      </c>
      <c r="Y135" s="108">
        <f t="shared" si="54"/>
        <v>5287.88</v>
      </c>
      <c r="Z135" s="108">
        <f t="shared" si="54"/>
        <v>5287.88</v>
      </c>
      <c r="AA135" s="108">
        <f t="shared" ref="AA135:AC135" si="57">AA24+AA78</f>
        <v>5287.88</v>
      </c>
      <c r="AB135" s="108">
        <f t="shared" si="57"/>
        <v>5287.88</v>
      </c>
      <c r="AC135" s="108">
        <f t="shared" si="57"/>
        <v>5287.88</v>
      </c>
      <c r="AD135" s="108">
        <f t="shared" ref="AD135" si="58">AD24+AD78</f>
        <v>5287.88</v>
      </c>
      <c r="AE135" s="108">
        <f t="shared" ref="AE135:AF135" si="59">AE24+AE78</f>
        <v>5287.88</v>
      </c>
      <c r="AF135" s="108">
        <f t="shared" si="59"/>
        <v>5287.88</v>
      </c>
      <c r="AG135" s="108">
        <f t="shared" si="54"/>
        <v>2240.88</v>
      </c>
      <c r="AH135" s="108">
        <f t="shared" ref="AH135:AI135" si="60">AH24+AH78</f>
        <v>2240.88</v>
      </c>
      <c r="AI135" s="108">
        <f t="shared" si="60"/>
        <v>5287.88</v>
      </c>
      <c r="AJ135" s="108">
        <f t="shared" ref="AJ135" si="61">AJ24+AJ78</f>
        <v>5287.88</v>
      </c>
    </row>
    <row r="136" spans="1:72" s="109" customFormat="1" hidden="1" outlineLevel="1" x14ac:dyDescent="0.25">
      <c r="A136" s="112" t="s">
        <v>69</v>
      </c>
      <c r="B136" s="109">
        <f t="shared" ref="B136:D136" si="62">B25+B79</f>
        <v>39.64</v>
      </c>
      <c r="C136" s="109">
        <f t="shared" ref="C136" si="63">C25+C79</f>
        <v>39.64</v>
      </c>
      <c r="D136" s="109">
        <f t="shared" si="62"/>
        <v>39.64</v>
      </c>
      <c r="E136" s="109">
        <f t="shared" ref="E136" si="64">E25+E79</f>
        <v>39.64</v>
      </c>
      <c r="F136" s="109">
        <f>F25+F79</f>
        <v>39.64</v>
      </c>
      <c r="G136" s="109">
        <f t="shared" si="22"/>
        <v>39.64</v>
      </c>
      <c r="H136" s="109">
        <f t="shared" ref="H136" si="65">H25+H79</f>
        <v>39.64</v>
      </c>
      <c r="I136" s="109">
        <f t="shared" ref="I136" si="66">I25+I79</f>
        <v>39.64</v>
      </c>
      <c r="J136" s="109">
        <f t="shared" si="22"/>
        <v>479.84000000000003</v>
      </c>
      <c r="K136" s="109">
        <f t="shared" ref="K136" si="67">K25+K79</f>
        <v>479.84000000000003</v>
      </c>
      <c r="L136" s="109">
        <f t="shared" si="22"/>
        <v>479.84000000000003</v>
      </c>
      <c r="M136" s="109">
        <f t="shared" ref="M136:AG136" ca="1" si="68">M25+M79</f>
        <v>322.64</v>
      </c>
      <c r="N136" s="109">
        <f t="shared" ref="N136:O136" ca="1" si="69">N25+N79</f>
        <v>322.64</v>
      </c>
      <c r="O136" s="109">
        <f t="shared" ca="1" si="69"/>
        <v>322.64</v>
      </c>
      <c r="P136" s="109">
        <f t="shared" ca="1" si="68"/>
        <v>322.64</v>
      </c>
      <c r="Q136" s="109">
        <f t="shared" ca="1" si="68"/>
        <v>322.64</v>
      </c>
      <c r="R136" s="109">
        <f t="shared" ca="1" si="68"/>
        <v>322.64</v>
      </c>
      <c r="S136" s="109">
        <f t="shared" ca="1" si="68"/>
        <v>322.64</v>
      </c>
      <c r="T136" s="109">
        <f t="shared" ref="T136:U136" ca="1" si="70">T25+T79</f>
        <v>322.64</v>
      </c>
      <c r="U136" s="109">
        <f t="shared" ca="1" si="70"/>
        <v>322.64</v>
      </c>
      <c r="V136" s="109">
        <f t="shared" ca="1" si="68"/>
        <v>322.64</v>
      </c>
      <c r="W136" s="109">
        <f t="shared" ca="1" si="68"/>
        <v>322.64</v>
      </c>
      <c r="X136" s="109">
        <f t="shared" si="68"/>
        <v>39.64</v>
      </c>
      <c r="Y136" s="109">
        <f t="shared" si="68"/>
        <v>39.64</v>
      </c>
      <c r="Z136" s="109">
        <f t="shared" si="68"/>
        <v>39.64</v>
      </c>
      <c r="AA136" s="109">
        <f t="shared" ref="AA136:AC136" si="71">AA25+AA79</f>
        <v>39.64</v>
      </c>
      <c r="AB136" s="109">
        <f t="shared" si="71"/>
        <v>39.64</v>
      </c>
      <c r="AC136" s="109">
        <f t="shared" si="71"/>
        <v>39.64</v>
      </c>
      <c r="AD136" s="109">
        <f t="shared" ref="AD136" si="72">AD25+AD79</f>
        <v>39.64</v>
      </c>
      <c r="AE136" s="109">
        <f t="shared" ref="AE136:AF136" si="73">AE25+AE79</f>
        <v>39.64</v>
      </c>
      <c r="AF136" s="109">
        <f t="shared" si="73"/>
        <v>39.64</v>
      </c>
      <c r="AG136" s="109">
        <f t="shared" ca="1" si="68"/>
        <v>322.64</v>
      </c>
      <c r="AH136" s="109">
        <f t="shared" ref="AH136:AI136" ca="1" si="74">AH25+AH79</f>
        <v>322.64</v>
      </c>
      <c r="AI136" s="109">
        <f t="shared" si="74"/>
        <v>479.84000000000003</v>
      </c>
      <c r="AJ136" s="109">
        <f t="shared" ref="AJ136" si="75">AJ25+AJ79</f>
        <v>479.84000000000003</v>
      </c>
    </row>
    <row r="137" spans="1:72" s="108" customFormat="1" hidden="1" outlineLevel="1" x14ac:dyDescent="0.25">
      <c r="A137" s="112" t="s">
        <v>65</v>
      </c>
      <c r="B137" s="116">
        <f t="shared" ref="B137:D137" si="76">B26+B80</f>
        <v>0.81520000000000004</v>
      </c>
      <c r="C137" s="116">
        <f t="shared" ref="C137" si="77">C26+C80</f>
        <v>0.81520000000000004</v>
      </c>
      <c r="D137" s="116">
        <f t="shared" si="76"/>
        <v>1.0152000000000001</v>
      </c>
      <c r="E137" s="116">
        <f t="shared" ref="E137" si="78">E26+E80</f>
        <v>0.81520000000000004</v>
      </c>
      <c r="F137" s="116">
        <f t="shared" ca="1" si="22"/>
        <v>1.2021999999999999</v>
      </c>
      <c r="G137" s="116">
        <f t="shared" ca="1" si="22"/>
        <v>1.2021999999999999</v>
      </c>
      <c r="H137" s="116">
        <f t="shared" ref="H137" ca="1" si="79">H26+H80</f>
        <v>1.2021999999999999</v>
      </c>
      <c r="I137" s="116">
        <f t="shared" ref="I137" ca="1" si="80">I26+I80</f>
        <v>1.2021999999999999</v>
      </c>
      <c r="J137" s="116">
        <f t="shared" si="22"/>
        <v>0.74920000000000009</v>
      </c>
      <c r="K137" s="116">
        <f t="shared" ref="K137" si="81">K26+K80</f>
        <v>0.74920000000000009</v>
      </c>
      <c r="L137" s="116">
        <f t="shared" si="22"/>
        <v>0.74920000000000009</v>
      </c>
      <c r="M137" s="116">
        <f t="shared" ref="M137:AG137" si="82">M26+M80</f>
        <v>0.54920000000000002</v>
      </c>
      <c r="N137" s="116">
        <f t="shared" ref="N137:O137" si="83">N26+N80</f>
        <v>0.54920000000000002</v>
      </c>
      <c r="O137" s="116">
        <f t="shared" si="83"/>
        <v>0.54920000000000002</v>
      </c>
      <c r="P137" s="116">
        <f t="shared" si="82"/>
        <v>0.54920000000000002</v>
      </c>
      <c r="Q137" s="116">
        <f t="shared" si="82"/>
        <v>0.54920000000000002</v>
      </c>
      <c r="R137" s="116">
        <f t="shared" si="82"/>
        <v>0.54920000000000002</v>
      </c>
      <c r="S137" s="116">
        <f t="shared" si="82"/>
        <v>0.54920000000000002</v>
      </c>
      <c r="T137" s="116">
        <f t="shared" ref="T137:U137" si="84">T26+T80</f>
        <v>0.54920000000000002</v>
      </c>
      <c r="U137" s="116">
        <f t="shared" si="84"/>
        <v>0.54920000000000002</v>
      </c>
      <c r="V137" s="116">
        <f t="shared" si="82"/>
        <v>0.54920000000000002</v>
      </c>
      <c r="W137" s="116">
        <f t="shared" si="82"/>
        <v>0.54920000000000002</v>
      </c>
      <c r="X137" s="116">
        <f t="shared" si="82"/>
        <v>1.0152000000000001</v>
      </c>
      <c r="Y137" s="116">
        <f t="shared" si="82"/>
        <v>1.0152000000000001</v>
      </c>
      <c r="Z137" s="116">
        <f t="shared" si="82"/>
        <v>1.0152000000000001</v>
      </c>
      <c r="AA137" s="116">
        <f t="shared" ref="AA137:AC137" si="85">AA26+AA80</f>
        <v>1.0152000000000001</v>
      </c>
      <c r="AB137" s="116">
        <f t="shared" si="85"/>
        <v>1.0152000000000001</v>
      </c>
      <c r="AC137" s="116">
        <f t="shared" si="85"/>
        <v>1.0152000000000001</v>
      </c>
      <c r="AD137" s="116">
        <f t="shared" ref="AD137" si="86">AD26+AD80</f>
        <v>1.0152000000000001</v>
      </c>
      <c r="AE137" s="116">
        <f t="shared" ref="AE137:AF137" si="87">AE26+AE80</f>
        <v>1.0152000000000001</v>
      </c>
      <c r="AF137" s="116">
        <f t="shared" si="87"/>
        <v>1.0152000000000001</v>
      </c>
      <c r="AG137" s="116">
        <f t="shared" si="82"/>
        <v>0.34920000000000001</v>
      </c>
      <c r="AH137" s="116">
        <f t="shared" ref="AH137:AI137" si="88">AH26+AH80</f>
        <v>0.34920000000000001</v>
      </c>
      <c r="AI137" s="116">
        <f t="shared" si="88"/>
        <v>0.54920000000000002</v>
      </c>
      <c r="AJ137" s="116">
        <f t="shared" ref="AJ137" si="89">AJ26+AJ80</f>
        <v>0.54920000000000002</v>
      </c>
      <c r="AK137" s="116"/>
      <c r="AL137" s="116"/>
      <c r="AM137" s="116"/>
      <c r="AN137" s="116"/>
      <c r="AO137" s="116"/>
      <c r="AP137" s="116"/>
      <c r="AQ137" s="116"/>
      <c r="AR137" s="116"/>
      <c r="AS137" s="116"/>
      <c r="AT137" s="116"/>
      <c r="AU137" s="116"/>
      <c r="AV137" s="116"/>
      <c r="AW137" s="116"/>
      <c r="AX137" s="116"/>
      <c r="AY137" s="116"/>
      <c r="AZ137" s="116"/>
      <c r="BA137" s="116"/>
      <c r="BB137" s="116"/>
      <c r="BC137" s="116"/>
      <c r="BD137" s="116"/>
      <c r="BE137" s="116"/>
      <c r="BF137" s="116"/>
      <c r="BG137" s="116"/>
      <c r="BH137" s="116"/>
      <c r="BI137" s="116"/>
      <c r="BJ137" s="116"/>
      <c r="BK137" s="116"/>
      <c r="BL137" s="116"/>
      <c r="BM137" s="116"/>
      <c r="BN137" s="116"/>
      <c r="BO137" s="116"/>
      <c r="BP137" s="116"/>
      <c r="BQ137" s="116"/>
      <c r="BR137" s="116"/>
      <c r="BS137" s="116"/>
      <c r="BT137" s="116"/>
    </row>
    <row r="138" spans="1:72" s="109" customFormat="1" hidden="1" outlineLevel="1" x14ac:dyDescent="0.25">
      <c r="A138" s="112" t="s">
        <v>66</v>
      </c>
      <c r="B138" s="117">
        <f t="shared" ref="B138:D138" si="90">B27+B81</f>
        <v>0.124</v>
      </c>
      <c r="C138" s="117">
        <f t="shared" ref="C138" si="91">C27+C81</f>
        <v>0.124</v>
      </c>
      <c r="D138" s="117">
        <f t="shared" si="90"/>
        <v>0.124</v>
      </c>
      <c r="E138" s="117">
        <f t="shared" ref="E138" si="92">E27+E81</f>
        <v>0.124</v>
      </c>
      <c r="F138" s="117">
        <f t="shared" si="22"/>
        <v>0.124</v>
      </c>
      <c r="G138" s="117">
        <f t="shared" si="22"/>
        <v>0.124</v>
      </c>
      <c r="H138" s="117">
        <f t="shared" ref="H138" si="93">H27+H81</f>
        <v>0.124</v>
      </c>
      <c r="I138" s="117">
        <f t="shared" ref="I138" si="94">I27+I81</f>
        <v>0.124</v>
      </c>
      <c r="J138" s="117">
        <f t="shared" si="22"/>
        <v>0.124</v>
      </c>
      <c r="K138" s="117">
        <f t="shared" ref="K138" si="95">K27+K81</f>
        <v>0.124</v>
      </c>
      <c r="L138" s="117">
        <f t="shared" si="22"/>
        <v>0.124</v>
      </c>
      <c r="M138" s="117">
        <f t="shared" ref="M138:AG138" si="96">M27+M81</f>
        <v>0.124</v>
      </c>
      <c r="N138" s="117">
        <f t="shared" ref="N138:O138" si="97">N27+N81</f>
        <v>0.124</v>
      </c>
      <c r="O138" s="117">
        <f t="shared" si="97"/>
        <v>0.124</v>
      </c>
      <c r="P138" s="117">
        <f t="shared" si="96"/>
        <v>0.124</v>
      </c>
      <c r="Q138" s="117">
        <f t="shared" si="96"/>
        <v>0.124</v>
      </c>
      <c r="R138" s="117">
        <f t="shared" si="96"/>
        <v>0.124</v>
      </c>
      <c r="S138" s="117">
        <f t="shared" si="96"/>
        <v>0.124</v>
      </c>
      <c r="T138" s="117">
        <f t="shared" ref="T138:U138" si="98">T27+T81</f>
        <v>0.124</v>
      </c>
      <c r="U138" s="117">
        <f t="shared" si="98"/>
        <v>0.124</v>
      </c>
      <c r="V138" s="117">
        <f t="shared" si="96"/>
        <v>0.124</v>
      </c>
      <c r="W138" s="117">
        <f t="shared" si="96"/>
        <v>0.124</v>
      </c>
      <c r="X138" s="117">
        <f t="shared" si="96"/>
        <v>0.124</v>
      </c>
      <c r="Y138" s="117">
        <f t="shared" si="96"/>
        <v>0.124</v>
      </c>
      <c r="Z138" s="117">
        <f t="shared" si="96"/>
        <v>0.124</v>
      </c>
      <c r="AA138" s="117">
        <f t="shared" ref="AA138:AC138" si="99">AA27+AA81</f>
        <v>0.124</v>
      </c>
      <c r="AB138" s="117">
        <f t="shared" si="99"/>
        <v>0.124</v>
      </c>
      <c r="AC138" s="117">
        <f t="shared" si="99"/>
        <v>0.124</v>
      </c>
      <c r="AD138" s="117">
        <f t="shared" ref="AD138" si="100">AD27+AD81</f>
        <v>0.124</v>
      </c>
      <c r="AE138" s="117">
        <f t="shared" ref="AE138:AF138" si="101">AE27+AE81</f>
        <v>0.124</v>
      </c>
      <c r="AF138" s="117">
        <f t="shared" si="101"/>
        <v>0.124</v>
      </c>
      <c r="AG138" s="117">
        <f t="shared" si="96"/>
        <v>0.124</v>
      </c>
      <c r="AH138" s="117">
        <f t="shared" ref="AH138:AI138" si="102">AH27+AH81</f>
        <v>0.124</v>
      </c>
      <c r="AI138" s="117">
        <f t="shared" si="102"/>
        <v>0.124</v>
      </c>
      <c r="AJ138" s="117">
        <f t="shared" ref="AJ138" si="103">AJ27+AJ81</f>
        <v>0.124</v>
      </c>
      <c r="AK138" s="117"/>
      <c r="AL138" s="117"/>
      <c r="AM138" s="117"/>
      <c r="AN138" s="117"/>
      <c r="AO138" s="117"/>
      <c r="AP138" s="117"/>
      <c r="AQ138" s="117"/>
      <c r="AR138" s="117"/>
      <c r="AS138" s="117"/>
      <c r="AT138" s="117"/>
      <c r="AU138" s="117"/>
      <c r="AV138" s="117"/>
      <c r="AW138" s="117"/>
      <c r="AX138" s="117"/>
      <c r="AY138" s="117"/>
      <c r="AZ138" s="117"/>
      <c r="BA138" s="117"/>
      <c r="BB138" s="117"/>
      <c r="BC138" s="117"/>
      <c r="BD138" s="117"/>
      <c r="BE138" s="117"/>
      <c r="BF138" s="117"/>
      <c r="BG138" s="117"/>
      <c r="BH138" s="117"/>
      <c r="BI138" s="117"/>
      <c r="BJ138" s="117"/>
      <c r="BK138" s="117"/>
      <c r="BL138" s="117"/>
      <c r="BM138" s="117"/>
      <c r="BN138" s="117"/>
      <c r="BO138" s="117"/>
      <c r="BP138" s="117"/>
      <c r="BQ138" s="117"/>
      <c r="BR138" s="117"/>
      <c r="BS138" s="117"/>
      <c r="BT138" s="117"/>
    </row>
    <row r="139" spans="1:72" s="108" customFormat="1" hidden="1" outlineLevel="1" x14ac:dyDescent="0.25">
      <c r="A139" s="112" t="s">
        <v>67</v>
      </c>
      <c r="B139" s="116">
        <f t="shared" ref="B139:D139" si="104">B28+B82</f>
        <v>9.9199999999999997E-2</v>
      </c>
      <c r="C139" s="116">
        <f t="shared" ref="C139" si="105">C28+C82</f>
        <v>9.9199999999999997E-2</v>
      </c>
      <c r="D139" s="116">
        <f t="shared" si="104"/>
        <v>9.9199999999999997E-2</v>
      </c>
      <c r="E139" s="116">
        <f t="shared" ref="E139" si="106">E28+E82</f>
        <v>9.9199999999999997E-2</v>
      </c>
      <c r="F139" s="116">
        <f t="shared" si="22"/>
        <v>9.9199999999999997E-2</v>
      </c>
      <c r="G139" s="116">
        <f t="shared" si="22"/>
        <v>9.9199999999999997E-2</v>
      </c>
      <c r="H139" s="116">
        <f t="shared" ref="H139" si="107">H28+H82</f>
        <v>9.9199999999999997E-2</v>
      </c>
      <c r="I139" s="116">
        <f t="shared" ref="I139" si="108">I28+I82</f>
        <v>9.9199999999999997E-2</v>
      </c>
      <c r="J139" s="116">
        <f t="shared" si="22"/>
        <v>9.9199999999999997E-2</v>
      </c>
      <c r="K139" s="116">
        <f t="shared" ref="K139" si="109">K28+K82</f>
        <v>9.9199999999999997E-2</v>
      </c>
      <c r="L139" s="116">
        <f t="shared" si="22"/>
        <v>9.9199999999999997E-2</v>
      </c>
      <c r="M139" s="116">
        <f t="shared" ref="M139:AG139" si="110">M28+M82</f>
        <v>9.9199999999999997E-2</v>
      </c>
      <c r="N139" s="116">
        <f t="shared" ref="N139:O139" si="111">N28+N82</f>
        <v>9.9199999999999997E-2</v>
      </c>
      <c r="O139" s="116">
        <f t="shared" si="111"/>
        <v>9.9199999999999997E-2</v>
      </c>
      <c r="P139" s="116">
        <f t="shared" si="110"/>
        <v>9.9199999999999997E-2</v>
      </c>
      <c r="Q139" s="116">
        <f t="shared" si="110"/>
        <v>9.9199999999999997E-2</v>
      </c>
      <c r="R139" s="116">
        <f t="shared" si="110"/>
        <v>9.9199999999999997E-2</v>
      </c>
      <c r="S139" s="116">
        <f t="shared" si="110"/>
        <v>9.9199999999999997E-2</v>
      </c>
      <c r="T139" s="116">
        <f t="shared" ref="T139:U139" si="112">T28+T82</f>
        <v>9.9199999999999997E-2</v>
      </c>
      <c r="U139" s="116">
        <f t="shared" si="112"/>
        <v>9.9199999999999997E-2</v>
      </c>
      <c r="V139" s="116">
        <f t="shared" si="110"/>
        <v>9.9199999999999997E-2</v>
      </c>
      <c r="W139" s="116">
        <f t="shared" si="110"/>
        <v>9.9199999999999997E-2</v>
      </c>
      <c r="X139" s="116">
        <f t="shared" si="110"/>
        <v>9.9199999999999997E-2</v>
      </c>
      <c r="Y139" s="116">
        <f t="shared" si="110"/>
        <v>9.9199999999999997E-2</v>
      </c>
      <c r="Z139" s="116">
        <f t="shared" si="110"/>
        <v>9.9199999999999997E-2</v>
      </c>
      <c r="AA139" s="116">
        <f t="shared" ref="AA139:AC139" si="113">AA28+AA82</f>
        <v>9.9199999999999997E-2</v>
      </c>
      <c r="AB139" s="116">
        <f t="shared" si="113"/>
        <v>9.9199999999999997E-2</v>
      </c>
      <c r="AC139" s="116">
        <f t="shared" si="113"/>
        <v>9.9199999999999997E-2</v>
      </c>
      <c r="AD139" s="116">
        <f t="shared" ref="AD139" si="114">AD28+AD82</f>
        <v>9.9199999999999997E-2</v>
      </c>
      <c r="AE139" s="116">
        <f t="shared" ref="AE139:AF139" si="115">AE28+AE82</f>
        <v>9.9199999999999997E-2</v>
      </c>
      <c r="AF139" s="116">
        <f t="shared" si="115"/>
        <v>9.9199999999999997E-2</v>
      </c>
      <c r="AG139" s="116">
        <f t="shared" si="110"/>
        <v>9.9199999999999997E-2</v>
      </c>
      <c r="AH139" s="116">
        <f t="shared" ref="AH139:AI139" si="116">AH28+AH82</f>
        <v>9.9199999999999997E-2</v>
      </c>
      <c r="AI139" s="116">
        <f t="shared" si="116"/>
        <v>9.9199999999999997E-2</v>
      </c>
      <c r="AJ139" s="116">
        <f t="shared" ref="AJ139" si="117">AJ28+AJ82</f>
        <v>9.9199999999999997E-2</v>
      </c>
      <c r="AK139" s="116"/>
      <c r="AL139" s="116"/>
      <c r="AM139" s="116"/>
      <c r="AN139" s="116"/>
      <c r="AO139" s="116"/>
      <c r="AP139" s="116"/>
      <c r="AQ139" s="116"/>
      <c r="AR139" s="116"/>
      <c r="AS139" s="116"/>
      <c r="AT139" s="116"/>
      <c r="AU139" s="116"/>
      <c r="AV139" s="116"/>
      <c r="AW139" s="116"/>
      <c r="AX139" s="116"/>
      <c r="AY139" s="116"/>
      <c r="AZ139" s="116"/>
      <c r="BA139" s="116"/>
      <c r="BB139" s="116"/>
      <c r="BC139" s="116"/>
      <c r="BD139" s="116"/>
      <c r="BE139" s="116"/>
      <c r="BF139" s="116"/>
      <c r="BG139" s="116"/>
      <c r="BH139" s="116"/>
      <c r="BI139" s="116"/>
      <c r="BJ139" s="116"/>
      <c r="BK139" s="116"/>
      <c r="BL139" s="116"/>
      <c r="BM139" s="116"/>
      <c r="BN139" s="116"/>
      <c r="BO139" s="116"/>
      <c r="BP139" s="116"/>
      <c r="BQ139" s="116"/>
      <c r="BR139" s="116"/>
      <c r="BS139" s="116"/>
      <c r="BT139" s="116"/>
    </row>
    <row r="140" spans="1:72" s="109" customFormat="1" hidden="1" outlineLevel="1" x14ac:dyDescent="0.25">
      <c r="A140" s="112" t="s">
        <v>413</v>
      </c>
      <c r="B140" s="117">
        <f t="shared" ref="B140:F141" ca="1" si="118">B29+B83</f>
        <v>0.65890000000000004</v>
      </c>
      <c r="C140" s="117">
        <f t="shared" ca="1" si="118"/>
        <v>0.65890000000000004</v>
      </c>
      <c r="D140" s="117">
        <f t="shared" ca="1" si="118"/>
        <v>0.65890000000000004</v>
      </c>
      <c r="E140" s="117">
        <f t="shared" ca="1" si="118"/>
        <v>0.65890000000000004</v>
      </c>
      <c r="F140" s="117">
        <f t="shared" ca="1" si="118"/>
        <v>0.62579999999999991</v>
      </c>
      <c r="G140" s="117">
        <f t="shared" ca="1" si="22"/>
        <v>0.62579999999999991</v>
      </c>
      <c r="H140" s="117">
        <f t="shared" ref="H140" ca="1" si="119">H29+H83</f>
        <v>0.62579999999999991</v>
      </c>
      <c r="I140" s="117">
        <f t="shared" ref="I140" ca="1" si="120">I29+I83</f>
        <v>0.62579999999999991</v>
      </c>
      <c r="J140" s="117">
        <f t="shared" ca="1" si="22"/>
        <v>0.42719999999999997</v>
      </c>
      <c r="K140" s="117">
        <f t="shared" ref="K140" ca="1" si="121">K29+K83</f>
        <v>0.42719999999999997</v>
      </c>
      <c r="L140" s="117">
        <f t="shared" ca="1" si="22"/>
        <v>0.42719999999999997</v>
      </c>
      <c r="M140" s="117">
        <f t="shared" ref="M140:AG140" ca="1" si="122">M29+M83</f>
        <v>0.55959999999999999</v>
      </c>
      <c r="N140" s="117">
        <f t="shared" ref="N140:O140" ca="1" si="123">N29+N83</f>
        <v>0.55959999999999999</v>
      </c>
      <c r="O140" s="117">
        <f t="shared" ca="1" si="123"/>
        <v>0.55959999999999999</v>
      </c>
      <c r="P140" s="117">
        <f t="shared" ca="1" si="122"/>
        <v>0.55959999999999999</v>
      </c>
      <c r="Q140" s="117">
        <f t="shared" ca="1" si="122"/>
        <v>0.55959999999999999</v>
      </c>
      <c r="R140" s="117">
        <f t="shared" ca="1" si="122"/>
        <v>0.55959999999999999</v>
      </c>
      <c r="S140" s="117">
        <f t="shared" ca="1" si="122"/>
        <v>0.55959999999999999</v>
      </c>
      <c r="T140" s="117">
        <f t="shared" ref="T140:U140" ca="1" si="124">T29+T83</f>
        <v>0.55959999999999999</v>
      </c>
      <c r="U140" s="117">
        <f t="shared" ca="1" si="124"/>
        <v>0.55959999999999999</v>
      </c>
      <c r="V140" s="117">
        <f t="shared" ca="1" si="122"/>
        <v>0.55959999999999999</v>
      </c>
      <c r="W140" s="117">
        <f t="shared" ca="1" si="122"/>
        <v>0.55959999999999999</v>
      </c>
      <c r="X140" s="117">
        <f t="shared" ca="1" si="122"/>
        <v>0.65890000000000004</v>
      </c>
      <c r="Y140" s="117">
        <f t="shared" ca="1" si="122"/>
        <v>0.65890000000000004</v>
      </c>
      <c r="Z140" s="117">
        <f t="shared" ca="1" si="122"/>
        <v>0.65890000000000004</v>
      </c>
      <c r="AA140" s="117">
        <f t="shared" ref="AA140:AC140" ca="1" si="125">AA29+AA83</f>
        <v>0.65890000000000004</v>
      </c>
      <c r="AB140" s="117">
        <f t="shared" ca="1" si="125"/>
        <v>0.65890000000000004</v>
      </c>
      <c r="AC140" s="117">
        <f t="shared" ca="1" si="125"/>
        <v>0.65890000000000004</v>
      </c>
      <c r="AD140" s="117">
        <f t="shared" ref="AD140" ca="1" si="126">AD29+AD83</f>
        <v>0.65890000000000004</v>
      </c>
      <c r="AE140" s="117">
        <f t="shared" ref="AE140:AF140" ca="1" si="127">AE29+AE83</f>
        <v>0.65890000000000004</v>
      </c>
      <c r="AF140" s="117">
        <f t="shared" ca="1" si="127"/>
        <v>0.65890000000000004</v>
      </c>
      <c r="AG140" s="117">
        <f t="shared" ca="1" si="122"/>
        <v>0.55959999999999999</v>
      </c>
      <c r="AH140" s="117">
        <f t="shared" ref="AH140:AI140" ca="1" si="128">AH29+AH83</f>
        <v>0.55959999999999999</v>
      </c>
      <c r="AI140" s="117">
        <f t="shared" ca="1" si="128"/>
        <v>0.42719999999999997</v>
      </c>
      <c r="AJ140" s="117">
        <f t="shared" ref="AJ140" ca="1" si="129">AJ29+AJ83</f>
        <v>0.42719999999999997</v>
      </c>
      <c r="AK140" s="117"/>
      <c r="AL140" s="117"/>
      <c r="AM140" s="117"/>
      <c r="AN140" s="117"/>
      <c r="AO140" s="117"/>
      <c r="AP140" s="117"/>
      <c r="AQ140" s="117"/>
      <c r="AR140" s="117"/>
      <c r="AS140" s="117"/>
      <c r="AT140" s="117"/>
      <c r="AU140" s="117"/>
      <c r="AV140" s="117"/>
      <c r="AW140" s="117"/>
      <c r="AX140" s="117"/>
      <c r="AY140" s="117"/>
      <c r="AZ140" s="117"/>
      <c r="BA140" s="117"/>
      <c r="BB140" s="117"/>
      <c r="BC140" s="117"/>
      <c r="BD140" s="117"/>
      <c r="BE140" s="117"/>
      <c r="BF140" s="117"/>
      <c r="BG140" s="117"/>
      <c r="BH140" s="117"/>
      <c r="BI140" s="117"/>
      <c r="BJ140" s="117"/>
      <c r="BK140" s="117"/>
      <c r="BL140" s="117"/>
      <c r="BM140" s="117"/>
      <c r="BN140" s="117"/>
      <c r="BO140" s="117"/>
      <c r="BP140" s="117"/>
      <c r="BQ140" s="117"/>
      <c r="BR140" s="117"/>
      <c r="BS140" s="117"/>
      <c r="BT140" s="117"/>
    </row>
    <row r="141" spans="1:72" s="108" customFormat="1" hidden="1" outlineLevel="1" x14ac:dyDescent="0.25">
      <c r="A141" s="112" t="s">
        <v>414</v>
      </c>
      <c r="B141" s="116">
        <f t="shared" ca="1" si="118"/>
        <v>1.4929999999999999</v>
      </c>
      <c r="C141" s="116">
        <f t="shared" ca="1" si="118"/>
        <v>1.4929999999999999</v>
      </c>
      <c r="D141" s="116">
        <f t="shared" ca="1" si="118"/>
        <v>1.4929999999999999</v>
      </c>
      <c r="E141" s="116">
        <f t="shared" ca="1" si="118"/>
        <v>1.4929999999999999</v>
      </c>
      <c r="F141" s="116">
        <f t="shared" ca="1" si="118"/>
        <v>1.2282</v>
      </c>
      <c r="G141" s="116">
        <f t="shared" ca="1" si="22"/>
        <v>1.2282</v>
      </c>
      <c r="H141" s="116">
        <f t="shared" ref="H141" ca="1" si="130">H30+H84</f>
        <v>1.2282</v>
      </c>
      <c r="I141" s="116">
        <f t="shared" ref="I141" ca="1" si="131">I30+I84</f>
        <v>1.2282</v>
      </c>
      <c r="J141" s="116">
        <f t="shared" ca="1" si="22"/>
        <v>0.63239999999999996</v>
      </c>
      <c r="K141" s="116">
        <f t="shared" ref="K141" ca="1" si="132">K30+K84</f>
        <v>0.63239999999999996</v>
      </c>
      <c r="L141" s="116">
        <f t="shared" ca="1" si="22"/>
        <v>0.63239999999999996</v>
      </c>
      <c r="M141" s="116">
        <f t="shared" ref="M141:AG141" ca="1" si="133">M30+M84</f>
        <v>1.3605999999999998</v>
      </c>
      <c r="N141" s="116">
        <f t="shared" ref="N141:O141" ca="1" si="134">N30+N84</f>
        <v>1.3605999999999998</v>
      </c>
      <c r="O141" s="116">
        <f t="shared" ca="1" si="134"/>
        <v>1.3605999999999998</v>
      </c>
      <c r="P141" s="116">
        <f t="shared" ca="1" si="133"/>
        <v>1.3605999999999998</v>
      </c>
      <c r="Q141" s="116">
        <f t="shared" ca="1" si="133"/>
        <v>1.3605999999999998</v>
      </c>
      <c r="R141" s="116">
        <f t="shared" ca="1" si="133"/>
        <v>1.3605999999999998</v>
      </c>
      <c r="S141" s="116">
        <f t="shared" ca="1" si="133"/>
        <v>1.3605999999999998</v>
      </c>
      <c r="T141" s="116">
        <f t="shared" ref="T141:U141" ca="1" si="135">T30+T84</f>
        <v>1.3605999999999998</v>
      </c>
      <c r="U141" s="116">
        <f t="shared" ca="1" si="135"/>
        <v>1.3605999999999998</v>
      </c>
      <c r="V141" s="116">
        <f t="shared" ca="1" si="133"/>
        <v>1.3605999999999998</v>
      </c>
      <c r="W141" s="116">
        <f t="shared" ca="1" si="133"/>
        <v>1.3605999999999998</v>
      </c>
      <c r="X141" s="116">
        <f t="shared" ca="1" si="133"/>
        <v>1.4929999999999999</v>
      </c>
      <c r="Y141" s="116">
        <f t="shared" ca="1" si="133"/>
        <v>1.4929999999999999</v>
      </c>
      <c r="Z141" s="116">
        <f t="shared" ca="1" si="133"/>
        <v>1.4929999999999999</v>
      </c>
      <c r="AA141" s="116">
        <f t="shared" ref="AA141:AC141" ca="1" si="136">AA30+AA84</f>
        <v>1.4929999999999999</v>
      </c>
      <c r="AB141" s="116">
        <f t="shared" ca="1" si="136"/>
        <v>1.4929999999999999</v>
      </c>
      <c r="AC141" s="116">
        <f t="shared" ca="1" si="136"/>
        <v>1.4929999999999999</v>
      </c>
      <c r="AD141" s="116">
        <f t="shared" ref="AD141" ca="1" si="137">AD30+AD84</f>
        <v>1.4929999999999999</v>
      </c>
      <c r="AE141" s="116">
        <f t="shared" ref="AE141:AF141" ca="1" si="138">AE30+AE84</f>
        <v>1.4929999999999999</v>
      </c>
      <c r="AF141" s="116">
        <f t="shared" ca="1" si="138"/>
        <v>1.4929999999999999</v>
      </c>
      <c r="AG141" s="116">
        <f t="shared" ca="1" si="133"/>
        <v>1.3605999999999998</v>
      </c>
      <c r="AH141" s="116">
        <f t="shared" ref="AH141:AI141" ca="1" si="139">AH30+AH84</f>
        <v>1.3605999999999998</v>
      </c>
      <c r="AI141" s="116">
        <f t="shared" ca="1" si="139"/>
        <v>0.63239999999999996</v>
      </c>
      <c r="AJ141" s="116">
        <f t="shared" ref="AJ141" ca="1" si="140">AJ30+AJ84</f>
        <v>0.63239999999999996</v>
      </c>
      <c r="AK141" s="116"/>
      <c r="AL141" s="116"/>
      <c r="AM141" s="116"/>
      <c r="AN141" s="116"/>
      <c r="AO141" s="116"/>
      <c r="AP141" s="116"/>
      <c r="AQ141" s="116"/>
      <c r="AR141" s="116"/>
      <c r="AS141" s="116"/>
      <c r="AT141" s="116"/>
      <c r="AU141" s="116"/>
      <c r="AV141" s="116"/>
      <c r="AW141" s="116"/>
      <c r="AX141" s="116"/>
      <c r="AY141" s="116"/>
      <c r="AZ141" s="116"/>
      <c r="BA141" s="116"/>
      <c r="BB141" s="116"/>
      <c r="BC141" s="116"/>
      <c r="BD141" s="116"/>
      <c r="BE141" s="116"/>
      <c r="BF141" s="116"/>
      <c r="BG141" s="116"/>
      <c r="BH141" s="116"/>
      <c r="BI141" s="116"/>
      <c r="BJ141" s="116"/>
      <c r="BK141" s="116"/>
      <c r="BL141" s="116"/>
      <c r="BM141" s="116"/>
      <c r="BN141" s="116"/>
      <c r="BO141" s="116"/>
      <c r="BP141" s="116"/>
      <c r="BQ141" s="116"/>
      <c r="BR141" s="116"/>
      <c r="BS141" s="116"/>
      <c r="BT141" s="116"/>
    </row>
    <row r="142" spans="1:72" s="109" customFormat="1" hidden="1" outlineLevel="1" x14ac:dyDescent="0.25">
      <c r="A142" s="112" t="s">
        <v>68</v>
      </c>
      <c r="B142" s="117">
        <f t="shared" ref="B142:D142" ca="1" si="141">B31+B85</f>
        <v>2.0891999999999999</v>
      </c>
      <c r="C142" s="117">
        <f t="shared" ref="C142" ca="1" si="142">C31+C85</f>
        <v>2.0891999999999999</v>
      </c>
      <c r="D142" s="117">
        <f t="shared" ca="1" si="141"/>
        <v>2.0891999999999999</v>
      </c>
      <c r="E142" s="117">
        <f t="shared" ref="E142" ca="1" si="143">E31+E85</f>
        <v>2.0891999999999999</v>
      </c>
      <c r="F142" s="117">
        <f t="shared" si="22"/>
        <v>1.8281999999999998</v>
      </c>
      <c r="G142" s="117">
        <f t="shared" si="22"/>
        <v>1.8281999999999998</v>
      </c>
      <c r="H142" s="117">
        <f t="shared" ref="H142" si="144">H31+H85</f>
        <v>1.8281999999999998</v>
      </c>
      <c r="I142" s="117">
        <f t="shared" ref="I142" si="145">I31+I85</f>
        <v>1.8281999999999998</v>
      </c>
      <c r="J142" s="117">
        <f t="shared" ca="1" si="22"/>
        <v>1.3772</v>
      </c>
      <c r="K142" s="117">
        <f t="shared" ref="K142" ca="1" si="146">K31+K85</f>
        <v>1.3772</v>
      </c>
      <c r="L142" s="117">
        <f t="shared" ca="1" si="22"/>
        <v>1.3772</v>
      </c>
      <c r="M142" s="117">
        <f t="shared" ref="M142:AG142" si="147">M31+M85</f>
        <v>1.8447</v>
      </c>
      <c r="N142" s="117">
        <f t="shared" ref="N142:O142" si="148">N31+N85</f>
        <v>1.8447</v>
      </c>
      <c r="O142" s="117">
        <f t="shared" si="148"/>
        <v>1.8447</v>
      </c>
      <c r="P142" s="117">
        <f t="shared" si="147"/>
        <v>1.8447</v>
      </c>
      <c r="Q142" s="117">
        <f t="shared" si="147"/>
        <v>1.8447</v>
      </c>
      <c r="R142" s="117">
        <f t="shared" si="147"/>
        <v>1.8447</v>
      </c>
      <c r="S142" s="117">
        <f t="shared" si="147"/>
        <v>1.8447</v>
      </c>
      <c r="T142" s="117">
        <f t="shared" ref="T142:U142" si="149">T31+T85</f>
        <v>1.8447</v>
      </c>
      <c r="U142" s="117">
        <f t="shared" si="149"/>
        <v>1.8447</v>
      </c>
      <c r="V142" s="117">
        <f t="shared" si="147"/>
        <v>1.8447</v>
      </c>
      <c r="W142" s="117">
        <f t="shared" si="147"/>
        <v>1.8447</v>
      </c>
      <c r="X142" s="117">
        <f t="shared" ca="1" si="147"/>
        <v>2.0891999999999999</v>
      </c>
      <c r="Y142" s="117">
        <f t="shared" ca="1" si="147"/>
        <v>2.0891999999999999</v>
      </c>
      <c r="Z142" s="117">
        <f t="shared" ca="1" si="147"/>
        <v>2.0891999999999999</v>
      </c>
      <c r="AA142" s="117">
        <f t="shared" ref="AA142:AC142" ca="1" si="150">AA31+AA85</f>
        <v>2.0891999999999999</v>
      </c>
      <c r="AB142" s="117">
        <f t="shared" ca="1" si="150"/>
        <v>2.0891999999999999</v>
      </c>
      <c r="AC142" s="117">
        <f t="shared" ca="1" si="150"/>
        <v>2.0891999999999999</v>
      </c>
      <c r="AD142" s="117">
        <f t="shared" ref="AD142" ca="1" si="151">AD31+AD85</f>
        <v>2.0891999999999999</v>
      </c>
      <c r="AE142" s="117">
        <f t="shared" ref="AE142:AF142" ca="1" si="152">AE31+AE85</f>
        <v>2.0891999999999999</v>
      </c>
      <c r="AF142" s="117">
        <f t="shared" ca="1" si="152"/>
        <v>2.0891999999999999</v>
      </c>
      <c r="AG142" s="117">
        <f t="shared" si="147"/>
        <v>1.8447</v>
      </c>
      <c r="AH142" s="117">
        <f t="shared" ref="AH142:AI142" si="153">AH31+AH85</f>
        <v>1.8447</v>
      </c>
      <c r="AI142" s="117">
        <f t="shared" ca="1" si="153"/>
        <v>1.3772</v>
      </c>
      <c r="AJ142" s="117">
        <f t="shared" ref="AJ142" ca="1" si="154">AJ31+AJ85</f>
        <v>1.3772</v>
      </c>
      <c r="AK142" s="117"/>
      <c r="AL142" s="117"/>
      <c r="AM142" s="117"/>
      <c r="AN142" s="117"/>
      <c r="AO142" s="117"/>
      <c r="AP142" s="117"/>
      <c r="AQ142" s="117"/>
      <c r="AR142" s="117"/>
      <c r="AS142" s="117"/>
      <c r="AT142" s="117"/>
      <c r="AU142" s="117"/>
      <c r="AV142" s="117"/>
      <c r="AW142" s="117"/>
      <c r="AX142" s="117"/>
      <c r="AY142" s="117"/>
      <c r="AZ142" s="117"/>
      <c r="BA142" s="117"/>
      <c r="BB142" s="117"/>
      <c r="BC142" s="117"/>
      <c r="BD142" s="117"/>
      <c r="BE142" s="117"/>
      <c r="BF142" s="117"/>
      <c r="BG142" s="117"/>
      <c r="BH142" s="117"/>
      <c r="BI142" s="117"/>
      <c r="BJ142" s="117"/>
      <c r="BK142" s="117"/>
      <c r="BL142" s="117"/>
      <c r="BM142" s="117"/>
      <c r="BN142" s="117"/>
      <c r="BO142" s="117"/>
      <c r="BP142" s="117"/>
      <c r="BQ142" s="117"/>
      <c r="BR142" s="117"/>
      <c r="BS142" s="117"/>
      <c r="BT142" s="117"/>
    </row>
    <row r="143" spans="1:72" s="108" customFormat="1" hidden="1" outlineLevel="1" x14ac:dyDescent="0.25">
      <c r="A143" s="112" t="s">
        <v>82</v>
      </c>
      <c r="B143" s="116">
        <f t="shared" ref="B143:D143" si="155">B32+B86</f>
        <v>0</v>
      </c>
      <c r="C143" s="116">
        <f t="shared" ref="C143" si="156">C32+C86</f>
        <v>0</v>
      </c>
      <c r="D143" s="116">
        <f t="shared" si="155"/>
        <v>0</v>
      </c>
      <c r="E143" s="116">
        <f t="shared" ref="E143" si="157">E32+E86</f>
        <v>0</v>
      </c>
      <c r="F143" s="116">
        <f t="shared" si="22"/>
        <v>0.2</v>
      </c>
      <c r="G143" s="116">
        <f t="shared" si="22"/>
        <v>0.2</v>
      </c>
      <c r="H143" s="116">
        <f t="shared" ref="H143" si="158">H32+H86</f>
        <v>0.2</v>
      </c>
      <c r="I143" s="116">
        <f t="shared" ref="I143" si="159">I32+I86</f>
        <v>0.2</v>
      </c>
      <c r="J143" s="116">
        <f t="shared" si="22"/>
        <v>0.12</v>
      </c>
      <c r="K143" s="116">
        <f t="shared" ref="K143" si="160">K32+K86</f>
        <v>0.12</v>
      </c>
      <c r="L143" s="116">
        <f t="shared" si="22"/>
        <v>0.12</v>
      </c>
      <c r="M143" s="116">
        <f t="shared" ref="M143:AG143" si="161">M32+M86</f>
        <v>0</v>
      </c>
      <c r="N143" s="116">
        <f t="shared" ref="N143:O143" si="162">N32+N86</f>
        <v>0</v>
      </c>
      <c r="O143" s="116">
        <f t="shared" si="162"/>
        <v>0</v>
      </c>
      <c r="P143" s="116">
        <f t="shared" si="161"/>
        <v>0</v>
      </c>
      <c r="Q143" s="116">
        <f t="shared" si="161"/>
        <v>0</v>
      </c>
      <c r="R143" s="116">
        <f t="shared" si="161"/>
        <v>0</v>
      </c>
      <c r="S143" s="116">
        <f t="shared" si="161"/>
        <v>0</v>
      </c>
      <c r="T143" s="116">
        <f t="shared" ref="T143:U143" si="163">T32+T86</f>
        <v>0</v>
      </c>
      <c r="U143" s="116">
        <f t="shared" si="163"/>
        <v>0</v>
      </c>
      <c r="V143" s="116">
        <f t="shared" si="161"/>
        <v>0</v>
      </c>
      <c r="W143" s="116">
        <f t="shared" si="161"/>
        <v>0</v>
      </c>
      <c r="X143" s="116">
        <f t="shared" si="161"/>
        <v>0</v>
      </c>
      <c r="Y143" s="116">
        <f t="shared" si="161"/>
        <v>0</v>
      </c>
      <c r="Z143" s="116">
        <f t="shared" si="161"/>
        <v>0</v>
      </c>
      <c r="AA143" s="116">
        <f t="shared" ref="AA143:AC143" si="164">AA32+AA86</f>
        <v>0</v>
      </c>
      <c r="AB143" s="116">
        <f t="shared" si="164"/>
        <v>0</v>
      </c>
      <c r="AC143" s="116">
        <f t="shared" si="164"/>
        <v>0</v>
      </c>
      <c r="AD143" s="116">
        <f t="shared" ref="AD143" si="165">AD32+AD86</f>
        <v>0</v>
      </c>
      <c r="AE143" s="116">
        <f t="shared" ref="AE143:AF143" si="166">AE32+AE86</f>
        <v>0</v>
      </c>
      <c r="AF143" s="116">
        <f t="shared" si="166"/>
        <v>0</v>
      </c>
      <c r="AG143" s="116">
        <f t="shared" si="161"/>
        <v>0</v>
      </c>
      <c r="AH143" s="116">
        <f t="shared" ref="AH143:AI143" si="167">AH32+AH86</f>
        <v>0</v>
      </c>
      <c r="AI143" s="116">
        <f t="shared" si="167"/>
        <v>0.12</v>
      </c>
      <c r="AJ143" s="116">
        <f t="shared" ref="AJ143" si="168">AJ32+AJ86</f>
        <v>0.12</v>
      </c>
      <c r="AK143" s="116"/>
      <c r="AL143" s="116"/>
      <c r="AM143" s="116"/>
      <c r="AN143" s="116"/>
      <c r="AO143" s="116"/>
      <c r="AP143" s="116"/>
      <c r="AQ143" s="116"/>
      <c r="AR143" s="116"/>
      <c r="AS143" s="116"/>
      <c r="AT143" s="116"/>
      <c r="AU143" s="116"/>
      <c r="AV143" s="116"/>
      <c r="AW143" s="116"/>
      <c r="AX143" s="116"/>
      <c r="AY143" s="116"/>
      <c r="AZ143" s="116"/>
      <c r="BA143" s="116"/>
      <c r="BB143" s="116"/>
      <c r="BC143" s="116"/>
      <c r="BD143" s="116"/>
      <c r="BE143" s="116"/>
      <c r="BF143" s="116"/>
      <c r="BG143" s="116"/>
      <c r="BH143" s="116"/>
      <c r="BI143" s="116"/>
      <c r="BJ143" s="116"/>
      <c r="BK143" s="116"/>
      <c r="BL143" s="116"/>
      <c r="BM143" s="116"/>
      <c r="BN143" s="116"/>
      <c r="BO143" s="116"/>
      <c r="BP143" s="116"/>
      <c r="BQ143" s="116"/>
      <c r="BR143" s="116"/>
      <c r="BS143" s="116"/>
      <c r="BT143" s="116"/>
    </row>
    <row r="144" spans="1:72" s="109" customFormat="1" hidden="1" outlineLevel="1" x14ac:dyDescent="0.25">
      <c r="A144" s="112" t="s">
        <v>70</v>
      </c>
      <c r="B144" s="117">
        <f t="shared" ref="B144:D144" si="169">B33+B87</f>
        <v>0</v>
      </c>
      <c r="C144" s="117">
        <f t="shared" ref="C144" si="170">C33+C87</f>
        <v>0</v>
      </c>
      <c r="D144" s="117">
        <f t="shared" si="169"/>
        <v>0</v>
      </c>
      <c r="E144" s="117">
        <f t="shared" ref="E144" si="171">E33+E87</f>
        <v>0</v>
      </c>
      <c r="F144" s="117">
        <f t="shared" si="22"/>
        <v>0</v>
      </c>
      <c r="G144" s="117">
        <f t="shared" si="22"/>
        <v>0</v>
      </c>
      <c r="H144" s="117">
        <f t="shared" ref="H144" si="172">H33+H87</f>
        <v>0</v>
      </c>
      <c r="I144" s="117">
        <f t="shared" ref="I144" si="173">I33+I87</f>
        <v>0</v>
      </c>
      <c r="J144" s="117">
        <f t="shared" si="22"/>
        <v>0</v>
      </c>
      <c r="K144" s="117">
        <f t="shared" ref="K144" si="174">K33+K87</f>
        <v>0</v>
      </c>
      <c r="L144" s="117">
        <f t="shared" si="22"/>
        <v>0</v>
      </c>
      <c r="M144" s="117">
        <f t="shared" ref="M144:AG144" si="175">M33+M87</f>
        <v>0</v>
      </c>
      <c r="N144" s="117">
        <f t="shared" ref="N144:O144" si="176">N33+N87</f>
        <v>0</v>
      </c>
      <c r="O144" s="117">
        <f t="shared" si="176"/>
        <v>0</v>
      </c>
      <c r="P144" s="117">
        <f t="shared" si="175"/>
        <v>0</v>
      </c>
      <c r="Q144" s="117">
        <f t="shared" si="175"/>
        <v>0</v>
      </c>
      <c r="R144" s="117">
        <f t="shared" si="175"/>
        <v>0</v>
      </c>
      <c r="S144" s="117">
        <f t="shared" si="175"/>
        <v>0</v>
      </c>
      <c r="T144" s="117">
        <f t="shared" ref="T144:U144" si="177">T33+T87</f>
        <v>0</v>
      </c>
      <c r="U144" s="117">
        <f t="shared" si="177"/>
        <v>0</v>
      </c>
      <c r="V144" s="117">
        <f t="shared" si="175"/>
        <v>0</v>
      </c>
      <c r="W144" s="117">
        <f t="shared" si="175"/>
        <v>0</v>
      </c>
      <c r="X144" s="117">
        <f t="shared" si="175"/>
        <v>0</v>
      </c>
      <c r="Y144" s="117">
        <f t="shared" si="175"/>
        <v>0</v>
      </c>
      <c r="Z144" s="117">
        <f t="shared" si="175"/>
        <v>0</v>
      </c>
      <c r="AA144" s="117">
        <f t="shared" ref="AA144:AC144" si="178">AA33+AA87</f>
        <v>0</v>
      </c>
      <c r="AB144" s="117">
        <f t="shared" si="178"/>
        <v>0</v>
      </c>
      <c r="AC144" s="117">
        <f t="shared" si="178"/>
        <v>0</v>
      </c>
      <c r="AD144" s="117">
        <f t="shared" ref="AD144" si="179">AD33+AD87</f>
        <v>0</v>
      </c>
      <c r="AE144" s="117">
        <f t="shared" ref="AE144:AF144" si="180">AE33+AE87</f>
        <v>0</v>
      </c>
      <c r="AF144" s="117">
        <f t="shared" si="180"/>
        <v>0</v>
      </c>
      <c r="AG144" s="117">
        <f t="shared" si="175"/>
        <v>0</v>
      </c>
      <c r="AH144" s="117">
        <f t="shared" ref="AH144:AI144" si="181">AH33+AH87</f>
        <v>0</v>
      </c>
      <c r="AI144" s="117">
        <f t="shared" si="181"/>
        <v>0</v>
      </c>
      <c r="AJ144" s="117">
        <f t="shared" ref="AJ144" si="182">AJ33+AJ87</f>
        <v>0</v>
      </c>
      <c r="AK144" s="117"/>
      <c r="AL144" s="117"/>
      <c r="AM144" s="117"/>
      <c r="AN144" s="117"/>
      <c r="AO144" s="117"/>
      <c r="AP144" s="117"/>
      <c r="AQ144" s="117"/>
      <c r="AR144" s="117"/>
      <c r="AS144" s="117"/>
      <c r="AT144" s="117"/>
      <c r="AU144" s="117"/>
      <c r="AV144" s="117"/>
      <c r="AW144" s="117"/>
      <c r="AX144" s="117"/>
      <c r="AY144" s="117"/>
      <c r="AZ144" s="117"/>
      <c r="BA144" s="117"/>
      <c r="BB144" s="117"/>
      <c r="BC144" s="117"/>
      <c r="BD144" s="117"/>
      <c r="BE144" s="117"/>
      <c r="BF144" s="117"/>
      <c r="BG144" s="117"/>
      <c r="BH144" s="117"/>
      <c r="BI144" s="117"/>
      <c r="BJ144" s="117"/>
      <c r="BK144" s="117"/>
      <c r="BL144" s="117"/>
      <c r="BM144" s="117"/>
      <c r="BN144" s="117"/>
      <c r="BO144" s="117"/>
      <c r="BP144" s="117"/>
      <c r="BQ144" s="117"/>
      <c r="BR144" s="117"/>
      <c r="BS144" s="117"/>
      <c r="BT144" s="117"/>
    </row>
    <row r="145" spans="1:72" s="108" customFormat="1" hidden="1" outlineLevel="1" x14ac:dyDescent="0.25">
      <c r="A145" s="112" t="s">
        <v>71</v>
      </c>
      <c r="B145" s="116">
        <f t="shared" ref="B145:D145" si="183">B34+B88</f>
        <v>0</v>
      </c>
      <c r="C145" s="116">
        <f t="shared" ref="C145" si="184">C34+C88</f>
        <v>0</v>
      </c>
      <c r="D145" s="116">
        <f t="shared" si="183"/>
        <v>0</v>
      </c>
      <c r="E145" s="116">
        <f t="shared" ref="E145" si="185">E34+E88</f>
        <v>0</v>
      </c>
      <c r="F145" s="116">
        <f t="shared" si="22"/>
        <v>0</v>
      </c>
      <c r="G145" s="116">
        <f t="shared" si="22"/>
        <v>0</v>
      </c>
      <c r="H145" s="116">
        <f t="shared" ref="H145" si="186">H34+H88</f>
        <v>0</v>
      </c>
      <c r="I145" s="116">
        <f t="shared" ref="I145" si="187">I34+I88</f>
        <v>0</v>
      </c>
      <c r="J145" s="116">
        <f t="shared" si="22"/>
        <v>0</v>
      </c>
      <c r="K145" s="116">
        <f t="shared" ref="K145" si="188">K34+K88</f>
        <v>0</v>
      </c>
      <c r="L145" s="116">
        <f t="shared" si="22"/>
        <v>0</v>
      </c>
      <c r="M145" s="116">
        <f t="shared" ref="M145:AG145" si="189">M34+M88</f>
        <v>0</v>
      </c>
      <c r="N145" s="116">
        <f t="shared" ref="N145:O145" si="190">N34+N88</f>
        <v>0</v>
      </c>
      <c r="O145" s="116">
        <f t="shared" si="190"/>
        <v>0</v>
      </c>
      <c r="P145" s="116">
        <f t="shared" si="189"/>
        <v>0</v>
      </c>
      <c r="Q145" s="116">
        <f t="shared" si="189"/>
        <v>0</v>
      </c>
      <c r="R145" s="116">
        <f t="shared" si="189"/>
        <v>0</v>
      </c>
      <c r="S145" s="116">
        <f t="shared" si="189"/>
        <v>0</v>
      </c>
      <c r="T145" s="116">
        <f t="shared" ref="T145:U145" si="191">T34+T88</f>
        <v>0</v>
      </c>
      <c r="U145" s="116">
        <f t="shared" si="191"/>
        <v>0</v>
      </c>
      <c r="V145" s="116">
        <f t="shared" si="189"/>
        <v>0</v>
      </c>
      <c r="W145" s="116">
        <f t="shared" si="189"/>
        <v>0</v>
      </c>
      <c r="X145" s="116">
        <f t="shared" si="189"/>
        <v>0</v>
      </c>
      <c r="Y145" s="116">
        <f t="shared" si="189"/>
        <v>0</v>
      </c>
      <c r="Z145" s="116">
        <f t="shared" si="189"/>
        <v>0</v>
      </c>
      <c r="AA145" s="116">
        <f t="shared" ref="AA145:AC145" si="192">AA34+AA88</f>
        <v>0</v>
      </c>
      <c r="AB145" s="116">
        <f t="shared" si="192"/>
        <v>0</v>
      </c>
      <c r="AC145" s="116">
        <f t="shared" si="192"/>
        <v>0</v>
      </c>
      <c r="AD145" s="116">
        <f t="shared" ref="AD145" si="193">AD34+AD88</f>
        <v>0</v>
      </c>
      <c r="AE145" s="116">
        <f t="shared" ref="AE145:AF145" si="194">AE34+AE88</f>
        <v>0</v>
      </c>
      <c r="AF145" s="116">
        <f t="shared" si="194"/>
        <v>0</v>
      </c>
      <c r="AG145" s="116">
        <f t="shared" si="189"/>
        <v>0</v>
      </c>
      <c r="AH145" s="116">
        <f t="shared" ref="AH145:AI145" si="195">AH34+AH88</f>
        <v>0</v>
      </c>
      <c r="AI145" s="116">
        <f t="shared" si="195"/>
        <v>0</v>
      </c>
      <c r="AJ145" s="116">
        <f t="shared" ref="AJ145" si="196">AJ34+AJ88</f>
        <v>0</v>
      </c>
      <c r="AK145" s="116"/>
      <c r="AL145" s="116"/>
      <c r="AM145" s="116"/>
      <c r="AN145" s="116"/>
      <c r="AO145" s="116"/>
      <c r="AP145" s="116"/>
      <c r="AQ145" s="116"/>
      <c r="AR145" s="116"/>
      <c r="AS145" s="116"/>
      <c r="AT145" s="116"/>
      <c r="AU145" s="116"/>
      <c r="AV145" s="116"/>
      <c r="AW145" s="116"/>
      <c r="AX145" s="116"/>
      <c r="AY145" s="116"/>
      <c r="AZ145" s="116"/>
      <c r="BA145" s="116"/>
      <c r="BB145" s="116"/>
      <c r="BC145" s="116"/>
      <c r="BD145" s="116"/>
      <c r="BE145" s="116"/>
      <c r="BF145" s="116"/>
      <c r="BG145" s="116"/>
      <c r="BH145" s="116"/>
      <c r="BI145" s="116"/>
      <c r="BJ145" s="116"/>
      <c r="BK145" s="116"/>
      <c r="BL145" s="116"/>
      <c r="BM145" s="116"/>
      <c r="BN145" s="116"/>
      <c r="BO145" s="116"/>
      <c r="BP145" s="116"/>
      <c r="BQ145" s="116"/>
      <c r="BR145" s="116"/>
      <c r="BS145" s="116"/>
      <c r="BT145" s="116"/>
    </row>
    <row r="146" spans="1:72" s="109" customFormat="1" hidden="1" outlineLevel="1" x14ac:dyDescent="0.25">
      <c r="A146" s="112" t="s">
        <v>72</v>
      </c>
      <c r="B146" s="117">
        <f t="shared" ref="B146:D146" si="197">B35+B89</f>
        <v>0</v>
      </c>
      <c r="C146" s="117">
        <f t="shared" ref="C146" si="198">C35+C89</f>
        <v>0</v>
      </c>
      <c r="D146" s="117">
        <f t="shared" si="197"/>
        <v>0</v>
      </c>
      <c r="E146" s="117">
        <f t="shared" ref="E146" si="199">E35+E89</f>
        <v>0</v>
      </c>
      <c r="F146" s="117">
        <f t="shared" si="22"/>
        <v>0</v>
      </c>
      <c r="G146" s="117">
        <f t="shared" si="22"/>
        <v>0</v>
      </c>
      <c r="H146" s="117">
        <f t="shared" ref="H146" si="200">H35+H89</f>
        <v>0</v>
      </c>
      <c r="I146" s="117">
        <f t="shared" ref="I146" si="201">I35+I89</f>
        <v>0</v>
      </c>
      <c r="J146" s="117">
        <f t="shared" si="22"/>
        <v>0</v>
      </c>
      <c r="K146" s="117">
        <f t="shared" ref="K146" si="202">K35+K89</f>
        <v>0</v>
      </c>
      <c r="L146" s="117">
        <f t="shared" si="22"/>
        <v>0</v>
      </c>
      <c r="M146" s="117">
        <f t="shared" ref="M146:AG146" si="203">M35+M89</f>
        <v>0</v>
      </c>
      <c r="N146" s="117">
        <f t="shared" ref="N146:O146" si="204">N35+N89</f>
        <v>0</v>
      </c>
      <c r="O146" s="117">
        <f t="shared" si="204"/>
        <v>0</v>
      </c>
      <c r="P146" s="117">
        <f t="shared" si="203"/>
        <v>0</v>
      </c>
      <c r="Q146" s="117">
        <f t="shared" si="203"/>
        <v>0</v>
      </c>
      <c r="R146" s="117">
        <f t="shared" si="203"/>
        <v>0</v>
      </c>
      <c r="S146" s="117">
        <f t="shared" si="203"/>
        <v>0</v>
      </c>
      <c r="T146" s="117">
        <f t="shared" ref="T146:U146" si="205">T35+T89</f>
        <v>0</v>
      </c>
      <c r="U146" s="117">
        <f t="shared" si="205"/>
        <v>0</v>
      </c>
      <c r="V146" s="117">
        <f t="shared" si="203"/>
        <v>0</v>
      </c>
      <c r="W146" s="117">
        <f t="shared" si="203"/>
        <v>0</v>
      </c>
      <c r="X146" s="117">
        <f t="shared" si="203"/>
        <v>0</v>
      </c>
      <c r="Y146" s="117">
        <f t="shared" si="203"/>
        <v>0</v>
      </c>
      <c r="Z146" s="117">
        <f t="shared" si="203"/>
        <v>0</v>
      </c>
      <c r="AA146" s="117">
        <f t="shared" ref="AA146:AC146" si="206">AA35+AA89</f>
        <v>0</v>
      </c>
      <c r="AB146" s="117">
        <f t="shared" si="206"/>
        <v>0</v>
      </c>
      <c r="AC146" s="117">
        <f t="shared" si="206"/>
        <v>0</v>
      </c>
      <c r="AD146" s="117">
        <f t="shared" ref="AD146" si="207">AD35+AD89</f>
        <v>0</v>
      </c>
      <c r="AE146" s="117">
        <f t="shared" ref="AE146:AF146" si="208">AE35+AE89</f>
        <v>0</v>
      </c>
      <c r="AF146" s="117">
        <f t="shared" si="208"/>
        <v>0</v>
      </c>
      <c r="AG146" s="117">
        <f t="shared" si="203"/>
        <v>0</v>
      </c>
      <c r="AH146" s="117">
        <f t="shared" ref="AH146:AI146" si="209">AH35+AH89</f>
        <v>0</v>
      </c>
      <c r="AI146" s="117">
        <f t="shared" si="209"/>
        <v>0</v>
      </c>
      <c r="AJ146" s="117">
        <f t="shared" ref="AJ146" si="210">AJ35+AJ89</f>
        <v>0</v>
      </c>
      <c r="AK146" s="117"/>
      <c r="AL146" s="117"/>
      <c r="AM146" s="117"/>
      <c r="AN146" s="117"/>
      <c r="AO146" s="117"/>
      <c r="AP146" s="117"/>
      <c r="AQ146" s="117"/>
      <c r="AR146" s="117"/>
      <c r="AS146" s="117"/>
      <c r="AT146" s="117"/>
      <c r="AU146" s="117"/>
      <c r="AV146" s="117"/>
      <c r="AW146" s="117"/>
      <c r="AX146" s="117"/>
      <c r="AY146" s="117"/>
      <c r="AZ146" s="117"/>
      <c r="BA146" s="117"/>
      <c r="BB146" s="117"/>
      <c r="BC146" s="117"/>
      <c r="BD146" s="117"/>
      <c r="BE146" s="117"/>
      <c r="BF146" s="117"/>
      <c r="BG146" s="117"/>
      <c r="BH146" s="117"/>
      <c r="BI146" s="117"/>
      <c r="BJ146" s="117"/>
      <c r="BK146" s="117"/>
      <c r="BL146" s="117"/>
      <c r="BM146" s="117"/>
      <c r="BN146" s="117"/>
      <c r="BO146" s="117"/>
      <c r="BP146" s="117"/>
      <c r="BQ146" s="117"/>
      <c r="BR146" s="117"/>
      <c r="BS146" s="117"/>
      <c r="BT146" s="117"/>
    </row>
    <row r="147" spans="1:72" s="108" customFormat="1" hidden="1" outlineLevel="1" x14ac:dyDescent="0.25">
      <c r="A147" s="112" t="s">
        <v>73</v>
      </c>
      <c r="B147" s="116">
        <f t="shared" ref="B147:D147" si="211">B36+B90</f>
        <v>0</v>
      </c>
      <c r="C147" s="116">
        <f t="shared" ref="C147" si="212">C36+C90</f>
        <v>0</v>
      </c>
      <c r="D147" s="116">
        <f t="shared" si="211"/>
        <v>0</v>
      </c>
      <c r="E147" s="116">
        <f t="shared" ref="E147" si="213">E36+E90</f>
        <v>0</v>
      </c>
      <c r="F147" s="116">
        <f>F36+F90</f>
        <v>0</v>
      </c>
      <c r="G147" s="116">
        <f t="shared" si="22"/>
        <v>0</v>
      </c>
      <c r="H147" s="116">
        <f t="shared" ref="H147" si="214">H36+H90</f>
        <v>0</v>
      </c>
      <c r="I147" s="116">
        <f t="shared" ref="I147" si="215">I36+I90</f>
        <v>0</v>
      </c>
      <c r="J147" s="116">
        <f t="shared" si="22"/>
        <v>0.46600000000000003</v>
      </c>
      <c r="K147" s="116">
        <f t="shared" ref="K147" si="216">K36+K90</f>
        <v>0.46600000000000003</v>
      </c>
      <c r="L147" s="116">
        <f t="shared" si="22"/>
        <v>0.46600000000000003</v>
      </c>
      <c r="M147" s="116">
        <f t="shared" ref="M147:AG147" si="217">M36+M90</f>
        <v>0.69100000000000006</v>
      </c>
      <c r="N147" s="116">
        <f t="shared" ref="N147:O147" si="218">N36+N90</f>
        <v>0.69100000000000006</v>
      </c>
      <c r="O147" s="116">
        <f t="shared" si="218"/>
        <v>0.69100000000000006</v>
      </c>
      <c r="P147" s="116">
        <f t="shared" si="217"/>
        <v>0.69100000000000006</v>
      </c>
      <c r="Q147" s="116">
        <f t="shared" si="217"/>
        <v>0.69100000000000006</v>
      </c>
      <c r="R147" s="116">
        <f t="shared" si="217"/>
        <v>0.89100000000000001</v>
      </c>
      <c r="S147" s="116">
        <f t="shared" si="217"/>
        <v>0.69100000000000006</v>
      </c>
      <c r="T147" s="116">
        <f t="shared" ref="T147:U147" si="219">T36+T90</f>
        <v>0.69100000000000006</v>
      </c>
      <c r="U147" s="116">
        <f t="shared" si="219"/>
        <v>0.69100000000000006</v>
      </c>
      <c r="V147" s="116">
        <f t="shared" si="217"/>
        <v>0.69100000000000006</v>
      </c>
      <c r="W147" s="116">
        <f t="shared" si="217"/>
        <v>0.69100000000000006</v>
      </c>
      <c r="X147" s="116">
        <f t="shared" si="217"/>
        <v>0</v>
      </c>
      <c r="Y147" s="116">
        <f t="shared" si="217"/>
        <v>0</v>
      </c>
      <c r="Z147" s="116">
        <f t="shared" si="217"/>
        <v>0</v>
      </c>
      <c r="AA147" s="116">
        <f t="shared" ref="AA147:AC147" si="220">AA36+AA90</f>
        <v>0</v>
      </c>
      <c r="AB147" s="116">
        <f t="shared" si="220"/>
        <v>0</v>
      </c>
      <c r="AC147" s="116">
        <f t="shared" si="220"/>
        <v>0</v>
      </c>
      <c r="AD147" s="116">
        <f t="shared" ref="AD147" si="221">AD36+AD90</f>
        <v>0</v>
      </c>
      <c r="AE147" s="116">
        <f t="shared" ref="AE147:AF147" si="222">AE36+AE90</f>
        <v>0</v>
      </c>
      <c r="AF147" s="116">
        <f t="shared" si="222"/>
        <v>0</v>
      </c>
      <c r="AG147" s="116">
        <f t="shared" si="217"/>
        <v>0.69100000000000006</v>
      </c>
      <c r="AH147" s="116">
        <f t="shared" ref="AH147:AI147" si="223">AH36+AH90</f>
        <v>0.69100000000000006</v>
      </c>
      <c r="AI147" s="116">
        <f t="shared" si="223"/>
        <v>0.46600000000000003</v>
      </c>
      <c r="AJ147" s="116">
        <f t="shared" ref="AJ147" si="224">AJ36+AJ90</f>
        <v>0.46600000000000003</v>
      </c>
      <c r="AK147" s="116"/>
      <c r="AL147" s="116"/>
      <c r="AM147" s="116"/>
      <c r="AN147" s="116"/>
      <c r="AO147" s="116"/>
      <c r="AP147" s="116"/>
      <c r="AQ147" s="116"/>
      <c r="AR147" s="116"/>
      <c r="AS147" s="116"/>
      <c r="AT147" s="116"/>
      <c r="AU147" s="116"/>
      <c r="AV147" s="116"/>
      <c r="AW147" s="116"/>
      <c r="AX147" s="116"/>
      <c r="AY147" s="116"/>
      <c r="AZ147" s="116"/>
      <c r="BA147" s="116"/>
      <c r="BB147" s="116"/>
      <c r="BC147" s="116"/>
      <c r="BD147" s="116"/>
      <c r="BE147" s="116"/>
      <c r="BF147" s="116"/>
      <c r="BG147" s="116"/>
      <c r="BH147" s="116"/>
      <c r="BI147" s="116"/>
      <c r="BJ147" s="116"/>
      <c r="BK147" s="116"/>
      <c r="BL147" s="116"/>
      <c r="BM147" s="116"/>
      <c r="BN147" s="116"/>
      <c r="BO147" s="116"/>
      <c r="BP147" s="116"/>
      <c r="BQ147" s="116"/>
      <c r="BR147" s="116"/>
      <c r="BS147" s="116"/>
      <c r="BT147" s="116"/>
    </row>
    <row r="148" spans="1:72" s="109" customFormat="1" hidden="1" outlineLevel="1" x14ac:dyDescent="0.25">
      <c r="A148" s="112" t="s">
        <v>74</v>
      </c>
      <c r="B148" s="117">
        <f t="shared" ref="B148:D148" si="225">B37+B91</f>
        <v>0</v>
      </c>
      <c r="C148" s="117">
        <f t="shared" ref="C148" si="226">C37+C91</f>
        <v>0</v>
      </c>
      <c r="D148" s="117">
        <f t="shared" si="225"/>
        <v>0</v>
      </c>
      <c r="E148" s="117">
        <f t="shared" ref="E148" si="227">E37+E91</f>
        <v>0</v>
      </c>
      <c r="F148" s="117">
        <f t="shared" si="22"/>
        <v>0</v>
      </c>
      <c r="G148" s="117">
        <f t="shared" si="22"/>
        <v>0</v>
      </c>
      <c r="H148" s="117">
        <f t="shared" ref="H148" si="228">H37+H91</f>
        <v>0</v>
      </c>
      <c r="I148" s="117">
        <f t="shared" ref="I148" si="229">I37+I91</f>
        <v>0</v>
      </c>
      <c r="J148" s="117">
        <f t="shared" si="22"/>
        <v>0</v>
      </c>
      <c r="K148" s="117">
        <f t="shared" ref="K148" si="230">K37+K91</f>
        <v>0</v>
      </c>
      <c r="L148" s="117">
        <f t="shared" si="22"/>
        <v>0</v>
      </c>
      <c r="M148" s="117">
        <f t="shared" ref="M148:AG148" si="231">M37+M91</f>
        <v>0</v>
      </c>
      <c r="N148" s="117">
        <f t="shared" ref="N148:O148" si="232">N37+N91</f>
        <v>0</v>
      </c>
      <c r="O148" s="117">
        <f t="shared" si="232"/>
        <v>0</v>
      </c>
      <c r="P148" s="117">
        <f t="shared" si="231"/>
        <v>0</v>
      </c>
      <c r="Q148" s="117">
        <f t="shared" si="231"/>
        <v>0</v>
      </c>
      <c r="R148" s="117">
        <f t="shared" si="231"/>
        <v>0</v>
      </c>
      <c r="S148" s="117">
        <f t="shared" si="231"/>
        <v>0</v>
      </c>
      <c r="T148" s="117">
        <f t="shared" ref="T148:U148" si="233">T37+T91</f>
        <v>0</v>
      </c>
      <c r="U148" s="117">
        <f t="shared" si="233"/>
        <v>0</v>
      </c>
      <c r="V148" s="117">
        <f t="shared" si="231"/>
        <v>0</v>
      </c>
      <c r="W148" s="117">
        <f t="shared" si="231"/>
        <v>0</v>
      </c>
      <c r="X148" s="117">
        <f t="shared" si="231"/>
        <v>0</v>
      </c>
      <c r="Y148" s="117">
        <f t="shared" si="231"/>
        <v>0</v>
      </c>
      <c r="Z148" s="117">
        <f t="shared" si="231"/>
        <v>0</v>
      </c>
      <c r="AA148" s="117">
        <f t="shared" ref="AA148:AC148" si="234">AA37+AA91</f>
        <v>0</v>
      </c>
      <c r="AB148" s="117">
        <f t="shared" si="234"/>
        <v>0</v>
      </c>
      <c r="AC148" s="117">
        <f t="shared" si="234"/>
        <v>0</v>
      </c>
      <c r="AD148" s="117">
        <f t="shared" ref="AD148" si="235">AD37+AD91</f>
        <v>0</v>
      </c>
      <c r="AE148" s="117">
        <f t="shared" ref="AE148:AF148" si="236">AE37+AE91</f>
        <v>0</v>
      </c>
      <c r="AF148" s="117">
        <f t="shared" si="236"/>
        <v>0</v>
      </c>
      <c r="AG148" s="117">
        <f t="shared" si="231"/>
        <v>0</v>
      </c>
      <c r="AH148" s="117">
        <f t="shared" ref="AH148:AI148" si="237">AH37+AH91</f>
        <v>0</v>
      </c>
      <c r="AI148" s="117">
        <f t="shared" si="237"/>
        <v>0</v>
      </c>
      <c r="AJ148" s="117">
        <f t="shared" ref="AJ148" si="238">AJ37+AJ91</f>
        <v>0</v>
      </c>
      <c r="AK148" s="117"/>
      <c r="AL148" s="117"/>
      <c r="AM148" s="117"/>
      <c r="AN148" s="117"/>
      <c r="AO148" s="117"/>
      <c r="AP148" s="117"/>
      <c r="AQ148" s="117"/>
      <c r="AR148" s="117"/>
      <c r="AS148" s="117"/>
      <c r="AT148" s="117"/>
      <c r="AU148" s="117"/>
      <c r="AV148" s="117"/>
      <c r="AW148" s="117"/>
      <c r="AX148" s="117"/>
      <c r="AY148" s="117"/>
      <c r="AZ148" s="117"/>
      <c r="BA148" s="117"/>
      <c r="BB148" s="117"/>
      <c r="BC148" s="117"/>
      <c r="BD148" s="117"/>
      <c r="BE148" s="117"/>
      <c r="BF148" s="117"/>
      <c r="BG148" s="117"/>
      <c r="BH148" s="117"/>
      <c r="BI148" s="117"/>
      <c r="BJ148" s="117"/>
      <c r="BK148" s="117"/>
      <c r="BL148" s="117"/>
      <c r="BM148" s="117"/>
      <c r="BN148" s="117"/>
      <c r="BO148" s="117"/>
      <c r="BP148" s="117"/>
      <c r="BQ148" s="117"/>
      <c r="BR148" s="117"/>
      <c r="BS148" s="117"/>
      <c r="BT148" s="117"/>
    </row>
    <row r="149" spans="1:72" s="108" customFormat="1" hidden="1" outlineLevel="1" x14ac:dyDescent="0.25">
      <c r="A149" s="112" t="s">
        <v>75</v>
      </c>
      <c r="B149" s="116">
        <f t="shared" ref="B149:L149" si="239">B38+B92</f>
        <v>0</v>
      </c>
      <c r="C149" s="116">
        <f t="shared" si="239"/>
        <v>0</v>
      </c>
      <c r="D149" s="116">
        <f t="shared" si="239"/>
        <v>0</v>
      </c>
      <c r="E149" s="116">
        <f t="shared" si="239"/>
        <v>0</v>
      </c>
      <c r="F149" s="116">
        <f t="shared" si="239"/>
        <v>0.66600000000000004</v>
      </c>
      <c r="G149" s="116">
        <f t="shared" si="239"/>
        <v>0.66600000000000004</v>
      </c>
      <c r="H149" s="116">
        <f t="shared" si="239"/>
        <v>0.66600000000000004</v>
      </c>
      <c r="I149" s="116">
        <f t="shared" si="239"/>
        <v>0.66600000000000004</v>
      </c>
      <c r="J149" s="116">
        <f t="shared" si="239"/>
        <v>0</v>
      </c>
      <c r="K149" s="116">
        <f t="shared" si="239"/>
        <v>0</v>
      </c>
      <c r="L149" s="116">
        <f t="shared" si="239"/>
        <v>0</v>
      </c>
      <c r="M149" s="116">
        <f t="shared" ref="M149:AG149" si="240">M38+M92</f>
        <v>0</v>
      </c>
      <c r="N149" s="116">
        <f t="shared" ref="N149:O149" si="241">N38+N92</f>
        <v>0</v>
      </c>
      <c r="O149" s="116">
        <f t="shared" si="241"/>
        <v>0</v>
      </c>
      <c r="P149" s="116">
        <f t="shared" si="240"/>
        <v>0</v>
      </c>
      <c r="Q149" s="116">
        <f t="shared" si="240"/>
        <v>0</v>
      </c>
      <c r="R149" s="116">
        <f t="shared" si="240"/>
        <v>0</v>
      </c>
      <c r="S149" s="116">
        <f t="shared" si="240"/>
        <v>0</v>
      </c>
      <c r="T149" s="116">
        <f t="shared" ref="T149:U149" si="242">T38+T92</f>
        <v>0</v>
      </c>
      <c r="U149" s="116">
        <f t="shared" si="242"/>
        <v>0</v>
      </c>
      <c r="V149" s="116">
        <f t="shared" si="240"/>
        <v>0</v>
      </c>
      <c r="W149" s="116">
        <f t="shared" si="240"/>
        <v>0</v>
      </c>
      <c r="X149" s="116">
        <f t="shared" si="240"/>
        <v>0</v>
      </c>
      <c r="Y149" s="116">
        <f t="shared" si="240"/>
        <v>0</v>
      </c>
      <c r="Z149" s="116">
        <f t="shared" si="240"/>
        <v>0</v>
      </c>
      <c r="AA149" s="116">
        <f t="shared" ref="AA149:AC149" si="243">AA38+AA92</f>
        <v>0</v>
      </c>
      <c r="AB149" s="116">
        <f t="shared" si="243"/>
        <v>0</v>
      </c>
      <c r="AC149" s="116">
        <f t="shared" si="243"/>
        <v>0</v>
      </c>
      <c r="AD149" s="116">
        <f t="shared" ref="AD149" si="244">AD38+AD92</f>
        <v>0</v>
      </c>
      <c r="AE149" s="116">
        <f t="shared" ref="AE149:AF149" si="245">AE38+AE92</f>
        <v>0</v>
      </c>
      <c r="AF149" s="116">
        <f t="shared" si="245"/>
        <v>0</v>
      </c>
      <c r="AG149" s="116">
        <f t="shared" si="240"/>
        <v>0</v>
      </c>
      <c r="AH149" s="116">
        <f t="shared" ref="AH149:AI149" si="246">AH38+AH92</f>
        <v>0</v>
      </c>
      <c r="AI149" s="116">
        <f t="shared" si="246"/>
        <v>0</v>
      </c>
      <c r="AJ149" s="116">
        <f t="shared" ref="AJ149" si="247">AJ38+AJ92</f>
        <v>0</v>
      </c>
      <c r="AK149" s="116"/>
      <c r="AL149" s="116"/>
      <c r="AM149" s="116"/>
      <c r="AN149" s="116"/>
      <c r="AO149" s="116"/>
      <c r="AP149" s="116"/>
      <c r="AQ149" s="116"/>
      <c r="AR149" s="116"/>
      <c r="AS149" s="116"/>
      <c r="AT149" s="116"/>
      <c r="AU149" s="116"/>
      <c r="AV149" s="116"/>
      <c r="AW149" s="116"/>
      <c r="AX149" s="116"/>
      <c r="AY149" s="116"/>
      <c r="AZ149" s="116"/>
      <c r="BA149" s="116"/>
      <c r="BB149" s="116"/>
      <c r="BC149" s="116"/>
      <c r="BD149" s="116"/>
      <c r="BE149" s="116"/>
      <c r="BF149" s="116"/>
      <c r="BG149" s="116"/>
      <c r="BH149" s="116"/>
      <c r="BI149" s="116"/>
      <c r="BJ149" s="116"/>
      <c r="BK149" s="116"/>
      <c r="BL149" s="116"/>
      <c r="BM149" s="116"/>
      <c r="BN149" s="116"/>
      <c r="BO149" s="116"/>
      <c r="BP149" s="116"/>
      <c r="BQ149" s="116"/>
      <c r="BR149" s="116"/>
      <c r="BS149" s="116"/>
      <c r="BT149" s="116"/>
    </row>
    <row r="150" spans="1:72" s="109" customFormat="1" hidden="1" outlineLevel="1" x14ac:dyDescent="0.25">
      <c r="A150" s="112" t="s">
        <v>76</v>
      </c>
      <c r="B150" s="117">
        <f t="shared" ref="B150:D150" ca="1" si="248">B39+B93</f>
        <v>0.90168000000000004</v>
      </c>
      <c r="C150" s="117">
        <f t="shared" ref="C150" ca="1" si="249">C39+C93</f>
        <v>0.90168000000000004</v>
      </c>
      <c r="D150" s="117">
        <f t="shared" ca="1" si="248"/>
        <v>0.90168000000000004</v>
      </c>
      <c r="E150" s="117">
        <f t="shared" ref="E150" ca="1" si="250">E39+E93</f>
        <v>0.90168000000000004</v>
      </c>
      <c r="F150" s="117">
        <f t="shared" si="22"/>
        <v>0</v>
      </c>
      <c r="G150" s="117">
        <f t="shared" si="22"/>
        <v>0</v>
      </c>
      <c r="H150" s="117">
        <f t="shared" ref="H150" si="251">H39+H93</f>
        <v>0</v>
      </c>
      <c r="I150" s="117">
        <f t="shared" ref="I150" si="252">I39+I93</f>
        <v>0</v>
      </c>
      <c r="J150" s="117">
        <f t="shared" si="22"/>
        <v>0</v>
      </c>
      <c r="K150" s="117">
        <f t="shared" ref="K150" si="253">K39+K93</f>
        <v>0</v>
      </c>
      <c r="L150" s="117">
        <f t="shared" si="22"/>
        <v>0</v>
      </c>
      <c r="M150" s="117">
        <f t="shared" ref="M150:AG150" si="254">M39+M93</f>
        <v>0</v>
      </c>
      <c r="N150" s="117">
        <f t="shared" ref="N150:O150" si="255">N39+N93</f>
        <v>0</v>
      </c>
      <c r="O150" s="117">
        <f t="shared" si="255"/>
        <v>0</v>
      </c>
      <c r="P150" s="117">
        <f t="shared" si="254"/>
        <v>0</v>
      </c>
      <c r="Q150" s="117">
        <f t="shared" si="254"/>
        <v>0</v>
      </c>
      <c r="R150" s="117">
        <f t="shared" si="254"/>
        <v>0</v>
      </c>
      <c r="S150" s="117">
        <f t="shared" si="254"/>
        <v>0</v>
      </c>
      <c r="T150" s="117">
        <f t="shared" ref="T150:U150" si="256">T39+T93</f>
        <v>0</v>
      </c>
      <c r="U150" s="117">
        <f t="shared" si="256"/>
        <v>0</v>
      </c>
      <c r="V150" s="117">
        <f t="shared" si="254"/>
        <v>0</v>
      </c>
      <c r="W150" s="117">
        <f t="shared" si="254"/>
        <v>0</v>
      </c>
      <c r="X150" s="117">
        <f t="shared" ca="1" si="254"/>
        <v>0.90168000000000004</v>
      </c>
      <c r="Y150" s="117">
        <f t="shared" ca="1" si="254"/>
        <v>0.90168000000000004</v>
      </c>
      <c r="Z150" s="117">
        <f t="shared" ca="1" si="254"/>
        <v>0.90168000000000004</v>
      </c>
      <c r="AA150" s="117">
        <f t="shared" ref="AA150:AC150" ca="1" si="257">AA39+AA93</f>
        <v>0.90168000000000004</v>
      </c>
      <c r="AB150" s="117">
        <f t="shared" ca="1" si="257"/>
        <v>0.90168000000000004</v>
      </c>
      <c r="AC150" s="117">
        <f t="shared" ca="1" si="257"/>
        <v>0.90168000000000004</v>
      </c>
      <c r="AD150" s="117">
        <f t="shared" ref="AD150" ca="1" si="258">AD39+AD93</f>
        <v>0.90168000000000004</v>
      </c>
      <c r="AE150" s="117">
        <f t="shared" ref="AE150:AF150" ca="1" si="259">AE39+AE93</f>
        <v>0.90168000000000004</v>
      </c>
      <c r="AF150" s="117">
        <f t="shared" ca="1" si="259"/>
        <v>0.90168000000000004</v>
      </c>
      <c r="AG150" s="117">
        <f t="shared" si="254"/>
        <v>0</v>
      </c>
      <c r="AH150" s="117">
        <f t="shared" ref="AH150:AI150" si="260">AH39+AH93</f>
        <v>0</v>
      </c>
      <c r="AI150" s="117">
        <f t="shared" si="260"/>
        <v>0</v>
      </c>
      <c r="AJ150" s="117">
        <f t="shared" ref="AJ150" si="261">AJ39+AJ93</f>
        <v>0</v>
      </c>
      <c r="AK150" s="117"/>
      <c r="AL150" s="117"/>
      <c r="AM150" s="117"/>
      <c r="AN150" s="117"/>
      <c r="AO150" s="117"/>
      <c r="AP150" s="117"/>
      <c r="AQ150" s="117"/>
      <c r="AR150" s="117"/>
      <c r="AS150" s="117"/>
      <c r="AT150" s="117"/>
      <c r="AU150" s="117"/>
      <c r="AV150" s="117"/>
      <c r="AW150" s="117"/>
      <c r="AX150" s="117"/>
      <c r="AY150" s="117"/>
      <c r="AZ150" s="117"/>
      <c r="BA150" s="117"/>
      <c r="BB150" s="117"/>
      <c r="BC150" s="117"/>
      <c r="BD150" s="117"/>
      <c r="BE150" s="117"/>
      <c r="BF150" s="117"/>
      <c r="BG150" s="117"/>
      <c r="BH150" s="117"/>
      <c r="BI150" s="117"/>
      <c r="BJ150" s="117"/>
      <c r="BK150" s="117"/>
      <c r="BL150" s="117"/>
      <c r="BM150" s="117"/>
      <c r="BN150" s="117"/>
      <c r="BO150" s="117"/>
      <c r="BP150" s="117"/>
      <c r="BQ150" s="117"/>
      <c r="BR150" s="117"/>
      <c r="BS150" s="117"/>
      <c r="BT150" s="117"/>
    </row>
    <row r="151" spans="1:72" s="108" customFormat="1" hidden="1" outlineLevel="1" x14ac:dyDescent="0.25">
      <c r="A151" s="112" t="s">
        <v>77</v>
      </c>
      <c r="B151" s="116">
        <f t="shared" ref="B151:D151" si="262">B40+B94</f>
        <v>0</v>
      </c>
      <c r="C151" s="116">
        <f t="shared" ref="C151" si="263">C40+C94</f>
        <v>0</v>
      </c>
      <c r="D151" s="116">
        <f t="shared" si="262"/>
        <v>0</v>
      </c>
      <c r="E151" s="116">
        <f t="shared" ref="E151" si="264">E40+E94</f>
        <v>0</v>
      </c>
      <c r="F151" s="116">
        <f t="shared" si="22"/>
        <v>0</v>
      </c>
      <c r="G151" s="116">
        <f t="shared" si="22"/>
        <v>0</v>
      </c>
      <c r="H151" s="116">
        <f t="shared" ref="H151" si="265">H40+H94</f>
        <v>0</v>
      </c>
      <c r="I151" s="116">
        <f t="shared" ref="I151" si="266">I40+I94</f>
        <v>0</v>
      </c>
      <c r="J151" s="116">
        <f t="shared" si="22"/>
        <v>0</v>
      </c>
      <c r="K151" s="116">
        <f t="shared" ref="K151" si="267">K40+K94</f>
        <v>0</v>
      </c>
      <c r="L151" s="116">
        <f t="shared" si="22"/>
        <v>0</v>
      </c>
      <c r="M151" s="116">
        <f t="shared" ref="M151:AG151" si="268">M40+M94</f>
        <v>0</v>
      </c>
      <c r="N151" s="116">
        <f t="shared" ref="N151:O151" si="269">N40+N94</f>
        <v>0</v>
      </c>
      <c r="O151" s="116">
        <f t="shared" si="269"/>
        <v>0</v>
      </c>
      <c r="P151" s="116">
        <f t="shared" si="268"/>
        <v>0</v>
      </c>
      <c r="Q151" s="116">
        <f t="shared" si="268"/>
        <v>0</v>
      </c>
      <c r="R151" s="116">
        <f t="shared" si="268"/>
        <v>0</v>
      </c>
      <c r="S151" s="116">
        <f t="shared" si="268"/>
        <v>0</v>
      </c>
      <c r="T151" s="116">
        <f t="shared" ref="T151:U151" si="270">T40+T94</f>
        <v>0</v>
      </c>
      <c r="U151" s="116">
        <f t="shared" si="270"/>
        <v>0</v>
      </c>
      <c r="V151" s="116">
        <f t="shared" si="268"/>
        <v>0</v>
      </c>
      <c r="W151" s="116">
        <f t="shared" si="268"/>
        <v>0</v>
      </c>
      <c r="X151" s="116">
        <f t="shared" si="268"/>
        <v>0</v>
      </c>
      <c r="Y151" s="116">
        <f t="shared" si="268"/>
        <v>0</v>
      </c>
      <c r="Z151" s="116">
        <f t="shared" si="268"/>
        <v>0</v>
      </c>
      <c r="AA151" s="116">
        <f t="shared" ref="AA151:AC151" si="271">AA40+AA94</f>
        <v>0</v>
      </c>
      <c r="AB151" s="116">
        <f t="shared" si="271"/>
        <v>0</v>
      </c>
      <c r="AC151" s="116">
        <f t="shared" si="271"/>
        <v>0</v>
      </c>
      <c r="AD151" s="116">
        <f t="shared" ref="AD151" si="272">AD40+AD94</f>
        <v>0</v>
      </c>
      <c r="AE151" s="116">
        <f t="shared" ref="AE151:AF151" si="273">AE40+AE94</f>
        <v>0</v>
      </c>
      <c r="AF151" s="116">
        <f t="shared" si="273"/>
        <v>0</v>
      </c>
      <c r="AG151" s="116">
        <f t="shared" si="268"/>
        <v>0</v>
      </c>
      <c r="AH151" s="116">
        <f t="shared" ref="AH151:AI151" si="274">AH40+AH94</f>
        <v>0</v>
      </c>
      <c r="AI151" s="116">
        <f t="shared" si="274"/>
        <v>0</v>
      </c>
      <c r="AJ151" s="116">
        <f t="shared" ref="AJ151" si="275">AJ40+AJ94</f>
        <v>0</v>
      </c>
      <c r="AK151" s="116"/>
      <c r="AL151" s="116"/>
      <c r="AM151" s="116"/>
      <c r="AN151" s="116"/>
      <c r="AO151" s="116"/>
      <c r="AP151" s="116"/>
      <c r="AQ151" s="116"/>
      <c r="AR151" s="116"/>
      <c r="AS151" s="116"/>
      <c r="AT151" s="116"/>
      <c r="AU151" s="116"/>
      <c r="AV151" s="116"/>
      <c r="AW151" s="116"/>
      <c r="AX151" s="116"/>
      <c r="AY151" s="116"/>
      <c r="AZ151" s="116"/>
      <c r="BA151" s="116"/>
      <c r="BB151" s="116"/>
      <c r="BC151" s="116"/>
      <c r="BD151" s="116"/>
      <c r="BE151" s="116"/>
      <c r="BF151" s="116"/>
      <c r="BG151" s="116"/>
      <c r="BH151" s="116"/>
      <c r="BI151" s="116"/>
      <c r="BJ151" s="116"/>
      <c r="BK151" s="116"/>
      <c r="BL151" s="116"/>
      <c r="BM151" s="116"/>
      <c r="BN151" s="116"/>
      <c r="BO151" s="116"/>
      <c r="BP151" s="116"/>
      <c r="BQ151" s="116"/>
      <c r="BR151" s="116"/>
      <c r="BS151" s="116"/>
      <c r="BT151" s="116"/>
    </row>
    <row r="152" spans="1:72" s="109" customFormat="1" hidden="1" outlineLevel="1" x14ac:dyDescent="0.25">
      <c r="A152" s="112" t="s">
        <v>78</v>
      </c>
      <c r="B152" s="117">
        <f t="shared" ref="B152:D152" si="276">B41+B95</f>
        <v>0</v>
      </c>
      <c r="C152" s="117">
        <f t="shared" ref="C152" si="277">C41+C95</f>
        <v>0</v>
      </c>
      <c r="D152" s="117">
        <f t="shared" si="276"/>
        <v>0</v>
      </c>
      <c r="E152" s="117">
        <f t="shared" ref="E152" si="278">E41+E95</f>
        <v>0</v>
      </c>
      <c r="F152" s="117">
        <f t="shared" si="22"/>
        <v>0</v>
      </c>
      <c r="G152" s="117">
        <f t="shared" si="22"/>
        <v>0</v>
      </c>
      <c r="H152" s="117">
        <f t="shared" ref="H152" si="279">H41+H95</f>
        <v>0</v>
      </c>
      <c r="I152" s="117">
        <f t="shared" ref="I152" si="280">I41+I95</f>
        <v>0</v>
      </c>
      <c r="J152" s="117">
        <f t="shared" si="22"/>
        <v>0</v>
      </c>
      <c r="K152" s="117">
        <f t="shared" ref="K152" si="281">K41+K95</f>
        <v>0</v>
      </c>
      <c r="L152" s="117">
        <f t="shared" si="22"/>
        <v>0</v>
      </c>
      <c r="M152" s="117">
        <f t="shared" ref="M152:AG152" si="282">M41+M95</f>
        <v>0</v>
      </c>
      <c r="N152" s="117">
        <f t="shared" ref="N152:O152" si="283">N41+N95</f>
        <v>0</v>
      </c>
      <c r="O152" s="117">
        <f t="shared" si="283"/>
        <v>0</v>
      </c>
      <c r="P152" s="117">
        <f t="shared" si="282"/>
        <v>0</v>
      </c>
      <c r="Q152" s="117">
        <f t="shared" si="282"/>
        <v>0</v>
      </c>
      <c r="R152" s="117">
        <f t="shared" si="282"/>
        <v>0</v>
      </c>
      <c r="S152" s="117">
        <f t="shared" si="282"/>
        <v>0</v>
      </c>
      <c r="T152" s="117">
        <f t="shared" ref="T152:U152" si="284">T41+T95</f>
        <v>0</v>
      </c>
      <c r="U152" s="117">
        <f t="shared" si="284"/>
        <v>0</v>
      </c>
      <c r="V152" s="117">
        <f t="shared" si="282"/>
        <v>0</v>
      </c>
      <c r="W152" s="117">
        <f t="shared" si="282"/>
        <v>0</v>
      </c>
      <c r="X152" s="117">
        <f t="shared" si="282"/>
        <v>0</v>
      </c>
      <c r="Y152" s="117">
        <f t="shared" si="282"/>
        <v>0</v>
      </c>
      <c r="Z152" s="117">
        <f t="shared" si="282"/>
        <v>0</v>
      </c>
      <c r="AA152" s="117">
        <f t="shared" ref="AA152:AC152" si="285">AA41+AA95</f>
        <v>0</v>
      </c>
      <c r="AB152" s="117">
        <f t="shared" si="285"/>
        <v>0</v>
      </c>
      <c r="AC152" s="117">
        <f t="shared" si="285"/>
        <v>0</v>
      </c>
      <c r="AD152" s="117">
        <f t="shared" ref="AD152" si="286">AD41+AD95</f>
        <v>0</v>
      </c>
      <c r="AE152" s="117">
        <f t="shared" ref="AE152:AF152" si="287">AE41+AE95</f>
        <v>0</v>
      </c>
      <c r="AF152" s="117">
        <f t="shared" si="287"/>
        <v>0</v>
      </c>
      <c r="AG152" s="117">
        <f t="shared" si="282"/>
        <v>0</v>
      </c>
      <c r="AH152" s="117">
        <f t="shared" ref="AH152:AI152" si="288">AH41+AH95</f>
        <v>0</v>
      </c>
      <c r="AI152" s="117">
        <f t="shared" si="288"/>
        <v>0</v>
      </c>
      <c r="AJ152" s="117">
        <f t="shared" ref="AJ152" si="289">AJ41+AJ95</f>
        <v>0</v>
      </c>
      <c r="AK152" s="117"/>
      <c r="AL152" s="117"/>
      <c r="AM152" s="117"/>
      <c r="AN152" s="117"/>
      <c r="AO152" s="117"/>
      <c r="AP152" s="117"/>
      <c r="AQ152" s="117"/>
      <c r="AR152" s="117"/>
      <c r="AS152" s="117"/>
      <c r="AT152" s="117"/>
      <c r="AU152" s="117"/>
      <c r="AV152" s="117"/>
      <c r="AW152" s="117"/>
      <c r="AX152" s="117"/>
      <c r="AY152" s="117"/>
      <c r="AZ152" s="117"/>
      <c r="BA152" s="117"/>
      <c r="BB152" s="117"/>
      <c r="BC152" s="117"/>
      <c r="BD152" s="117"/>
      <c r="BE152" s="117"/>
      <c r="BF152" s="117"/>
      <c r="BG152" s="117"/>
      <c r="BH152" s="117"/>
      <c r="BI152" s="117"/>
      <c r="BJ152" s="117"/>
      <c r="BK152" s="117"/>
      <c r="BL152" s="117"/>
      <c r="BM152" s="117"/>
      <c r="BN152" s="117"/>
      <c r="BO152" s="117"/>
      <c r="BP152" s="117"/>
      <c r="BQ152" s="117"/>
      <c r="BR152" s="117"/>
      <c r="BS152" s="117"/>
      <c r="BT152" s="117"/>
    </row>
    <row r="153" spans="1:72" s="108" customFormat="1" hidden="1" outlineLevel="1" x14ac:dyDescent="0.25">
      <c r="A153" s="112" t="s">
        <v>79</v>
      </c>
      <c r="B153" s="116">
        <f t="shared" ref="B153:D153" si="290">B42+B96</f>
        <v>0</v>
      </c>
      <c r="C153" s="116">
        <f t="shared" ref="C153" si="291">C42+C96</f>
        <v>0</v>
      </c>
      <c r="D153" s="116">
        <f t="shared" si="290"/>
        <v>0</v>
      </c>
      <c r="E153" s="116">
        <f t="shared" ref="E153" si="292">E42+E96</f>
        <v>0</v>
      </c>
      <c r="F153" s="116">
        <f t="shared" ref="F153:L172" si="293">F42+F96</f>
        <v>0</v>
      </c>
      <c r="G153" s="116">
        <f t="shared" si="293"/>
        <v>0</v>
      </c>
      <c r="H153" s="116">
        <f t="shared" ref="H153" si="294">H42+H96</f>
        <v>0</v>
      </c>
      <c r="I153" s="116">
        <f t="shared" ref="I153" si="295">I42+I96</f>
        <v>0</v>
      </c>
      <c r="J153" s="116">
        <f t="shared" si="293"/>
        <v>0</v>
      </c>
      <c r="K153" s="116">
        <f t="shared" ref="K153" si="296">K42+K96</f>
        <v>0</v>
      </c>
      <c r="L153" s="116">
        <f t="shared" si="293"/>
        <v>0</v>
      </c>
      <c r="M153" s="116">
        <f t="shared" ref="M153:AG153" si="297">M42+M96</f>
        <v>0</v>
      </c>
      <c r="N153" s="116">
        <f t="shared" ref="N153:O153" si="298">N42+N96</f>
        <v>0</v>
      </c>
      <c r="O153" s="116">
        <f t="shared" si="298"/>
        <v>0</v>
      </c>
      <c r="P153" s="116">
        <f t="shared" si="297"/>
        <v>0</v>
      </c>
      <c r="Q153" s="116">
        <f t="shared" si="297"/>
        <v>0</v>
      </c>
      <c r="R153" s="116">
        <f t="shared" si="297"/>
        <v>0</v>
      </c>
      <c r="S153" s="116">
        <f t="shared" si="297"/>
        <v>0</v>
      </c>
      <c r="T153" s="116">
        <f t="shared" ref="T153:U153" si="299">T42+T96</f>
        <v>0</v>
      </c>
      <c r="U153" s="116">
        <f t="shared" si="299"/>
        <v>0</v>
      </c>
      <c r="V153" s="116">
        <f t="shared" si="297"/>
        <v>0</v>
      </c>
      <c r="W153" s="116">
        <f t="shared" si="297"/>
        <v>0</v>
      </c>
      <c r="X153" s="116">
        <f t="shared" si="297"/>
        <v>0</v>
      </c>
      <c r="Y153" s="116">
        <f t="shared" si="297"/>
        <v>0</v>
      </c>
      <c r="Z153" s="116">
        <f t="shared" si="297"/>
        <v>0</v>
      </c>
      <c r="AA153" s="116">
        <f t="shared" ref="AA153:AC153" si="300">AA42+AA96</f>
        <v>0</v>
      </c>
      <c r="AB153" s="116">
        <f t="shared" si="300"/>
        <v>0</v>
      </c>
      <c r="AC153" s="116">
        <f t="shared" si="300"/>
        <v>0</v>
      </c>
      <c r="AD153" s="116">
        <f t="shared" ref="AD153" si="301">AD42+AD96</f>
        <v>0</v>
      </c>
      <c r="AE153" s="116">
        <f t="shared" ref="AE153:AF153" si="302">AE42+AE96</f>
        <v>0</v>
      </c>
      <c r="AF153" s="116">
        <f t="shared" si="302"/>
        <v>0</v>
      </c>
      <c r="AG153" s="116">
        <f t="shared" si="297"/>
        <v>0</v>
      </c>
      <c r="AH153" s="116">
        <f t="shared" ref="AH153:AI153" si="303">AH42+AH96</f>
        <v>0</v>
      </c>
      <c r="AI153" s="116">
        <f t="shared" si="303"/>
        <v>0</v>
      </c>
      <c r="AJ153" s="116">
        <f t="shared" ref="AJ153" si="304">AJ42+AJ96</f>
        <v>0</v>
      </c>
      <c r="AK153" s="116"/>
      <c r="AL153" s="116"/>
      <c r="AM153" s="116"/>
      <c r="AN153" s="116"/>
      <c r="AO153" s="116"/>
      <c r="AP153" s="116"/>
      <c r="AQ153" s="116"/>
      <c r="AR153" s="116"/>
      <c r="AS153" s="116"/>
      <c r="AT153" s="116"/>
      <c r="AU153" s="116"/>
      <c r="AV153" s="116"/>
      <c r="AW153" s="116"/>
      <c r="AX153" s="116"/>
      <c r="AY153" s="116"/>
      <c r="AZ153" s="116"/>
      <c r="BA153" s="116"/>
      <c r="BB153" s="116"/>
      <c r="BC153" s="116"/>
      <c r="BD153" s="116"/>
      <c r="BE153" s="116"/>
      <c r="BF153" s="116"/>
      <c r="BG153" s="116"/>
      <c r="BH153" s="116"/>
      <c r="BI153" s="116"/>
      <c r="BJ153" s="116"/>
      <c r="BK153" s="116"/>
      <c r="BL153" s="116"/>
      <c r="BM153" s="116"/>
      <c r="BN153" s="116"/>
      <c r="BO153" s="116"/>
      <c r="BP153" s="116"/>
      <c r="BQ153" s="116"/>
      <c r="BR153" s="116"/>
      <c r="BS153" s="116"/>
      <c r="BT153" s="116"/>
    </row>
    <row r="154" spans="1:72" s="109" customFormat="1" hidden="1" outlineLevel="1" x14ac:dyDescent="0.25">
      <c r="A154" s="112" t="s">
        <v>80</v>
      </c>
      <c r="B154" s="117">
        <f t="shared" ref="B154:D154" si="305">B43+B97</f>
        <v>0</v>
      </c>
      <c r="C154" s="117">
        <f t="shared" ref="C154" si="306">C43+C97</f>
        <v>0</v>
      </c>
      <c r="D154" s="117">
        <f t="shared" si="305"/>
        <v>0</v>
      </c>
      <c r="E154" s="117">
        <f t="shared" ref="E154" si="307">E43+E97</f>
        <v>0</v>
      </c>
      <c r="F154" s="117">
        <f t="shared" si="293"/>
        <v>0</v>
      </c>
      <c r="G154" s="117">
        <f t="shared" si="293"/>
        <v>0</v>
      </c>
      <c r="H154" s="117">
        <f t="shared" ref="H154" si="308">H43+H97</f>
        <v>0</v>
      </c>
      <c r="I154" s="117">
        <f t="shared" ref="I154" si="309">I43+I97</f>
        <v>0</v>
      </c>
      <c r="J154" s="117">
        <f t="shared" si="293"/>
        <v>0</v>
      </c>
      <c r="K154" s="117">
        <f t="shared" ref="K154" si="310">K43+K97</f>
        <v>0</v>
      </c>
      <c r="L154" s="117">
        <f t="shared" si="293"/>
        <v>0</v>
      </c>
      <c r="M154" s="117">
        <f t="shared" ref="M154:AG154" si="311">M43+M97</f>
        <v>0</v>
      </c>
      <c r="N154" s="117">
        <f t="shared" ref="N154:O154" si="312">N43+N97</f>
        <v>0</v>
      </c>
      <c r="O154" s="117">
        <f t="shared" si="312"/>
        <v>0</v>
      </c>
      <c r="P154" s="117">
        <f t="shared" si="311"/>
        <v>0</v>
      </c>
      <c r="Q154" s="117">
        <f t="shared" si="311"/>
        <v>0</v>
      </c>
      <c r="R154" s="117">
        <f t="shared" si="311"/>
        <v>0</v>
      </c>
      <c r="S154" s="117">
        <f t="shared" si="311"/>
        <v>0</v>
      </c>
      <c r="T154" s="117">
        <f t="shared" ref="T154:U154" si="313">T43+T97</f>
        <v>0</v>
      </c>
      <c r="U154" s="117">
        <f t="shared" si="313"/>
        <v>0</v>
      </c>
      <c r="V154" s="117">
        <f t="shared" si="311"/>
        <v>0</v>
      </c>
      <c r="W154" s="117">
        <f t="shared" si="311"/>
        <v>0</v>
      </c>
      <c r="X154" s="117">
        <f t="shared" si="311"/>
        <v>0</v>
      </c>
      <c r="Y154" s="117">
        <f t="shared" si="311"/>
        <v>0</v>
      </c>
      <c r="Z154" s="117">
        <f t="shared" si="311"/>
        <v>0</v>
      </c>
      <c r="AA154" s="117">
        <f t="shared" ref="AA154:AC154" si="314">AA43+AA97</f>
        <v>0</v>
      </c>
      <c r="AB154" s="117">
        <f t="shared" si="314"/>
        <v>0</v>
      </c>
      <c r="AC154" s="117">
        <f t="shared" si="314"/>
        <v>0</v>
      </c>
      <c r="AD154" s="117">
        <f t="shared" ref="AD154" si="315">AD43+AD97</f>
        <v>0</v>
      </c>
      <c r="AE154" s="117">
        <f t="shared" ref="AE154:AF154" si="316">AE43+AE97</f>
        <v>0</v>
      </c>
      <c r="AF154" s="117">
        <f t="shared" si="316"/>
        <v>0</v>
      </c>
      <c r="AG154" s="117">
        <f t="shared" si="311"/>
        <v>0</v>
      </c>
      <c r="AH154" s="117">
        <f t="shared" ref="AH154:AI154" si="317">AH43+AH97</f>
        <v>0</v>
      </c>
      <c r="AI154" s="117">
        <f t="shared" si="317"/>
        <v>0</v>
      </c>
      <c r="AJ154" s="117">
        <f t="shared" ref="AJ154" si="318">AJ43+AJ97</f>
        <v>0</v>
      </c>
      <c r="AK154" s="117"/>
      <c r="AL154" s="117"/>
      <c r="AM154" s="117"/>
      <c r="AN154" s="117"/>
      <c r="AO154" s="117"/>
      <c r="AP154" s="117"/>
      <c r="AQ154" s="117"/>
      <c r="AR154" s="117"/>
      <c r="AS154" s="117"/>
      <c r="AT154" s="117"/>
      <c r="AU154" s="117"/>
      <c r="AV154" s="117"/>
      <c r="AW154" s="117"/>
      <c r="AX154" s="117"/>
      <c r="AY154" s="117"/>
      <c r="AZ154" s="117"/>
      <c r="BA154" s="117"/>
      <c r="BB154" s="117"/>
      <c r="BC154" s="117"/>
      <c r="BD154" s="117"/>
      <c r="BE154" s="117"/>
      <c r="BF154" s="117"/>
      <c r="BG154" s="117"/>
      <c r="BH154" s="117"/>
      <c r="BI154" s="117"/>
      <c r="BJ154" s="117"/>
      <c r="BK154" s="117"/>
      <c r="BL154" s="117"/>
      <c r="BM154" s="117"/>
      <c r="BN154" s="117"/>
      <c r="BO154" s="117"/>
      <c r="BP154" s="117"/>
      <c r="BQ154" s="117"/>
      <c r="BR154" s="117"/>
      <c r="BS154" s="117"/>
      <c r="BT154" s="117"/>
    </row>
    <row r="155" spans="1:72" s="108" customFormat="1" hidden="1" outlineLevel="1" x14ac:dyDescent="0.25">
      <c r="A155" s="112" t="s">
        <v>81</v>
      </c>
      <c r="B155" s="116">
        <f t="shared" ref="B155:D155" ca="1" si="319">B44+B98</f>
        <v>1.1123000000000001</v>
      </c>
      <c r="C155" s="116">
        <f t="shared" ref="C155" ca="1" si="320">C44+C98</f>
        <v>1.1123000000000001</v>
      </c>
      <c r="D155" s="116">
        <f t="shared" ca="1" si="319"/>
        <v>1.1123000000000001</v>
      </c>
      <c r="E155" s="116">
        <f t="shared" ref="E155" ca="1" si="321">E44+E98</f>
        <v>1.1123000000000001</v>
      </c>
      <c r="F155" s="116">
        <f t="shared" si="293"/>
        <v>0.69704999999999995</v>
      </c>
      <c r="G155" s="116">
        <f t="shared" si="293"/>
        <v>0.69704999999999995</v>
      </c>
      <c r="H155" s="116">
        <f t="shared" ref="H155" si="322">H44+H98</f>
        <v>0.69704999999999995</v>
      </c>
      <c r="I155" s="116">
        <f t="shared" ref="I155" si="323">I44+I98</f>
        <v>0.69704999999999995</v>
      </c>
      <c r="J155" s="116">
        <f t="shared" si="293"/>
        <v>0.38</v>
      </c>
      <c r="K155" s="116">
        <f t="shared" ref="K155" si="324">K44+K98</f>
        <v>0.38</v>
      </c>
      <c r="L155" s="116">
        <f t="shared" si="293"/>
        <v>0.38</v>
      </c>
      <c r="M155" s="116">
        <f t="shared" ref="M155:AG155" si="325">M44+M98</f>
        <v>0.56000000000000005</v>
      </c>
      <c r="N155" s="116">
        <f t="shared" ref="N155:O155" si="326">N44+N98</f>
        <v>0.56000000000000005</v>
      </c>
      <c r="O155" s="116">
        <f t="shared" si="326"/>
        <v>0.56000000000000005</v>
      </c>
      <c r="P155" s="116">
        <f t="shared" si="325"/>
        <v>0.56000000000000005</v>
      </c>
      <c r="Q155" s="116">
        <f t="shared" si="325"/>
        <v>0.56000000000000005</v>
      </c>
      <c r="R155" s="116">
        <f t="shared" si="325"/>
        <v>0.56000000000000005</v>
      </c>
      <c r="S155" s="116">
        <f t="shared" si="325"/>
        <v>0.56000000000000005</v>
      </c>
      <c r="T155" s="116">
        <f t="shared" ref="T155:U155" si="327">T44+T98</f>
        <v>0.56000000000000005</v>
      </c>
      <c r="U155" s="116">
        <f t="shared" si="327"/>
        <v>0.56000000000000005</v>
      </c>
      <c r="V155" s="116">
        <f t="shared" si="325"/>
        <v>0.56000000000000005</v>
      </c>
      <c r="W155" s="116">
        <f t="shared" si="325"/>
        <v>0.56000000000000005</v>
      </c>
      <c r="X155" s="116">
        <f t="shared" ca="1" si="325"/>
        <v>1.1123000000000001</v>
      </c>
      <c r="Y155" s="116">
        <f t="shared" ca="1" si="325"/>
        <v>1.1123000000000001</v>
      </c>
      <c r="Z155" s="116">
        <f t="shared" ca="1" si="325"/>
        <v>1.1123000000000001</v>
      </c>
      <c r="AA155" s="116">
        <f t="shared" ref="AA155:AC155" ca="1" si="328">AA44+AA98</f>
        <v>1.1123000000000001</v>
      </c>
      <c r="AB155" s="116">
        <f t="shared" ca="1" si="328"/>
        <v>1.1123000000000001</v>
      </c>
      <c r="AC155" s="116">
        <f t="shared" ca="1" si="328"/>
        <v>1.1123000000000001</v>
      </c>
      <c r="AD155" s="116">
        <f t="shared" ref="AD155" ca="1" si="329">AD44+AD98</f>
        <v>1.1123000000000001</v>
      </c>
      <c r="AE155" s="116">
        <f t="shared" ref="AE155:AF155" ca="1" si="330">AE44+AE98</f>
        <v>1.1123000000000001</v>
      </c>
      <c r="AF155" s="116">
        <f t="shared" ca="1" si="330"/>
        <v>1.1123000000000001</v>
      </c>
      <c r="AG155" s="116">
        <f t="shared" si="325"/>
        <v>0.56000000000000005</v>
      </c>
      <c r="AH155" s="116">
        <f t="shared" ref="AH155:AI155" si="331">AH44+AH98</f>
        <v>0.56000000000000005</v>
      </c>
      <c r="AI155" s="116">
        <f t="shared" si="331"/>
        <v>0.38</v>
      </c>
      <c r="AJ155" s="116">
        <f t="shared" ref="AJ155" si="332">AJ44+AJ98</f>
        <v>0.38</v>
      </c>
      <c r="AK155" s="116"/>
      <c r="AL155" s="116"/>
      <c r="AM155" s="116"/>
      <c r="AN155" s="116"/>
      <c r="AO155" s="116"/>
      <c r="AP155" s="116"/>
      <c r="AQ155" s="116"/>
      <c r="AR155" s="116"/>
      <c r="AS155" s="116"/>
      <c r="AT155" s="116"/>
      <c r="AU155" s="116"/>
      <c r="AV155" s="116"/>
      <c r="AW155" s="116"/>
      <c r="AX155" s="116"/>
      <c r="AY155" s="116"/>
      <c r="AZ155" s="116"/>
      <c r="BA155" s="116"/>
      <c r="BB155" s="116"/>
      <c r="BC155" s="116"/>
      <c r="BD155" s="116"/>
      <c r="BE155" s="116"/>
      <c r="BF155" s="116"/>
      <c r="BG155" s="116"/>
      <c r="BH155" s="116"/>
      <c r="BI155" s="116"/>
      <c r="BJ155" s="116"/>
      <c r="BK155" s="116"/>
      <c r="BL155" s="116"/>
      <c r="BM155" s="116"/>
      <c r="BN155" s="116"/>
      <c r="BO155" s="116"/>
      <c r="BP155" s="116"/>
      <c r="BQ155" s="116"/>
      <c r="BR155" s="116"/>
      <c r="BS155" s="116"/>
      <c r="BT155" s="116"/>
    </row>
    <row r="156" spans="1:72" s="109" customFormat="1" hidden="1" outlineLevel="1" x14ac:dyDescent="0.25">
      <c r="A156" s="112" t="s">
        <v>83</v>
      </c>
      <c r="B156" s="117">
        <f t="shared" ref="B156:D156" si="333">B45+B99</f>
        <v>0</v>
      </c>
      <c r="C156" s="117">
        <f t="shared" ref="C156" si="334">C45+C99</f>
        <v>0</v>
      </c>
      <c r="D156" s="117">
        <f t="shared" si="333"/>
        <v>0</v>
      </c>
      <c r="E156" s="117">
        <f t="shared" ref="E156" si="335">E45+E99</f>
        <v>0</v>
      </c>
      <c r="F156" s="117">
        <f t="shared" si="293"/>
        <v>0</v>
      </c>
      <c r="G156" s="117">
        <f t="shared" si="293"/>
        <v>0</v>
      </c>
      <c r="H156" s="117">
        <f t="shared" ref="H156" si="336">H45+H99</f>
        <v>0</v>
      </c>
      <c r="I156" s="117">
        <f t="shared" ref="I156" si="337">I45+I99</f>
        <v>0</v>
      </c>
      <c r="J156" s="117">
        <f t="shared" si="293"/>
        <v>0</v>
      </c>
      <c r="K156" s="117">
        <f t="shared" ref="K156" si="338">K45+K99</f>
        <v>0</v>
      </c>
      <c r="L156" s="117">
        <f t="shared" si="293"/>
        <v>0</v>
      </c>
      <c r="M156" s="117">
        <f t="shared" ref="M156:AG156" si="339">M45+M99</f>
        <v>0</v>
      </c>
      <c r="N156" s="117">
        <f t="shared" ref="N156:O156" si="340">N45+N99</f>
        <v>0</v>
      </c>
      <c r="O156" s="117">
        <f t="shared" si="340"/>
        <v>0</v>
      </c>
      <c r="P156" s="117">
        <f t="shared" si="339"/>
        <v>0</v>
      </c>
      <c r="Q156" s="117">
        <f t="shared" si="339"/>
        <v>0</v>
      </c>
      <c r="R156" s="117">
        <f t="shared" si="339"/>
        <v>0</v>
      </c>
      <c r="S156" s="117">
        <f t="shared" si="339"/>
        <v>0</v>
      </c>
      <c r="T156" s="117">
        <f t="shared" ref="T156:U156" si="341">T45+T99</f>
        <v>0</v>
      </c>
      <c r="U156" s="117">
        <f t="shared" si="341"/>
        <v>0</v>
      </c>
      <c r="V156" s="117">
        <f t="shared" si="339"/>
        <v>0</v>
      </c>
      <c r="W156" s="117">
        <f t="shared" si="339"/>
        <v>0</v>
      </c>
      <c r="X156" s="117">
        <f t="shared" si="339"/>
        <v>0</v>
      </c>
      <c r="Y156" s="117">
        <f t="shared" si="339"/>
        <v>0</v>
      </c>
      <c r="Z156" s="117">
        <f t="shared" si="339"/>
        <v>0</v>
      </c>
      <c r="AA156" s="117">
        <f t="shared" ref="AA156:AC156" si="342">AA45+AA99</f>
        <v>0</v>
      </c>
      <c r="AB156" s="117">
        <f t="shared" si="342"/>
        <v>0</v>
      </c>
      <c r="AC156" s="117">
        <f t="shared" si="342"/>
        <v>0</v>
      </c>
      <c r="AD156" s="117">
        <f t="shared" ref="AD156" si="343">AD45+AD99</f>
        <v>0</v>
      </c>
      <c r="AE156" s="117">
        <f t="shared" ref="AE156:AF156" si="344">AE45+AE99</f>
        <v>0</v>
      </c>
      <c r="AF156" s="117">
        <f t="shared" si="344"/>
        <v>0</v>
      </c>
      <c r="AG156" s="117">
        <f t="shared" si="339"/>
        <v>0</v>
      </c>
      <c r="AH156" s="117">
        <f t="shared" ref="AH156:AI156" si="345">AH45+AH99</f>
        <v>0</v>
      </c>
      <c r="AI156" s="117">
        <f t="shared" si="345"/>
        <v>0</v>
      </c>
      <c r="AJ156" s="117">
        <f t="shared" ref="AJ156" si="346">AJ45+AJ99</f>
        <v>0</v>
      </c>
      <c r="AK156" s="117"/>
      <c r="AL156" s="117"/>
      <c r="AM156" s="117"/>
      <c r="AN156" s="117"/>
      <c r="AO156" s="117"/>
      <c r="AP156" s="117"/>
      <c r="AQ156" s="117"/>
      <c r="AR156" s="117"/>
      <c r="AS156" s="117"/>
      <c r="AT156" s="117"/>
      <c r="AU156" s="117"/>
      <c r="AV156" s="117"/>
      <c r="AW156" s="117"/>
      <c r="AX156" s="117"/>
      <c r="AY156" s="117"/>
      <c r="AZ156" s="117"/>
      <c r="BA156" s="117"/>
      <c r="BB156" s="117"/>
      <c r="BC156" s="117"/>
      <c r="BD156" s="117"/>
      <c r="BE156" s="117"/>
      <c r="BF156" s="117"/>
      <c r="BG156" s="117"/>
      <c r="BH156" s="117"/>
      <c r="BI156" s="117"/>
      <c r="BJ156" s="117"/>
      <c r="BK156" s="117"/>
      <c r="BL156" s="117"/>
      <c r="BM156" s="117"/>
      <c r="BN156" s="117"/>
      <c r="BO156" s="117"/>
      <c r="BP156" s="117"/>
      <c r="BQ156" s="117"/>
      <c r="BR156" s="117"/>
      <c r="BS156" s="117"/>
      <c r="BT156" s="117"/>
    </row>
    <row r="157" spans="1:72" s="108" customFormat="1" hidden="1" outlineLevel="1" x14ac:dyDescent="0.25">
      <c r="A157" s="112" t="s">
        <v>84</v>
      </c>
      <c r="B157" s="116">
        <f t="shared" ref="B157:D157" si="347">B46+B100</f>
        <v>0</v>
      </c>
      <c r="C157" s="116">
        <f t="shared" ref="C157" si="348">C46+C100</f>
        <v>0</v>
      </c>
      <c r="D157" s="116">
        <f t="shared" si="347"/>
        <v>0</v>
      </c>
      <c r="E157" s="116">
        <f t="shared" ref="E157" si="349">E46+E100</f>
        <v>0</v>
      </c>
      <c r="F157" s="116">
        <f t="shared" si="293"/>
        <v>0</v>
      </c>
      <c r="G157" s="116">
        <f t="shared" si="293"/>
        <v>0</v>
      </c>
      <c r="H157" s="116">
        <f t="shared" ref="H157" si="350">H46+H100</f>
        <v>0</v>
      </c>
      <c r="I157" s="116">
        <f t="shared" ref="I157" si="351">I46+I100</f>
        <v>0</v>
      </c>
      <c r="J157" s="116">
        <f t="shared" si="293"/>
        <v>0</v>
      </c>
      <c r="K157" s="116">
        <f t="shared" ref="K157" si="352">K46+K100</f>
        <v>0</v>
      </c>
      <c r="L157" s="116">
        <f t="shared" si="293"/>
        <v>0</v>
      </c>
      <c r="M157" s="116">
        <f t="shared" ref="M157:AG157" si="353">M46+M100</f>
        <v>0.4</v>
      </c>
      <c r="N157" s="116">
        <f t="shared" ref="N157:O157" si="354">N46+N100</f>
        <v>0.4</v>
      </c>
      <c r="O157" s="116">
        <f t="shared" si="354"/>
        <v>0.4</v>
      </c>
      <c r="P157" s="116">
        <f t="shared" si="353"/>
        <v>0.4</v>
      </c>
      <c r="Q157" s="116">
        <f t="shared" si="353"/>
        <v>0.4</v>
      </c>
      <c r="R157" s="116">
        <f t="shared" si="353"/>
        <v>0.4</v>
      </c>
      <c r="S157" s="116">
        <f t="shared" si="353"/>
        <v>0.4</v>
      </c>
      <c r="T157" s="116">
        <f t="shared" ref="T157:U157" si="355">T46+T100</f>
        <v>0.4</v>
      </c>
      <c r="U157" s="116">
        <f t="shared" si="355"/>
        <v>0.4</v>
      </c>
      <c r="V157" s="116">
        <f t="shared" si="353"/>
        <v>0.4</v>
      </c>
      <c r="W157" s="116">
        <f t="shared" si="353"/>
        <v>0.4</v>
      </c>
      <c r="X157" s="116">
        <f t="shared" si="353"/>
        <v>0</v>
      </c>
      <c r="Y157" s="116">
        <f t="shared" si="353"/>
        <v>0</v>
      </c>
      <c r="Z157" s="116">
        <f t="shared" si="353"/>
        <v>0</v>
      </c>
      <c r="AA157" s="116">
        <f t="shared" ref="AA157:AC157" si="356">AA46+AA100</f>
        <v>0</v>
      </c>
      <c r="AB157" s="116">
        <f t="shared" si="356"/>
        <v>0</v>
      </c>
      <c r="AC157" s="116">
        <f t="shared" si="356"/>
        <v>0</v>
      </c>
      <c r="AD157" s="116">
        <f t="shared" ref="AD157" si="357">AD46+AD100</f>
        <v>0</v>
      </c>
      <c r="AE157" s="116">
        <f t="shared" ref="AE157:AF157" si="358">AE46+AE100</f>
        <v>0</v>
      </c>
      <c r="AF157" s="116">
        <f t="shared" si="358"/>
        <v>0</v>
      </c>
      <c r="AG157" s="116">
        <f t="shared" si="353"/>
        <v>0.4</v>
      </c>
      <c r="AH157" s="116">
        <f t="shared" ref="AH157:AI157" si="359">AH46+AH100</f>
        <v>0.4</v>
      </c>
      <c r="AI157" s="116">
        <f t="shared" si="359"/>
        <v>0</v>
      </c>
      <c r="AJ157" s="116">
        <f t="shared" ref="AJ157" si="360">AJ46+AJ100</f>
        <v>0</v>
      </c>
      <c r="AK157" s="116"/>
      <c r="AL157" s="116"/>
      <c r="AM157" s="116"/>
      <c r="AN157" s="116"/>
      <c r="AO157" s="116"/>
      <c r="AP157" s="116"/>
      <c r="AQ157" s="116"/>
      <c r="AR157" s="116"/>
      <c r="AS157" s="116"/>
      <c r="AT157" s="116"/>
      <c r="AU157" s="116"/>
      <c r="AV157" s="116"/>
      <c r="AW157" s="116"/>
      <c r="AX157" s="116"/>
      <c r="AY157" s="116"/>
      <c r="AZ157" s="116"/>
      <c r="BA157" s="116"/>
      <c r="BB157" s="116"/>
      <c r="BC157" s="116"/>
      <c r="BD157" s="116"/>
      <c r="BE157" s="116"/>
      <c r="BF157" s="116"/>
      <c r="BG157" s="116"/>
      <c r="BH157" s="116"/>
      <c r="BI157" s="116"/>
      <c r="BJ157" s="116"/>
      <c r="BK157" s="116"/>
      <c r="BL157" s="116"/>
      <c r="BM157" s="116"/>
      <c r="BN157" s="116"/>
      <c r="BO157" s="116"/>
      <c r="BP157" s="116"/>
      <c r="BQ157" s="116"/>
      <c r="BR157" s="116"/>
      <c r="BS157" s="116"/>
      <c r="BT157" s="116"/>
    </row>
    <row r="158" spans="1:72" s="109" customFormat="1" hidden="1" outlineLevel="1" x14ac:dyDescent="0.25">
      <c r="A158" s="112" t="s">
        <v>85</v>
      </c>
      <c r="B158" s="117">
        <f t="shared" ref="B158:D158" si="361">B47+B101</f>
        <v>0</v>
      </c>
      <c r="C158" s="117">
        <f t="shared" ref="C158" si="362">C47+C101</f>
        <v>0</v>
      </c>
      <c r="D158" s="117">
        <f t="shared" si="361"/>
        <v>0</v>
      </c>
      <c r="E158" s="117">
        <f t="shared" ref="E158" si="363">E47+E101</f>
        <v>0</v>
      </c>
      <c r="F158" s="117">
        <f t="shared" si="293"/>
        <v>0</v>
      </c>
      <c r="G158" s="117">
        <f t="shared" si="293"/>
        <v>0</v>
      </c>
      <c r="H158" s="117">
        <f t="shared" ref="H158" si="364">H47+H101</f>
        <v>0</v>
      </c>
      <c r="I158" s="117">
        <f t="shared" ref="I158" si="365">I47+I101</f>
        <v>0</v>
      </c>
      <c r="J158" s="117">
        <f t="shared" si="293"/>
        <v>0</v>
      </c>
      <c r="K158" s="117">
        <f t="shared" ref="K158" si="366">K47+K101</f>
        <v>0</v>
      </c>
      <c r="L158" s="117">
        <f t="shared" si="293"/>
        <v>0</v>
      </c>
      <c r="M158" s="117">
        <f t="shared" ref="M158:AG158" si="367">M47+M101</f>
        <v>0</v>
      </c>
      <c r="N158" s="117">
        <f t="shared" ref="N158:O158" si="368">N47+N101</f>
        <v>0</v>
      </c>
      <c r="O158" s="117">
        <f t="shared" si="368"/>
        <v>0</v>
      </c>
      <c r="P158" s="117">
        <f t="shared" si="367"/>
        <v>0</v>
      </c>
      <c r="Q158" s="117">
        <f t="shared" si="367"/>
        <v>0</v>
      </c>
      <c r="R158" s="117">
        <f t="shared" si="367"/>
        <v>0</v>
      </c>
      <c r="S158" s="117">
        <f t="shared" si="367"/>
        <v>0</v>
      </c>
      <c r="T158" s="117">
        <f t="shared" ref="T158:U158" si="369">T47+T101</f>
        <v>0</v>
      </c>
      <c r="U158" s="117">
        <f t="shared" si="369"/>
        <v>0</v>
      </c>
      <c r="V158" s="117">
        <f t="shared" si="367"/>
        <v>0</v>
      </c>
      <c r="W158" s="117">
        <f t="shared" si="367"/>
        <v>0</v>
      </c>
      <c r="X158" s="117">
        <f t="shared" si="367"/>
        <v>0</v>
      </c>
      <c r="Y158" s="117">
        <f t="shared" si="367"/>
        <v>0</v>
      </c>
      <c r="Z158" s="117">
        <f t="shared" si="367"/>
        <v>0</v>
      </c>
      <c r="AA158" s="117">
        <f t="shared" ref="AA158:AC158" si="370">AA47+AA101</f>
        <v>0</v>
      </c>
      <c r="AB158" s="117">
        <f t="shared" si="370"/>
        <v>0</v>
      </c>
      <c r="AC158" s="117">
        <f t="shared" si="370"/>
        <v>0</v>
      </c>
      <c r="AD158" s="117">
        <f t="shared" ref="AD158" si="371">AD47+AD101</f>
        <v>0</v>
      </c>
      <c r="AE158" s="117">
        <f t="shared" ref="AE158:AF158" si="372">AE47+AE101</f>
        <v>0</v>
      </c>
      <c r="AF158" s="117">
        <f t="shared" si="372"/>
        <v>0</v>
      </c>
      <c r="AG158" s="117">
        <f t="shared" si="367"/>
        <v>0</v>
      </c>
      <c r="AH158" s="117">
        <f t="shared" ref="AH158:AI158" si="373">AH47+AH101</f>
        <v>0</v>
      </c>
      <c r="AI158" s="117">
        <f t="shared" si="373"/>
        <v>0</v>
      </c>
      <c r="AJ158" s="117">
        <f t="shared" ref="AJ158" si="374">AJ47+AJ101</f>
        <v>0</v>
      </c>
      <c r="AK158" s="117"/>
      <c r="AL158" s="117"/>
      <c r="AM158" s="117"/>
      <c r="AN158" s="117"/>
      <c r="AO158" s="117"/>
      <c r="AP158" s="117"/>
      <c r="AQ158" s="117"/>
      <c r="AR158" s="117"/>
      <c r="AS158" s="117"/>
      <c r="AT158" s="117"/>
      <c r="AU158" s="117"/>
      <c r="AV158" s="117"/>
      <c r="AW158" s="117"/>
      <c r="AX158" s="117"/>
      <c r="AY158" s="117"/>
      <c r="AZ158" s="117"/>
      <c r="BA158" s="117"/>
      <c r="BB158" s="117"/>
      <c r="BC158" s="117"/>
      <c r="BD158" s="117"/>
      <c r="BE158" s="117"/>
      <c r="BF158" s="117"/>
      <c r="BG158" s="117"/>
      <c r="BH158" s="117"/>
      <c r="BI158" s="117"/>
      <c r="BJ158" s="117"/>
      <c r="BK158" s="117"/>
      <c r="BL158" s="117"/>
      <c r="BM158" s="117"/>
      <c r="BN158" s="117"/>
      <c r="BO158" s="117"/>
      <c r="BP158" s="117"/>
      <c r="BQ158" s="117"/>
      <c r="BR158" s="117"/>
      <c r="BS158" s="117"/>
      <c r="BT158" s="117"/>
    </row>
    <row r="159" spans="1:72" s="108" customFormat="1" hidden="1" outlineLevel="1" x14ac:dyDescent="0.25">
      <c r="A159" s="112" t="s">
        <v>86</v>
      </c>
      <c r="B159" s="116">
        <f t="shared" ref="B159:D159" si="375">B48+B102</f>
        <v>0</v>
      </c>
      <c r="C159" s="116">
        <f t="shared" ref="C159" si="376">C48+C102</f>
        <v>0</v>
      </c>
      <c r="D159" s="116">
        <f t="shared" si="375"/>
        <v>0</v>
      </c>
      <c r="E159" s="116">
        <f t="shared" ref="E159" si="377">E48+E102</f>
        <v>0</v>
      </c>
      <c r="F159" s="116">
        <f t="shared" si="293"/>
        <v>0</v>
      </c>
      <c r="G159" s="116">
        <f t="shared" si="293"/>
        <v>0</v>
      </c>
      <c r="H159" s="116">
        <f t="shared" ref="H159" si="378">H48+H102</f>
        <v>0</v>
      </c>
      <c r="I159" s="116">
        <f t="shared" ref="I159" si="379">I48+I102</f>
        <v>0</v>
      </c>
      <c r="J159" s="116">
        <f t="shared" si="293"/>
        <v>0</v>
      </c>
      <c r="K159" s="116">
        <f t="shared" ref="K159" si="380">K48+K102</f>
        <v>0</v>
      </c>
      <c r="L159" s="116">
        <f t="shared" si="293"/>
        <v>0</v>
      </c>
      <c r="M159" s="116">
        <f t="shared" ref="M159:AG159" si="381">M48+M102</f>
        <v>0</v>
      </c>
      <c r="N159" s="116">
        <f t="shared" ref="N159:O159" si="382">N48+N102</f>
        <v>0</v>
      </c>
      <c r="O159" s="116">
        <f t="shared" si="382"/>
        <v>0</v>
      </c>
      <c r="P159" s="116">
        <f t="shared" si="381"/>
        <v>0</v>
      </c>
      <c r="Q159" s="116">
        <f t="shared" si="381"/>
        <v>0</v>
      </c>
      <c r="R159" s="116">
        <f t="shared" si="381"/>
        <v>0</v>
      </c>
      <c r="S159" s="116">
        <f t="shared" si="381"/>
        <v>0</v>
      </c>
      <c r="T159" s="116">
        <f t="shared" ref="T159:U159" si="383">T48+T102</f>
        <v>0</v>
      </c>
      <c r="U159" s="116">
        <f t="shared" si="383"/>
        <v>0</v>
      </c>
      <c r="V159" s="116">
        <f t="shared" si="381"/>
        <v>0</v>
      </c>
      <c r="W159" s="116">
        <f t="shared" si="381"/>
        <v>0</v>
      </c>
      <c r="X159" s="116">
        <f t="shared" si="381"/>
        <v>0</v>
      </c>
      <c r="Y159" s="116">
        <f t="shared" si="381"/>
        <v>0</v>
      </c>
      <c r="Z159" s="116">
        <f t="shared" si="381"/>
        <v>0</v>
      </c>
      <c r="AA159" s="116">
        <f t="shared" ref="AA159:AC159" si="384">AA48+AA102</f>
        <v>0</v>
      </c>
      <c r="AB159" s="116">
        <f t="shared" si="384"/>
        <v>0</v>
      </c>
      <c r="AC159" s="116">
        <f t="shared" si="384"/>
        <v>0</v>
      </c>
      <c r="AD159" s="116">
        <f t="shared" ref="AD159" si="385">AD48+AD102</f>
        <v>0</v>
      </c>
      <c r="AE159" s="116">
        <f t="shared" ref="AE159:AF159" si="386">AE48+AE102</f>
        <v>0</v>
      </c>
      <c r="AF159" s="116">
        <f t="shared" si="386"/>
        <v>0</v>
      </c>
      <c r="AG159" s="116">
        <f t="shared" si="381"/>
        <v>0</v>
      </c>
      <c r="AH159" s="116">
        <f t="shared" ref="AH159:AI159" si="387">AH48+AH102</f>
        <v>0</v>
      </c>
      <c r="AI159" s="116">
        <f t="shared" si="387"/>
        <v>0</v>
      </c>
      <c r="AJ159" s="116">
        <f t="shared" ref="AJ159" si="388">AJ48+AJ102</f>
        <v>0</v>
      </c>
      <c r="AK159" s="116"/>
      <c r="AL159" s="116"/>
      <c r="AM159" s="116"/>
      <c r="AN159" s="116"/>
      <c r="AO159" s="116"/>
      <c r="AP159" s="116"/>
      <c r="AQ159" s="116"/>
      <c r="AR159" s="116"/>
      <c r="AS159" s="116"/>
      <c r="AT159" s="116"/>
      <c r="AU159" s="116"/>
      <c r="AV159" s="116"/>
      <c r="AW159" s="116"/>
      <c r="AX159" s="116"/>
      <c r="AY159" s="116"/>
      <c r="AZ159" s="116"/>
      <c r="BA159" s="116"/>
      <c r="BB159" s="116"/>
      <c r="BC159" s="116"/>
      <c r="BD159" s="116"/>
      <c r="BE159" s="116"/>
      <c r="BF159" s="116"/>
      <c r="BG159" s="116"/>
      <c r="BH159" s="116"/>
      <c r="BI159" s="116"/>
      <c r="BJ159" s="116"/>
      <c r="BK159" s="116"/>
      <c r="BL159" s="116"/>
      <c r="BM159" s="116"/>
      <c r="BN159" s="116"/>
      <c r="BO159" s="116"/>
      <c r="BP159" s="116"/>
      <c r="BQ159" s="116"/>
      <c r="BR159" s="116"/>
      <c r="BS159" s="116"/>
      <c r="BT159" s="116"/>
    </row>
    <row r="160" spans="1:72" s="109" customFormat="1" hidden="1" outlineLevel="1" x14ac:dyDescent="0.25">
      <c r="A160" s="112" t="s">
        <v>87</v>
      </c>
      <c r="B160" s="117">
        <f t="shared" ref="B160:D160" si="389">B49+B103</f>
        <v>0</v>
      </c>
      <c r="C160" s="117">
        <f t="shared" ref="C160" si="390">C49+C103</f>
        <v>0</v>
      </c>
      <c r="D160" s="117">
        <f t="shared" si="389"/>
        <v>0</v>
      </c>
      <c r="E160" s="117">
        <f t="shared" ref="E160" si="391">E49+E103</f>
        <v>0</v>
      </c>
      <c r="F160" s="117">
        <f t="shared" si="293"/>
        <v>0</v>
      </c>
      <c r="G160" s="117">
        <f t="shared" si="293"/>
        <v>0</v>
      </c>
      <c r="H160" s="117">
        <f t="shared" ref="H160" si="392">H49+H103</f>
        <v>0</v>
      </c>
      <c r="I160" s="117">
        <f t="shared" ref="I160" si="393">I49+I103</f>
        <v>0</v>
      </c>
      <c r="J160" s="117">
        <f t="shared" si="293"/>
        <v>0</v>
      </c>
      <c r="K160" s="117">
        <f t="shared" ref="K160" si="394">K49+K103</f>
        <v>0</v>
      </c>
      <c r="L160" s="117">
        <f t="shared" si="293"/>
        <v>0</v>
      </c>
      <c r="M160" s="117">
        <f t="shared" ref="M160:AG160" si="395">M49+M103</f>
        <v>0</v>
      </c>
      <c r="N160" s="117">
        <f t="shared" ref="N160:O160" si="396">N49+N103</f>
        <v>0</v>
      </c>
      <c r="O160" s="117">
        <f t="shared" si="396"/>
        <v>0</v>
      </c>
      <c r="P160" s="117">
        <f t="shared" si="395"/>
        <v>0</v>
      </c>
      <c r="Q160" s="117">
        <f t="shared" si="395"/>
        <v>0</v>
      </c>
      <c r="R160" s="117">
        <f t="shared" si="395"/>
        <v>0</v>
      </c>
      <c r="S160" s="117">
        <f t="shared" si="395"/>
        <v>0</v>
      </c>
      <c r="T160" s="117">
        <f t="shared" ref="T160:U160" si="397">T49+T103</f>
        <v>0</v>
      </c>
      <c r="U160" s="117">
        <f t="shared" si="397"/>
        <v>0</v>
      </c>
      <c r="V160" s="117">
        <f t="shared" si="395"/>
        <v>0</v>
      </c>
      <c r="W160" s="117">
        <f t="shared" si="395"/>
        <v>0</v>
      </c>
      <c r="X160" s="117">
        <f t="shared" si="395"/>
        <v>0</v>
      </c>
      <c r="Y160" s="117">
        <f t="shared" si="395"/>
        <v>0</v>
      </c>
      <c r="Z160" s="117">
        <f t="shared" si="395"/>
        <v>0</v>
      </c>
      <c r="AA160" s="117">
        <f t="shared" ref="AA160:AC160" si="398">AA49+AA103</f>
        <v>0</v>
      </c>
      <c r="AB160" s="117">
        <f t="shared" si="398"/>
        <v>0</v>
      </c>
      <c r="AC160" s="117">
        <f t="shared" si="398"/>
        <v>0</v>
      </c>
      <c r="AD160" s="117">
        <f t="shared" ref="AD160" si="399">AD49+AD103</f>
        <v>0</v>
      </c>
      <c r="AE160" s="117">
        <f t="shared" ref="AE160:AF160" si="400">AE49+AE103</f>
        <v>0</v>
      </c>
      <c r="AF160" s="117">
        <f t="shared" si="400"/>
        <v>0</v>
      </c>
      <c r="AG160" s="117">
        <f t="shared" si="395"/>
        <v>0</v>
      </c>
      <c r="AH160" s="117">
        <f t="shared" ref="AH160:AI160" si="401">AH49+AH103</f>
        <v>0</v>
      </c>
      <c r="AI160" s="117">
        <f t="shared" si="401"/>
        <v>0</v>
      </c>
      <c r="AJ160" s="117">
        <f t="shared" ref="AJ160" si="402">AJ49+AJ103</f>
        <v>0</v>
      </c>
      <c r="AK160" s="117"/>
      <c r="AL160" s="117"/>
      <c r="AM160" s="117"/>
      <c r="AN160" s="117"/>
      <c r="AO160" s="117"/>
      <c r="AP160" s="117"/>
      <c r="AQ160" s="117"/>
      <c r="AR160" s="117"/>
      <c r="AS160" s="117"/>
      <c r="AT160" s="117"/>
      <c r="AU160" s="117"/>
      <c r="AV160" s="117"/>
      <c r="AW160" s="117"/>
      <c r="AX160" s="117"/>
      <c r="AY160" s="117"/>
      <c r="AZ160" s="117"/>
      <c r="BA160" s="117"/>
      <c r="BB160" s="117"/>
      <c r="BC160" s="117"/>
      <c r="BD160" s="117"/>
      <c r="BE160" s="117"/>
      <c r="BF160" s="117"/>
      <c r="BG160" s="117"/>
      <c r="BH160" s="117"/>
      <c r="BI160" s="117"/>
      <c r="BJ160" s="117"/>
      <c r="BK160" s="117"/>
      <c r="BL160" s="117"/>
      <c r="BM160" s="117"/>
      <c r="BN160" s="117"/>
      <c r="BO160" s="117"/>
      <c r="BP160" s="117"/>
      <c r="BQ160" s="117"/>
      <c r="BR160" s="117"/>
      <c r="BS160" s="117"/>
      <c r="BT160" s="117"/>
    </row>
    <row r="161" spans="1:72" s="108" customFormat="1" hidden="1" outlineLevel="1" x14ac:dyDescent="0.25">
      <c r="A161" s="112" t="s">
        <v>90</v>
      </c>
      <c r="B161" s="116">
        <f t="shared" ref="B161:D161" si="403">B50+B104</f>
        <v>0</v>
      </c>
      <c r="C161" s="116">
        <f t="shared" ref="C161" si="404">C50+C104</f>
        <v>0</v>
      </c>
      <c r="D161" s="116">
        <f t="shared" si="403"/>
        <v>0</v>
      </c>
      <c r="E161" s="116">
        <f t="shared" ref="E161" si="405">E50+E104</f>
        <v>0</v>
      </c>
      <c r="F161" s="116">
        <f t="shared" si="293"/>
        <v>0</v>
      </c>
      <c r="G161" s="116">
        <f t="shared" si="293"/>
        <v>0</v>
      </c>
      <c r="H161" s="116">
        <f t="shared" ref="H161" si="406">H50+H104</f>
        <v>0</v>
      </c>
      <c r="I161" s="116">
        <f t="shared" ref="I161" si="407">I50+I104</f>
        <v>0</v>
      </c>
      <c r="J161" s="116">
        <f t="shared" si="293"/>
        <v>0</v>
      </c>
      <c r="K161" s="116">
        <f t="shared" ref="K161" si="408">K50+K104</f>
        <v>0</v>
      </c>
      <c r="L161" s="116">
        <f t="shared" si="293"/>
        <v>0</v>
      </c>
      <c r="M161" s="116">
        <f t="shared" ref="M161:AG161" si="409">M50+M104</f>
        <v>0</v>
      </c>
      <c r="N161" s="116">
        <f t="shared" ref="N161:O161" si="410">N50+N104</f>
        <v>0</v>
      </c>
      <c r="O161" s="116">
        <f t="shared" si="410"/>
        <v>0</v>
      </c>
      <c r="P161" s="116">
        <f t="shared" si="409"/>
        <v>0</v>
      </c>
      <c r="Q161" s="116">
        <f t="shared" si="409"/>
        <v>0</v>
      </c>
      <c r="R161" s="116">
        <f t="shared" si="409"/>
        <v>0</v>
      </c>
      <c r="S161" s="116">
        <f t="shared" si="409"/>
        <v>0</v>
      </c>
      <c r="T161" s="116">
        <f t="shared" ref="T161:U161" si="411">T50+T104</f>
        <v>0</v>
      </c>
      <c r="U161" s="116">
        <f t="shared" si="411"/>
        <v>0</v>
      </c>
      <c r="V161" s="116">
        <f t="shared" si="409"/>
        <v>0</v>
      </c>
      <c r="W161" s="116">
        <f t="shared" si="409"/>
        <v>0</v>
      </c>
      <c r="X161" s="116">
        <f t="shared" si="409"/>
        <v>0</v>
      </c>
      <c r="Y161" s="116">
        <f t="shared" si="409"/>
        <v>0</v>
      </c>
      <c r="Z161" s="116">
        <f t="shared" si="409"/>
        <v>0</v>
      </c>
      <c r="AA161" s="116">
        <f t="shared" ref="AA161:AC161" si="412">AA50+AA104</f>
        <v>0</v>
      </c>
      <c r="AB161" s="116">
        <f t="shared" si="412"/>
        <v>0</v>
      </c>
      <c r="AC161" s="116">
        <f t="shared" si="412"/>
        <v>0</v>
      </c>
      <c r="AD161" s="116">
        <f t="shared" ref="AD161" si="413">AD50+AD104</f>
        <v>0</v>
      </c>
      <c r="AE161" s="116">
        <f t="shared" ref="AE161:AF161" si="414">AE50+AE104</f>
        <v>0</v>
      </c>
      <c r="AF161" s="116">
        <f t="shared" si="414"/>
        <v>0</v>
      </c>
      <c r="AG161" s="116">
        <f t="shared" si="409"/>
        <v>0</v>
      </c>
      <c r="AH161" s="116">
        <f t="shared" ref="AH161:AI161" si="415">AH50+AH104</f>
        <v>0</v>
      </c>
      <c r="AI161" s="116">
        <f t="shared" si="415"/>
        <v>0</v>
      </c>
      <c r="AJ161" s="116">
        <f t="shared" ref="AJ161" si="416">AJ50+AJ104</f>
        <v>0</v>
      </c>
      <c r="AK161" s="116"/>
      <c r="AL161" s="116"/>
      <c r="AM161" s="116"/>
      <c r="AN161" s="116"/>
      <c r="AO161" s="116"/>
      <c r="AP161" s="116"/>
      <c r="AQ161" s="116"/>
      <c r="AR161" s="116"/>
      <c r="AS161" s="116"/>
      <c r="AT161" s="116"/>
      <c r="AU161" s="116"/>
      <c r="AV161" s="116"/>
      <c r="AW161" s="116"/>
      <c r="AX161" s="116"/>
      <c r="AY161" s="116"/>
      <c r="AZ161" s="116"/>
      <c r="BA161" s="116"/>
      <c r="BB161" s="116"/>
      <c r="BC161" s="116"/>
      <c r="BD161" s="116"/>
      <c r="BE161" s="116"/>
      <c r="BF161" s="116"/>
      <c r="BG161" s="116"/>
      <c r="BH161" s="116"/>
      <c r="BI161" s="116"/>
      <c r="BJ161" s="116"/>
      <c r="BK161" s="116"/>
      <c r="BL161" s="116"/>
      <c r="BM161" s="116"/>
      <c r="BN161" s="116"/>
      <c r="BO161" s="116"/>
      <c r="BP161" s="116"/>
      <c r="BQ161" s="116"/>
      <c r="BR161" s="116"/>
      <c r="BS161" s="116"/>
      <c r="BT161" s="116"/>
    </row>
    <row r="162" spans="1:72" s="109" customFormat="1" hidden="1" outlineLevel="1" x14ac:dyDescent="0.25">
      <c r="A162" s="112" t="s">
        <v>88</v>
      </c>
      <c r="B162" s="117">
        <f t="shared" ref="B162:D162" si="417">B51+B105</f>
        <v>0</v>
      </c>
      <c r="C162" s="117">
        <f t="shared" ref="C162" si="418">C51+C105</f>
        <v>0</v>
      </c>
      <c r="D162" s="117">
        <f t="shared" si="417"/>
        <v>0</v>
      </c>
      <c r="E162" s="117">
        <f t="shared" ref="E162" si="419">E51+E105</f>
        <v>0</v>
      </c>
      <c r="F162" s="117">
        <f t="shared" si="293"/>
        <v>0</v>
      </c>
      <c r="G162" s="117">
        <f t="shared" si="293"/>
        <v>0</v>
      </c>
      <c r="H162" s="117">
        <f t="shared" ref="H162" si="420">H51+H105</f>
        <v>0</v>
      </c>
      <c r="I162" s="117">
        <f t="shared" ref="I162" si="421">I51+I105</f>
        <v>0</v>
      </c>
      <c r="J162" s="117">
        <f t="shared" si="293"/>
        <v>0</v>
      </c>
      <c r="K162" s="117">
        <f t="shared" ref="K162" si="422">K51+K105</f>
        <v>0</v>
      </c>
      <c r="L162" s="117">
        <f t="shared" si="293"/>
        <v>0</v>
      </c>
      <c r="M162" s="117">
        <f t="shared" ref="M162:AG162" si="423">M51+M105</f>
        <v>0.15</v>
      </c>
      <c r="N162" s="117">
        <f t="shared" ref="N162:O162" si="424">N51+N105</f>
        <v>0.15</v>
      </c>
      <c r="O162" s="117">
        <f t="shared" si="424"/>
        <v>0.15</v>
      </c>
      <c r="P162" s="117">
        <f t="shared" si="423"/>
        <v>0.15</v>
      </c>
      <c r="Q162" s="117">
        <f t="shared" si="423"/>
        <v>0.15</v>
      </c>
      <c r="R162" s="117">
        <f t="shared" si="423"/>
        <v>0.15</v>
      </c>
      <c r="S162" s="117">
        <f t="shared" si="423"/>
        <v>0.15</v>
      </c>
      <c r="T162" s="117">
        <f t="shared" ref="T162:U162" si="425">T51+T105</f>
        <v>0.15</v>
      </c>
      <c r="U162" s="117">
        <f t="shared" si="425"/>
        <v>0.15</v>
      </c>
      <c r="V162" s="117">
        <f t="shared" si="423"/>
        <v>0.15</v>
      </c>
      <c r="W162" s="117">
        <f t="shared" si="423"/>
        <v>0.15</v>
      </c>
      <c r="X162" s="117">
        <f t="shared" si="423"/>
        <v>0</v>
      </c>
      <c r="Y162" s="117">
        <f t="shared" si="423"/>
        <v>0</v>
      </c>
      <c r="Z162" s="117">
        <f t="shared" si="423"/>
        <v>0</v>
      </c>
      <c r="AA162" s="117">
        <f t="shared" ref="AA162:AC162" si="426">AA51+AA105</f>
        <v>0</v>
      </c>
      <c r="AB162" s="117">
        <f t="shared" si="426"/>
        <v>0</v>
      </c>
      <c r="AC162" s="117">
        <f t="shared" si="426"/>
        <v>0</v>
      </c>
      <c r="AD162" s="117">
        <f t="shared" ref="AD162" si="427">AD51+AD105</f>
        <v>0</v>
      </c>
      <c r="AE162" s="117">
        <f t="shared" ref="AE162:AF162" si="428">AE51+AE105</f>
        <v>0</v>
      </c>
      <c r="AF162" s="117">
        <f t="shared" si="428"/>
        <v>0</v>
      </c>
      <c r="AG162" s="117">
        <f t="shared" si="423"/>
        <v>0.15</v>
      </c>
      <c r="AH162" s="117">
        <f t="shared" ref="AH162:AI162" si="429">AH51+AH105</f>
        <v>0.15</v>
      </c>
      <c r="AI162" s="117">
        <f t="shared" si="429"/>
        <v>0</v>
      </c>
      <c r="AJ162" s="117">
        <f t="shared" ref="AJ162" si="430">AJ51+AJ105</f>
        <v>0</v>
      </c>
      <c r="AK162" s="117"/>
      <c r="AL162" s="117"/>
      <c r="AM162" s="117"/>
      <c r="AN162" s="117"/>
      <c r="AO162" s="117"/>
      <c r="AP162" s="117"/>
      <c r="AQ162" s="117"/>
      <c r="AR162" s="117"/>
      <c r="AS162" s="117"/>
      <c r="AT162" s="117"/>
      <c r="AU162" s="117"/>
      <c r="AV162" s="117"/>
      <c r="AW162" s="117"/>
      <c r="AX162" s="117"/>
      <c r="AY162" s="117"/>
      <c r="AZ162" s="117"/>
      <c r="BA162" s="117"/>
      <c r="BB162" s="117"/>
      <c r="BC162" s="117"/>
      <c r="BD162" s="117"/>
      <c r="BE162" s="117"/>
      <c r="BF162" s="117"/>
      <c r="BG162" s="117"/>
      <c r="BH162" s="117"/>
      <c r="BI162" s="117"/>
      <c r="BJ162" s="117"/>
      <c r="BK162" s="117"/>
      <c r="BL162" s="117"/>
      <c r="BM162" s="117"/>
      <c r="BN162" s="117"/>
      <c r="BO162" s="117"/>
      <c r="BP162" s="117"/>
      <c r="BQ162" s="117"/>
      <c r="BR162" s="117"/>
      <c r="BS162" s="117"/>
      <c r="BT162" s="117"/>
    </row>
    <row r="163" spans="1:72" s="108" customFormat="1" hidden="1" outlineLevel="1" x14ac:dyDescent="0.25">
      <c r="A163" s="112" t="s">
        <v>89</v>
      </c>
      <c r="B163" s="116">
        <f t="shared" ref="B163:D163" si="431">B52+B106</f>
        <v>0</v>
      </c>
      <c r="C163" s="116">
        <f t="shared" ref="C163" si="432">C52+C106</f>
        <v>0</v>
      </c>
      <c r="D163" s="116">
        <f t="shared" si="431"/>
        <v>0</v>
      </c>
      <c r="E163" s="116">
        <f t="shared" ref="E163" si="433">E52+E106</f>
        <v>0</v>
      </c>
      <c r="F163" s="116">
        <f t="shared" si="293"/>
        <v>0</v>
      </c>
      <c r="G163" s="116">
        <f t="shared" si="293"/>
        <v>0</v>
      </c>
      <c r="H163" s="116">
        <f t="shared" ref="H163" si="434">H52+H106</f>
        <v>0</v>
      </c>
      <c r="I163" s="116">
        <f t="shared" ref="I163" si="435">I52+I106</f>
        <v>0</v>
      </c>
      <c r="J163" s="116">
        <f t="shared" si="293"/>
        <v>0</v>
      </c>
      <c r="K163" s="116">
        <f t="shared" ref="K163" si="436">K52+K106</f>
        <v>0</v>
      </c>
      <c r="L163" s="116">
        <f t="shared" si="293"/>
        <v>0</v>
      </c>
      <c r="M163" s="116">
        <f t="shared" ref="M163:AG163" si="437">M52+M106</f>
        <v>0.15</v>
      </c>
      <c r="N163" s="116">
        <f t="shared" ref="N163:O163" si="438">N52+N106</f>
        <v>0.15</v>
      </c>
      <c r="O163" s="116">
        <f t="shared" si="438"/>
        <v>0.15</v>
      </c>
      <c r="P163" s="116">
        <f t="shared" si="437"/>
        <v>0.15</v>
      </c>
      <c r="Q163" s="116">
        <f t="shared" si="437"/>
        <v>0.15</v>
      </c>
      <c r="R163" s="116">
        <f t="shared" si="437"/>
        <v>0.15</v>
      </c>
      <c r="S163" s="116">
        <f t="shared" si="437"/>
        <v>0.15</v>
      </c>
      <c r="T163" s="116">
        <f t="shared" ref="T163:U163" si="439">T52+T106</f>
        <v>0.15</v>
      </c>
      <c r="U163" s="116">
        <f t="shared" si="439"/>
        <v>0.15</v>
      </c>
      <c r="V163" s="116">
        <f t="shared" si="437"/>
        <v>0.15</v>
      </c>
      <c r="W163" s="116">
        <f t="shared" si="437"/>
        <v>0.15</v>
      </c>
      <c r="X163" s="116">
        <f t="shared" si="437"/>
        <v>0</v>
      </c>
      <c r="Y163" s="116">
        <f t="shared" si="437"/>
        <v>0</v>
      </c>
      <c r="Z163" s="116">
        <f t="shared" si="437"/>
        <v>0</v>
      </c>
      <c r="AA163" s="116">
        <f t="shared" ref="AA163:AC163" si="440">AA52+AA106</f>
        <v>0</v>
      </c>
      <c r="AB163" s="116">
        <f t="shared" si="440"/>
        <v>0</v>
      </c>
      <c r="AC163" s="116">
        <f t="shared" si="440"/>
        <v>0</v>
      </c>
      <c r="AD163" s="116">
        <f t="shared" ref="AD163" si="441">AD52+AD106</f>
        <v>0</v>
      </c>
      <c r="AE163" s="116">
        <f t="shared" ref="AE163:AF163" si="442">AE52+AE106</f>
        <v>0</v>
      </c>
      <c r="AF163" s="116">
        <f t="shared" si="442"/>
        <v>0</v>
      </c>
      <c r="AG163" s="116">
        <f t="shared" si="437"/>
        <v>0.15</v>
      </c>
      <c r="AH163" s="116">
        <f t="shared" ref="AH163:AI163" si="443">AH52+AH106</f>
        <v>0.15</v>
      </c>
      <c r="AI163" s="116">
        <f t="shared" si="443"/>
        <v>0</v>
      </c>
      <c r="AJ163" s="116">
        <f t="shared" ref="AJ163" si="444">AJ52+AJ106</f>
        <v>0</v>
      </c>
      <c r="AK163" s="116"/>
      <c r="AL163" s="116"/>
      <c r="AM163" s="116"/>
      <c r="AN163" s="116"/>
      <c r="AO163" s="116"/>
      <c r="AP163" s="116"/>
      <c r="AQ163" s="116"/>
      <c r="AR163" s="116"/>
      <c r="AS163" s="116"/>
      <c r="AT163" s="116"/>
      <c r="AU163" s="116"/>
      <c r="AV163" s="116"/>
      <c r="AW163" s="116"/>
      <c r="AX163" s="116"/>
      <c r="AY163" s="116"/>
      <c r="AZ163" s="116"/>
      <c r="BA163" s="116"/>
      <c r="BB163" s="116"/>
      <c r="BC163" s="116"/>
      <c r="BD163" s="116"/>
      <c r="BE163" s="116"/>
      <c r="BF163" s="116"/>
      <c r="BG163" s="116"/>
      <c r="BH163" s="116"/>
      <c r="BI163" s="116"/>
      <c r="BJ163" s="116"/>
      <c r="BK163" s="116"/>
      <c r="BL163" s="116"/>
      <c r="BM163" s="116"/>
      <c r="BN163" s="116"/>
      <c r="BO163" s="116"/>
      <c r="BP163" s="116"/>
      <c r="BQ163" s="116"/>
      <c r="BR163" s="116"/>
      <c r="BS163" s="116"/>
      <c r="BT163" s="116"/>
    </row>
    <row r="164" spans="1:72" s="109" customFormat="1" hidden="1" outlineLevel="1" x14ac:dyDescent="0.25">
      <c r="A164" s="112" t="s">
        <v>91</v>
      </c>
      <c r="B164" s="117">
        <f t="shared" ref="B164:D164" si="445">B53+B107</f>
        <v>0</v>
      </c>
      <c r="C164" s="117">
        <f t="shared" ref="C164" si="446">C53+C107</f>
        <v>0</v>
      </c>
      <c r="D164" s="117">
        <f t="shared" si="445"/>
        <v>0</v>
      </c>
      <c r="E164" s="117">
        <f t="shared" ref="E164" si="447">E53+E107</f>
        <v>0</v>
      </c>
      <c r="F164" s="117">
        <f t="shared" si="293"/>
        <v>0</v>
      </c>
      <c r="G164" s="117">
        <f t="shared" si="293"/>
        <v>0</v>
      </c>
      <c r="H164" s="117">
        <f t="shared" ref="H164" si="448">H53+H107</f>
        <v>0</v>
      </c>
      <c r="I164" s="117">
        <f t="shared" ref="I164" si="449">I53+I107</f>
        <v>0</v>
      </c>
      <c r="J164" s="117">
        <f t="shared" si="293"/>
        <v>0</v>
      </c>
      <c r="K164" s="117">
        <f t="shared" ref="K164" si="450">K53+K107</f>
        <v>0</v>
      </c>
      <c r="L164" s="117">
        <f t="shared" si="293"/>
        <v>0</v>
      </c>
      <c r="M164" s="117">
        <f t="shared" ref="M164:AG164" si="451">M53+M107</f>
        <v>0</v>
      </c>
      <c r="N164" s="117">
        <f t="shared" ref="N164:O164" si="452">N53+N107</f>
        <v>0</v>
      </c>
      <c r="O164" s="117">
        <f t="shared" si="452"/>
        <v>0</v>
      </c>
      <c r="P164" s="117">
        <f t="shared" si="451"/>
        <v>0</v>
      </c>
      <c r="Q164" s="117">
        <f t="shared" si="451"/>
        <v>0</v>
      </c>
      <c r="R164" s="117">
        <f t="shared" si="451"/>
        <v>0</v>
      </c>
      <c r="S164" s="117">
        <f t="shared" si="451"/>
        <v>0</v>
      </c>
      <c r="T164" s="117">
        <f t="shared" ref="T164:U164" si="453">T53+T107</f>
        <v>0</v>
      </c>
      <c r="U164" s="117">
        <f t="shared" si="453"/>
        <v>0</v>
      </c>
      <c r="V164" s="117">
        <f t="shared" si="451"/>
        <v>0</v>
      </c>
      <c r="W164" s="117">
        <f t="shared" si="451"/>
        <v>0</v>
      </c>
      <c r="X164" s="117">
        <f t="shared" si="451"/>
        <v>0</v>
      </c>
      <c r="Y164" s="117">
        <f t="shared" si="451"/>
        <v>0</v>
      </c>
      <c r="Z164" s="117">
        <f t="shared" si="451"/>
        <v>0</v>
      </c>
      <c r="AA164" s="117">
        <f t="shared" ref="AA164:AC164" si="454">AA53+AA107</f>
        <v>0</v>
      </c>
      <c r="AB164" s="117">
        <f t="shared" si="454"/>
        <v>0</v>
      </c>
      <c r="AC164" s="117">
        <f t="shared" si="454"/>
        <v>0</v>
      </c>
      <c r="AD164" s="117">
        <f t="shared" ref="AD164" si="455">AD53+AD107</f>
        <v>0</v>
      </c>
      <c r="AE164" s="117">
        <f t="shared" ref="AE164:AF164" si="456">AE53+AE107</f>
        <v>0</v>
      </c>
      <c r="AF164" s="117">
        <f t="shared" si="456"/>
        <v>0</v>
      </c>
      <c r="AG164" s="117">
        <f t="shared" si="451"/>
        <v>0</v>
      </c>
      <c r="AH164" s="117">
        <f t="shared" ref="AH164:AI164" si="457">AH53+AH107</f>
        <v>0</v>
      </c>
      <c r="AI164" s="117">
        <f t="shared" si="457"/>
        <v>0</v>
      </c>
      <c r="AJ164" s="117">
        <f t="shared" ref="AJ164" si="458">AJ53+AJ107</f>
        <v>0</v>
      </c>
      <c r="AK164" s="117"/>
      <c r="AL164" s="117"/>
      <c r="AM164" s="117"/>
      <c r="AN164" s="117"/>
      <c r="AO164" s="117"/>
      <c r="AP164" s="117"/>
      <c r="AQ164" s="117"/>
      <c r="AR164" s="117"/>
      <c r="AS164" s="117"/>
      <c r="AT164" s="117"/>
      <c r="AU164" s="117"/>
      <c r="AV164" s="117"/>
      <c r="AW164" s="117"/>
      <c r="AX164" s="117"/>
      <c r="AY164" s="117"/>
      <c r="AZ164" s="117"/>
      <c r="BA164" s="117"/>
      <c r="BB164" s="117"/>
      <c r="BC164" s="117"/>
      <c r="BD164" s="117"/>
      <c r="BE164" s="117"/>
      <c r="BF164" s="117"/>
      <c r="BG164" s="117"/>
      <c r="BH164" s="117"/>
      <c r="BI164" s="117"/>
      <c r="BJ164" s="117"/>
      <c r="BK164" s="117"/>
      <c r="BL164" s="117"/>
      <c r="BM164" s="117"/>
      <c r="BN164" s="117"/>
      <c r="BO164" s="117"/>
      <c r="BP164" s="117"/>
      <c r="BQ164" s="117"/>
      <c r="BR164" s="117"/>
      <c r="BS164" s="117"/>
      <c r="BT164" s="117"/>
    </row>
    <row r="165" spans="1:72" s="108" customFormat="1" hidden="1" outlineLevel="1" x14ac:dyDescent="0.25">
      <c r="A165" s="112" t="s">
        <v>458</v>
      </c>
      <c r="B165" s="116">
        <f t="shared" ref="B165:D165" si="459">B54+B108</f>
        <v>0</v>
      </c>
      <c r="C165" s="116">
        <f t="shared" ref="C165" si="460">C54+C108</f>
        <v>0</v>
      </c>
      <c r="D165" s="116">
        <f t="shared" si="459"/>
        <v>0</v>
      </c>
      <c r="E165" s="116">
        <f t="shared" ref="E165" si="461">E54+E108</f>
        <v>0</v>
      </c>
      <c r="F165" s="116">
        <f t="shared" si="293"/>
        <v>0</v>
      </c>
      <c r="G165" s="116">
        <f t="shared" si="293"/>
        <v>0</v>
      </c>
      <c r="H165" s="116">
        <f t="shared" ref="H165" si="462">H54+H108</f>
        <v>0</v>
      </c>
      <c r="I165" s="116">
        <f t="shared" ref="I165" si="463">I54+I108</f>
        <v>0</v>
      </c>
      <c r="J165" s="116">
        <f t="shared" si="293"/>
        <v>0</v>
      </c>
      <c r="K165" s="116">
        <f t="shared" ref="K165" si="464">K54+K108</f>
        <v>0</v>
      </c>
      <c r="L165" s="116">
        <f t="shared" si="293"/>
        <v>0</v>
      </c>
      <c r="M165" s="116">
        <f t="shared" ref="M165:AG165" si="465">M54+M108</f>
        <v>0</v>
      </c>
      <c r="N165" s="116">
        <f t="shared" ref="N165:O165" si="466">N54+N108</f>
        <v>0</v>
      </c>
      <c r="O165" s="116">
        <f t="shared" si="466"/>
        <v>0</v>
      </c>
      <c r="P165" s="116">
        <f t="shared" si="465"/>
        <v>0</v>
      </c>
      <c r="Q165" s="116">
        <f t="shared" si="465"/>
        <v>0</v>
      </c>
      <c r="R165" s="116">
        <f t="shared" si="465"/>
        <v>0</v>
      </c>
      <c r="S165" s="116">
        <f t="shared" si="465"/>
        <v>0</v>
      </c>
      <c r="T165" s="116">
        <f t="shared" ref="T165:U165" si="467">T54+T108</f>
        <v>0</v>
      </c>
      <c r="U165" s="116">
        <f t="shared" si="467"/>
        <v>0</v>
      </c>
      <c r="V165" s="116">
        <f t="shared" si="465"/>
        <v>0</v>
      </c>
      <c r="W165" s="116">
        <f t="shared" si="465"/>
        <v>0</v>
      </c>
      <c r="X165" s="116">
        <f t="shared" si="465"/>
        <v>0</v>
      </c>
      <c r="Y165" s="116">
        <f t="shared" si="465"/>
        <v>0</v>
      </c>
      <c r="Z165" s="116">
        <f t="shared" si="465"/>
        <v>0</v>
      </c>
      <c r="AA165" s="116">
        <f t="shared" ref="AA165:AC165" si="468">AA54+AA108</f>
        <v>0</v>
      </c>
      <c r="AB165" s="116">
        <f t="shared" si="468"/>
        <v>0</v>
      </c>
      <c r="AC165" s="116">
        <f t="shared" si="468"/>
        <v>0</v>
      </c>
      <c r="AD165" s="116">
        <f t="shared" ref="AD165" si="469">AD54+AD108</f>
        <v>0</v>
      </c>
      <c r="AE165" s="116">
        <f t="shared" ref="AE165:AF165" si="470">AE54+AE108</f>
        <v>0</v>
      </c>
      <c r="AF165" s="116">
        <f t="shared" si="470"/>
        <v>0</v>
      </c>
      <c r="AG165" s="116">
        <f t="shared" si="465"/>
        <v>0</v>
      </c>
      <c r="AH165" s="116">
        <f t="shared" ref="AH165:AI165" si="471">AH54+AH108</f>
        <v>0</v>
      </c>
      <c r="AI165" s="116">
        <f t="shared" si="471"/>
        <v>0</v>
      </c>
      <c r="AJ165" s="116">
        <f t="shared" ref="AJ165" si="472">AJ54+AJ108</f>
        <v>0</v>
      </c>
      <c r="AK165" s="116"/>
      <c r="AL165" s="116"/>
      <c r="AM165" s="116"/>
      <c r="AN165" s="116"/>
      <c r="AO165" s="116"/>
      <c r="AP165" s="116"/>
      <c r="AQ165" s="116"/>
      <c r="AR165" s="116"/>
      <c r="AS165" s="116"/>
      <c r="AT165" s="116"/>
      <c r="AU165" s="116"/>
      <c r="AV165" s="116"/>
      <c r="AW165" s="116"/>
      <c r="AX165" s="116"/>
      <c r="AY165" s="116"/>
      <c r="AZ165" s="116"/>
      <c r="BA165" s="116"/>
      <c r="BB165" s="116"/>
      <c r="BC165" s="116"/>
      <c r="BD165" s="116"/>
      <c r="BE165" s="116"/>
      <c r="BF165" s="116"/>
      <c r="BG165" s="116"/>
      <c r="BH165" s="116"/>
      <c r="BI165" s="116"/>
      <c r="BJ165" s="116"/>
      <c r="BK165" s="116"/>
      <c r="BL165" s="116"/>
      <c r="BM165" s="116"/>
      <c r="BN165" s="116"/>
      <c r="BO165" s="116"/>
      <c r="BP165" s="116"/>
      <c r="BQ165" s="116"/>
      <c r="BR165" s="116"/>
      <c r="BS165" s="116"/>
      <c r="BT165" s="116"/>
    </row>
    <row r="166" spans="1:72" s="109" customFormat="1" hidden="1" outlineLevel="1" x14ac:dyDescent="0.25">
      <c r="A166" s="112" t="s">
        <v>93</v>
      </c>
      <c r="B166" s="117">
        <f t="shared" ref="B166:D166" si="473">B55+B109</f>
        <v>0</v>
      </c>
      <c r="C166" s="117">
        <f t="shared" ref="C166" si="474">C55+C109</f>
        <v>0</v>
      </c>
      <c r="D166" s="117">
        <f t="shared" si="473"/>
        <v>0</v>
      </c>
      <c r="E166" s="117">
        <f t="shared" ref="E166" si="475">E55+E109</f>
        <v>0</v>
      </c>
      <c r="F166" s="117">
        <f t="shared" si="293"/>
        <v>0</v>
      </c>
      <c r="G166" s="117">
        <f t="shared" si="293"/>
        <v>0</v>
      </c>
      <c r="H166" s="117">
        <f t="shared" ref="H166" si="476">H55+H109</f>
        <v>0</v>
      </c>
      <c r="I166" s="117">
        <f t="shared" ref="I166" si="477">I55+I109</f>
        <v>0</v>
      </c>
      <c r="J166" s="117">
        <f t="shared" si="293"/>
        <v>0</v>
      </c>
      <c r="K166" s="117">
        <f t="shared" ref="K166" si="478">K55+K109</f>
        <v>0</v>
      </c>
      <c r="L166" s="117">
        <f t="shared" si="293"/>
        <v>0</v>
      </c>
      <c r="M166" s="117">
        <f t="shared" ref="M166:AG166" si="479">M55+M109</f>
        <v>0</v>
      </c>
      <c r="N166" s="117">
        <f t="shared" ref="N166:O166" si="480">N55+N109</f>
        <v>0</v>
      </c>
      <c r="O166" s="117">
        <f t="shared" si="480"/>
        <v>0</v>
      </c>
      <c r="P166" s="117">
        <f t="shared" si="479"/>
        <v>0</v>
      </c>
      <c r="Q166" s="117">
        <f t="shared" si="479"/>
        <v>0</v>
      </c>
      <c r="R166" s="117">
        <f t="shared" si="479"/>
        <v>0</v>
      </c>
      <c r="S166" s="117">
        <f t="shared" si="479"/>
        <v>0</v>
      </c>
      <c r="T166" s="117">
        <f t="shared" ref="T166:U166" si="481">T55+T109</f>
        <v>0</v>
      </c>
      <c r="U166" s="117">
        <f t="shared" si="481"/>
        <v>0</v>
      </c>
      <c r="V166" s="117">
        <f t="shared" si="479"/>
        <v>0</v>
      </c>
      <c r="W166" s="117">
        <f t="shared" si="479"/>
        <v>0</v>
      </c>
      <c r="X166" s="117">
        <f t="shared" si="479"/>
        <v>0</v>
      </c>
      <c r="Y166" s="117">
        <f t="shared" si="479"/>
        <v>0</v>
      </c>
      <c r="Z166" s="117">
        <f t="shared" si="479"/>
        <v>0</v>
      </c>
      <c r="AA166" s="117">
        <f t="shared" ref="AA166:AC166" si="482">AA55+AA109</f>
        <v>0</v>
      </c>
      <c r="AB166" s="117">
        <f t="shared" si="482"/>
        <v>0</v>
      </c>
      <c r="AC166" s="117">
        <f t="shared" si="482"/>
        <v>0</v>
      </c>
      <c r="AD166" s="117">
        <f t="shared" ref="AD166" si="483">AD55+AD109</f>
        <v>0</v>
      </c>
      <c r="AE166" s="117">
        <f t="shared" ref="AE166:AF166" si="484">AE55+AE109</f>
        <v>0</v>
      </c>
      <c r="AF166" s="117">
        <f t="shared" si="484"/>
        <v>0</v>
      </c>
      <c r="AG166" s="117">
        <f t="shared" si="479"/>
        <v>0</v>
      </c>
      <c r="AH166" s="117">
        <f t="shared" ref="AH166:AI166" si="485">AH55+AH109</f>
        <v>0</v>
      </c>
      <c r="AI166" s="117">
        <f t="shared" si="485"/>
        <v>0</v>
      </c>
      <c r="AJ166" s="117">
        <f t="shared" ref="AJ166" si="486">AJ55+AJ109</f>
        <v>0</v>
      </c>
      <c r="AK166" s="117"/>
      <c r="AL166" s="117"/>
      <c r="AM166" s="117"/>
      <c r="AN166" s="117"/>
      <c r="AO166" s="117"/>
      <c r="AP166" s="117"/>
      <c r="AQ166" s="117"/>
      <c r="AR166" s="117"/>
      <c r="AS166" s="117"/>
      <c r="AT166" s="117"/>
      <c r="AU166" s="117"/>
      <c r="AV166" s="117"/>
      <c r="AW166" s="117"/>
      <c r="AX166" s="117"/>
      <c r="AY166" s="117"/>
      <c r="AZ166" s="117"/>
      <c r="BA166" s="117"/>
      <c r="BB166" s="117"/>
      <c r="BC166" s="117"/>
      <c r="BD166" s="117"/>
      <c r="BE166" s="117"/>
      <c r="BF166" s="117"/>
      <c r="BG166" s="117"/>
      <c r="BH166" s="117"/>
      <c r="BI166" s="117"/>
      <c r="BJ166" s="117"/>
      <c r="BK166" s="117"/>
      <c r="BL166" s="117"/>
      <c r="BM166" s="117"/>
      <c r="BN166" s="117"/>
      <c r="BO166" s="117"/>
      <c r="BP166" s="117"/>
      <c r="BQ166" s="117"/>
      <c r="BR166" s="117"/>
      <c r="BS166" s="117"/>
      <c r="BT166" s="117"/>
    </row>
    <row r="167" spans="1:72" s="108" customFormat="1" hidden="1" outlineLevel="1" x14ac:dyDescent="0.25">
      <c r="A167" s="112" t="s">
        <v>427</v>
      </c>
      <c r="B167" s="116">
        <f t="shared" ref="B167:D167" si="487">B56+B110</f>
        <v>0</v>
      </c>
      <c r="C167" s="116">
        <f t="shared" ref="C167" si="488">C56+C110</f>
        <v>0</v>
      </c>
      <c r="D167" s="116">
        <f t="shared" si="487"/>
        <v>0</v>
      </c>
      <c r="E167" s="116">
        <f t="shared" ref="E167" si="489">E56+E110</f>
        <v>0</v>
      </c>
      <c r="F167" s="116">
        <f t="shared" si="293"/>
        <v>0</v>
      </c>
      <c r="G167" s="116">
        <f t="shared" si="293"/>
        <v>0</v>
      </c>
      <c r="H167" s="116">
        <f t="shared" ref="H167" si="490">H56+H110</f>
        <v>0</v>
      </c>
      <c r="I167" s="116">
        <f t="shared" ref="I167" si="491">I56+I110</f>
        <v>0</v>
      </c>
      <c r="J167" s="116">
        <f t="shared" si="293"/>
        <v>0</v>
      </c>
      <c r="K167" s="116">
        <f t="shared" ref="K167" si="492">K56+K110</f>
        <v>0</v>
      </c>
      <c r="L167" s="116">
        <f t="shared" si="293"/>
        <v>0</v>
      </c>
      <c r="M167" s="116">
        <f t="shared" ref="M167:AG167" si="493">M56+M110</f>
        <v>0</v>
      </c>
      <c r="N167" s="116">
        <f t="shared" ref="N167:O167" si="494">N56+N110</f>
        <v>0</v>
      </c>
      <c r="O167" s="116">
        <f t="shared" si="494"/>
        <v>0</v>
      </c>
      <c r="P167" s="116">
        <f t="shared" si="493"/>
        <v>0</v>
      </c>
      <c r="Q167" s="116">
        <f t="shared" si="493"/>
        <v>0</v>
      </c>
      <c r="R167" s="116">
        <f t="shared" si="493"/>
        <v>0</v>
      </c>
      <c r="S167" s="116">
        <f t="shared" si="493"/>
        <v>0</v>
      </c>
      <c r="T167" s="116">
        <f t="shared" ref="T167:U167" si="495">T56+T110</f>
        <v>0</v>
      </c>
      <c r="U167" s="116">
        <f t="shared" si="495"/>
        <v>0</v>
      </c>
      <c r="V167" s="116">
        <f t="shared" si="493"/>
        <v>0</v>
      </c>
      <c r="W167" s="116">
        <f t="shared" si="493"/>
        <v>0</v>
      </c>
      <c r="X167" s="116">
        <f t="shared" si="493"/>
        <v>0</v>
      </c>
      <c r="Y167" s="116">
        <f t="shared" si="493"/>
        <v>0</v>
      </c>
      <c r="Z167" s="116">
        <f t="shared" si="493"/>
        <v>0</v>
      </c>
      <c r="AA167" s="116">
        <f t="shared" ref="AA167:AC167" si="496">AA56+AA110</f>
        <v>0</v>
      </c>
      <c r="AB167" s="116">
        <f t="shared" si="496"/>
        <v>0</v>
      </c>
      <c r="AC167" s="116">
        <f t="shared" si="496"/>
        <v>0</v>
      </c>
      <c r="AD167" s="116">
        <f t="shared" ref="AD167" si="497">AD56+AD110</f>
        <v>0</v>
      </c>
      <c r="AE167" s="116">
        <f t="shared" ref="AE167:AF167" si="498">AE56+AE110</f>
        <v>0</v>
      </c>
      <c r="AF167" s="116">
        <f t="shared" si="498"/>
        <v>0</v>
      </c>
      <c r="AG167" s="116">
        <f t="shared" si="493"/>
        <v>0</v>
      </c>
      <c r="AH167" s="116">
        <f t="shared" ref="AH167:AI167" si="499">AH56+AH110</f>
        <v>0</v>
      </c>
      <c r="AI167" s="116">
        <f t="shared" si="499"/>
        <v>0</v>
      </c>
      <c r="AJ167" s="116">
        <f t="shared" ref="AJ167" si="500">AJ56+AJ110</f>
        <v>0</v>
      </c>
      <c r="AK167" s="116"/>
      <c r="AL167" s="116"/>
      <c r="AM167" s="116"/>
      <c r="AN167" s="116"/>
      <c r="AO167" s="116"/>
      <c r="AP167" s="116"/>
      <c r="AQ167" s="116"/>
      <c r="AR167" s="116"/>
      <c r="AS167" s="116"/>
      <c r="AT167" s="116"/>
      <c r="AU167" s="116"/>
      <c r="AV167" s="116"/>
      <c r="AW167" s="116"/>
      <c r="AX167" s="116"/>
      <c r="AY167" s="116"/>
      <c r="AZ167" s="116"/>
      <c r="BA167" s="116"/>
      <c r="BB167" s="116"/>
      <c r="BC167" s="116"/>
      <c r="BD167" s="116"/>
      <c r="BE167" s="116"/>
      <c r="BF167" s="116"/>
      <c r="BG167" s="116"/>
      <c r="BH167" s="116"/>
      <c r="BI167" s="116"/>
      <c r="BJ167" s="116"/>
      <c r="BK167" s="116"/>
      <c r="BL167" s="116"/>
      <c r="BM167" s="116"/>
      <c r="BN167" s="116"/>
      <c r="BO167" s="116"/>
      <c r="BP167" s="116"/>
      <c r="BQ167" s="116"/>
      <c r="BR167" s="116"/>
      <c r="BS167" s="116"/>
      <c r="BT167" s="116"/>
    </row>
    <row r="168" spans="1:72" s="109" customFormat="1" hidden="1" outlineLevel="1" x14ac:dyDescent="0.25">
      <c r="A168" s="112" t="s">
        <v>457</v>
      </c>
      <c r="B168" s="117">
        <f t="shared" ref="B168:D168" si="501">B57+B111</f>
        <v>0</v>
      </c>
      <c r="C168" s="117">
        <f t="shared" ref="C168" si="502">C57+C111</f>
        <v>0</v>
      </c>
      <c r="D168" s="117">
        <f t="shared" si="501"/>
        <v>0</v>
      </c>
      <c r="E168" s="117">
        <f t="shared" ref="E168" si="503">E57+E111</f>
        <v>0</v>
      </c>
      <c r="F168" s="117">
        <f t="shared" si="293"/>
        <v>0</v>
      </c>
      <c r="G168" s="117">
        <f t="shared" si="293"/>
        <v>0</v>
      </c>
      <c r="H168" s="117">
        <f t="shared" ref="H168" si="504">H57+H111</f>
        <v>0</v>
      </c>
      <c r="I168" s="117">
        <f t="shared" ref="I168" si="505">I57+I111</f>
        <v>0</v>
      </c>
      <c r="J168" s="117">
        <f t="shared" si="293"/>
        <v>0</v>
      </c>
      <c r="K168" s="117">
        <f t="shared" ref="K168" si="506">K57+K111</f>
        <v>0</v>
      </c>
      <c r="L168" s="117">
        <f t="shared" si="293"/>
        <v>0</v>
      </c>
      <c r="M168" s="117">
        <f t="shared" ref="M168:AG168" si="507">M57+M111</f>
        <v>0</v>
      </c>
      <c r="N168" s="117">
        <f t="shared" ref="N168:O168" si="508">N57+N111</f>
        <v>0</v>
      </c>
      <c r="O168" s="117">
        <f t="shared" si="508"/>
        <v>0</v>
      </c>
      <c r="P168" s="117">
        <f t="shared" si="507"/>
        <v>0</v>
      </c>
      <c r="Q168" s="117">
        <f t="shared" si="507"/>
        <v>0</v>
      </c>
      <c r="R168" s="117">
        <f t="shared" si="507"/>
        <v>0</v>
      </c>
      <c r="S168" s="117">
        <f t="shared" si="507"/>
        <v>0</v>
      </c>
      <c r="T168" s="117">
        <f t="shared" ref="T168:U168" si="509">T57+T111</f>
        <v>0</v>
      </c>
      <c r="U168" s="117">
        <f t="shared" si="509"/>
        <v>0</v>
      </c>
      <c r="V168" s="117">
        <f t="shared" si="507"/>
        <v>0</v>
      </c>
      <c r="W168" s="117">
        <f t="shared" si="507"/>
        <v>0</v>
      </c>
      <c r="X168" s="117">
        <f t="shared" si="507"/>
        <v>0</v>
      </c>
      <c r="Y168" s="117">
        <f t="shared" si="507"/>
        <v>0</v>
      </c>
      <c r="Z168" s="117">
        <f t="shared" si="507"/>
        <v>0</v>
      </c>
      <c r="AA168" s="117">
        <f t="shared" ref="AA168:AC168" si="510">AA57+AA111</f>
        <v>0</v>
      </c>
      <c r="AB168" s="117">
        <f t="shared" si="510"/>
        <v>0</v>
      </c>
      <c r="AC168" s="117">
        <f t="shared" si="510"/>
        <v>0</v>
      </c>
      <c r="AD168" s="117">
        <f t="shared" ref="AD168" si="511">AD57+AD111</f>
        <v>0</v>
      </c>
      <c r="AE168" s="117">
        <f t="shared" ref="AE168:AF168" si="512">AE57+AE111</f>
        <v>0</v>
      </c>
      <c r="AF168" s="117">
        <f t="shared" si="512"/>
        <v>0</v>
      </c>
      <c r="AG168" s="117">
        <f t="shared" si="507"/>
        <v>0</v>
      </c>
      <c r="AH168" s="117">
        <f t="shared" ref="AH168:AI168" si="513">AH57+AH111</f>
        <v>0</v>
      </c>
      <c r="AI168" s="117">
        <f t="shared" si="513"/>
        <v>0</v>
      </c>
      <c r="AJ168" s="117">
        <f t="shared" ref="AJ168" si="514">AJ57+AJ111</f>
        <v>0</v>
      </c>
      <c r="AK168" s="117"/>
      <c r="AL168" s="117"/>
      <c r="AM168" s="117"/>
      <c r="AN168" s="117"/>
      <c r="AO168" s="117"/>
      <c r="AP168" s="117"/>
      <c r="AQ168" s="117"/>
      <c r="AR168" s="117"/>
      <c r="AS168" s="117"/>
      <c r="AT168" s="117"/>
      <c r="AU168" s="117"/>
      <c r="AV168" s="117"/>
      <c r="AW168" s="117"/>
      <c r="AX168" s="117"/>
      <c r="AY168" s="117"/>
      <c r="AZ168" s="117"/>
      <c r="BA168" s="117"/>
      <c r="BB168" s="117"/>
      <c r="BC168" s="117"/>
      <c r="BD168" s="117"/>
      <c r="BE168" s="117"/>
      <c r="BF168" s="117"/>
      <c r="BG168" s="117"/>
      <c r="BH168" s="117"/>
      <c r="BI168" s="117"/>
      <c r="BJ168" s="117"/>
      <c r="BK168" s="117"/>
      <c r="BL168" s="117"/>
      <c r="BM168" s="117"/>
      <c r="BN168" s="117"/>
      <c r="BO168" s="117"/>
      <c r="BP168" s="117"/>
      <c r="BQ168" s="117"/>
      <c r="BR168" s="117"/>
      <c r="BS168" s="117"/>
      <c r="BT168" s="117"/>
    </row>
    <row r="169" spans="1:72" s="108" customFormat="1" hidden="1" outlineLevel="1" x14ac:dyDescent="0.25">
      <c r="A169" s="112" t="s">
        <v>92</v>
      </c>
      <c r="B169" s="116">
        <f t="shared" ref="B169:D169" si="515">B58+B112</f>
        <v>0</v>
      </c>
      <c r="C169" s="116">
        <f t="shared" ref="C169" si="516">C58+C112</f>
        <v>0</v>
      </c>
      <c r="D169" s="116">
        <f t="shared" si="515"/>
        <v>0</v>
      </c>
      <c r="E169" s="116">
        <f t="shared" ref="E169" si="517">E58+E112</f>
        <v>0</v>
      </c>
      <c r="F169" s="116">
        <f t="shared" si="293"/>
        <v>0</v>
      </c>
      <c r="G169" s="116">
        <f t="shared" si="293"/>
        <v>0</v>
      </c>
      <c r="H169" s="116">
        <f t="shared" ref="H169" si="518">H58+H112</f>
        <v>0</v>
      </c>
      <c r="I169" s="116">
        <f t="shared" ref="I169" si="519">I58+I112</f>
        <v>0</v>
      </c>
      <c r="J169" s="116">
        <f t="shared" si="293"/>
        <v>0</v>
      </c>
      <c r="K169" s="116">
        <f t="shared" ref="K169" si="520">K58+K112</f>
        <v>0</v>
      </c>
      <c r="L169" s="116">
        <f t="shared" si="293"/>
        <v>0</v>
      </c>
      <c r="M169" s="116">
        <f t="shared" ref="M169:AG169" si="521">M58+M112</f>
        <v>0</v>
      </c>
      <c r="N169" s="116">
        <f t="shared" ref="N169:O169" si="522">N58+N112</f>
        <v>0</v>
      </c>
      <c r="O169" s="116">
        <f t="shared" si="522"/>
        <v>0</v>
      </c>
      <c r="P169" s="116">
        <f t="shared" si="521"/>
        <v>0</v>
      </c>
      <c r="Q169" s="116">
        <f t="shared" si="521"/>
        <v>0</v>
      </c>
      <c r="R169" s="116">
        <f t="shared" si="521"/>
        <v>0</v>
      </c>
      <c r="S169" s="116">
        <f t="shared" si="521"/>
        <v>0</v>
      </c>
      <c r="T169" s="116">
        <f t="shared" ref="T169:U169" si="523">T58+T112</f>
        <v>0</v>
      </c>
      <c r="U169" s="116">
        <f t="shared" si="523"/>
        <v>0</v>
      </c>
      <c r="V169" s="116">
        <f t="shared" si="521"/>
        <v>0</v>
      </c>
      <c r="W169" s="116">
        <f t="shared" si="521"/>
        <v>0</v>
      </c>
      <c r="X169" s="116">
        <f t="shared" si="521"/>
        <v>0</v>
      </c>
      <c r="Y169" s="116">
        <f t="shared" si="521"/>
        <v>0</v>
      </c>
      <c r="Z169" s="116">
        <f t="shared" si="521"/>
        <v>0</v>
      </c>
      <c r="AA169" s="116">
        <f t="shared" ref="AA169:AC169" si="524">AA58+AA112</f>
        <v>0</v>
      </c>
      <c r="AB169" s="116">
        <f t="shared" si="524"/>
        <v>0</v>
      </c>
      <c r="AC169" s="116">
        <f t="shared" si="524"/>
        <v>0</v>
      </c>
      <c r="AD169" s="116">
        <f t="shared" ref="AD169" si="525">AD58+AD112</f>
        <v>0</v>
      </c>
      <c r="AE169" s="116">
        <f t="shared" ref="AE169:AF169" si="526">AE58+AE112</f>
        <v>0</v>
      </c>
      <c r="AF169" s="116">
        <f t="shared" si="526"/>
        <v>0</v>
      </c>
      <c r="AG169" s="116">
        <f t="shared" si="521"/>
        <v>0</v>
      </c>
      <c r="AH169" s="116">
        <f t="shared" ref="AH169:AI169" si="527">AH58+AH112</f>
        <v>0</v>
      </c>
      <c r="AI169" s="116">
        <f t="shared" si="527"/>
        <v>0</v>
      </c>
      <c r="AJ169" s="116">
        <f t="shared" ref="AJ169" si="528">AJ58+AJ112</f>
        <v>0</v>
      </c>
      <c r="AK169" s="116"/>
      <c r="AL169" s="116"/>
      <c r="AM169" s="116"/>
      <c r="AN169" s="116"/>
      <c r="AO169" s="116"/>
      <c r="AP169" s="116"/>
      <c r="AQ169" s="116"/>
      <c r="AR169" s="116"/>
      <c r="AS169" s="116"/>
      <c r="AT169" s="116"/>
      <c r="AU169" s="116"/>
      <c r="AV169" s="116"/>
      <c r="AW169" s="116"/>
      <c r="AX169" s="116"/>
      <c r="AY169" s="116"/>
      <c r="AZ169" s="116"/>
      <c r="BA169" s="116"/>
      <c r="BB169" s="116"/>
      <c r="BC169" s="116"/>
      <c r="BD169" s="116"/>
      <c r="BE169" s="116"/>
      <c r="BF169" s="116"/>
      <c r="BG169" s="116"/>
      <c r="BH169" s="116"/>
      <c r="BI169" s="116"/>
      <c r="BJ169" s="116"/>
      <c r="BK169" s="116"/>
      <c r="BL169" s="116"/>
      <c r="BM169" s="116"/>
      <c r="BN169" s="116"/>
      <c r="BO169" s="116"/>
      <c r="BP169" s="116"/>
      <c r="BQ169" s="116"/>
      <c r="BR169" s="116"/>
      <c r="BS169" s="116"/>
      <c r="BT169" s="116"/>
    </row>
    <row r="170" spans="1:72" s="109" customFormat="1" hidden="1" outlineLevel="1" x14ac:dyDescent="0.25">
      <c r="A170" s="112" t="s">
        <v>94</v>
      </c>
      <c r="B170" s="117">
        <f t="shared" ref="B170:D170" si="529">B59+B113</f>
        <v>0</v>
      </c>
      <c r="C170" s="117">
        <f t="shared" ref="C170" si="530">C59+C113</f>
        <v>0</v>
      </c>
      <c r="D170" s="117">
        <f t="shared" si="529"/>
        <v>0</v>
      </c>
      <c r="E170" s="117">
        <f t="shared" ref="E170" si="531">E59+E113</f>
        <v>0</v>
      </c>
      <c r="F170" s="117">
        <f t="shared" si="293"/>
        <v>0</v>
      </c>
      <c r="G170" s="117">
        <f t="shared" si="293"/>
        <v>0</v>
      </c>
      <c r="H170" s="117">
        <f t="shared" ref="H170" si="532">H59+H113</f>
        <v>0</v>
      </c>
      <c r="I170" s="117">
        <f t="shared" ref="I170" si="533">I59+I113</f>
        <v>0</v>
      </c>
      <c r="J170" s="117">
        <f t="shared" si="293"/>
        <v>0</v>
      </c>
      <c r="K170" s="117">
        <f t="shared" ref="K170" si="534">K59+K113</f>
        <v>0</v>
      </c>
      <c r="L170" s="117">
        <f t="shared" si="293"/>
        <v>0</v>
      </c>
      <c r="M170" s="117">
        <f t="shared" ref="M170:AG170" si="535">M59+M113</f>
        <v>0</v>
      </c>
      <c r="N170" s="117">
        <f t="shared" ref="N170:O170" si="536">N59+N113</f>
        <v>0</v>
      </c>
      <c r="O170" s="117">
        <f t="shared" si="536"/>
        <v>0</v>
      </c>
      <c r="P170" s="117">
        <f t="shared" si="535"/>
        <v>0</v>
      </c>
      <c r="Q170" s="117">
        <f t="shared" si="535"/>
        <v>0</v>
      </c>
      <c r="R170" s="117">
        <f t="shared" si="535"/>
        <v>0</v>
      </c>
      <c r="S170" s="117">
        <f t="shared" si="535"/>
        <v>0</v>
      </c>
      <c r="T170" s="117">
        <f t="shared" ref="T170:U170" si="537">T59+T113</f>
        <v>0</v>
      </c>
      <c r="U170" s="117">
        <f t="shared" si="537"/>
        <v>0</v>
      </c>
      <c r="V170" s="117">
        <f t="shared" si="535"/>
        <v>0</v>
      </c>
      <c r="W170" s="117">
        <f t="shared" si="535"/>
        <v>0</v>
      </c>
      <c r="X170" s="117">
        <f t="shared" si="535"/>
        <v>0</v>
      </c>
      <c r="Y170" s="117">
        <f t="shared" si="535"/>
        <v>0</v>
      </c>
      <c r="Z170" s="117">
        <f t="shared" si="535"/>
        <v>0</v>
      </c>
      <c r="AA170" s="117">
        <f t="shared" ref="AA170:AC170" si="538">AA59+AA113</f>
        <v>0</v>
      </c>
      <c r="AB170" s="117">
        <f t="shared" si="538"/>
        <v>0</v>
      </c>
      <c r="AC170" s="117">
        <f t="shared" si="538"/>
        <v>0</v>
      </c>
      <c r="AD170" s="117">
        <f t="shared" ref="AD170" si="539">AD59+AD113</f>
        <v>0</v>
      </c>
      <c r="AE170" s="117">
        <f t="shared" ref="AE170:AF170" si="540">AE59+AE113</f>
        <v>0</v>
      </c>
      <c r="AF170" s="117">
        <f t="shared" si="540"/>
        <v>0</v>
      </c>
      <c r="AG170" s="117">
        <f t="shared" si="535"/>
        <v>0</v>
      </c>
      <c r="AH170" s="117">
        <f t="shared" ref="AH170:AI170" si="541">AH59+AH113</f>
        <v>0</v>
      </c>
      <c r="AI170" s="117">
        <f t="shared" si="541"/>
        <v>0</v>
      </c>
      <c r="AJ170" s="117">
        <f t="shared" ref="AJ170" si="542">AJ59+AJ113</f>
        <v>0</v>
      </c>
      <c r="AK170" s="117"/>
      <c r="AL170" s="117"/>
      <c r="AM170" s="117"/>
      <c r="AN170" s="117"/>
      <c r="AO170" s="117"/>
      <c r="AP170" s="117"/>
      <c r="AQ170" s="117"/>
      <c r="AR170" s="117"/>
      <c r="AS170" s="117"/>
      <c r="AT170" s="117"/>
      <c r="AU170" s="117"/>
      <c r="AV170" s="117"/>
      <c r="AW170" s="117"/>
      <c r="AX170" s="117"/>
      <c r="AY170" s="117"/>
      <c r="AZ170" s="117"/>
      <c r="BA170" s="117"/>
      <c r="BB170" s="117"/>
      <c r="BC170" s="117"/>
      <c r="BD170" s="117"/>
      <c r="BE170" s="117"/>
      <c r="BF170" s="117"/>
      <c r="BG170" s="117"/>
      <c r="BH170" s="117"/>
      <c r="BI170" s="117"/>
      <c r="BJ170" s="117"/>
      <c r="BK170" s="117"/>
      <c r="BL170" s="117"/>
      <c r="BM170" s="117"/>
      <c r="BN170" s="117"/>
      <c r="BO170" s="117"/>
      <c r="BP170" s="117"/>
      <c r="BQ170" s="117"/>
      <c r="BR170" s="117"/>
      <c r="BS170" s="117"/>
      <c r="BT170" s="117"/>
    </row>
    <row r="171" spans="1:72" s="108" customFormat="1" hidden="1" outlineLevel="1" x14ac:dyDescent="0.25">
      <c r="A171" s="112" t="s">
        <v>95</v>
      </c>
      <c r="B171" s="116">
        <f t="shared" ref="B171:D171" si="543">B60+B114</f>
        <v>0</v>
      </c>
      <c r="C171" s="116">
        <f t="shared" ref="C171" si="544">C60+C114</f>
        <v>0</v>
      </c>
      <c r="D171" s="116">
        <f t="shared" si="543"/>
        <v>0</v>
      </c>
      <c r="E171" s="116">
        <f t="shared" ref="E171" si="545">E60+E114</f>
        <v>0</v>
      </c>
      <c r="F171" s="116">
        <f t="shared" si="293"/>
        <v>0</v>
      </c>
      <c r="G171" s="116">
        <f t="shared" si="293"/>
        <v>0</v>
      </c>
      <c r="H171" s="116">
        <f t="shared" ref="H171" si="546">H60+H114</f>
        <v>0</v>
      </c>
      <c r="I171" s="116">
        <f t="shared" ref="I171" si="547">I60+I114</f>
        <v>0</v>
      </c>
      <c r="J171" s="116">
        <f t="shared" si="293"/>
        <v>0</v>
      </c>
      <c r="K171" s="116">
        <f t="shared" ref="K171" si="548">K60+K114</f>
        <v>0</v>
      </c>
      <c r="L171" s="116">
        <f t="shared" si="293"/>
        <v>0</v>
      </c>
      <c r="M171" s="116">
        <f t="shared" ref="M171:AG171" si="549">M60+M114</f>
        <v>0</v>
      </c>
      <c r="N171" s="116">
        <f t="shared" ref="N171:O171" si="550">N60+N114</f>
        <v>0</v>
      </c>
      <c r="O171" s="116">
        <f t="shared" si="550"/>
        <v>0</v>
      </c>
      <c r="P171" s="116">
        <f t="shared" si="549"/>
        <v>0</v>
      </c>
      <c r="Q171" s="116">
        <f t="shared" si="549"/>
        <v>0</v>
      </c>
      <c r="R171" s="116">
        <f t="shared" si="549"/>
        <v>0</v>
      </c>
      <c r="S171" s="116">
        <f t="shared" si="549"/>
        <v>0</v>
      </c>
      <c r="T171" s="116">
        <f t="shared" ref="T171:U171" si="551">T60+T114</f>
        <v>0</v>
      </c>
      <c r="U171" s="116">
        <f t="shared" si="551"/>
        <v>0</v>
      </c>
      <c r="V171" s="116">
        <f t="shared" si="549"/>
        <v>0</v>
      </c>
      <c r="W171" s="116">
        <f t="shared" si="549"/>
        <v>0</v>
      </c>
      <c r="X171" s="116">
        <f t="shared" si="549"/>
        <v>0</v>
      </c>
      <c r="Y171" s="116">
        <f t="shared" si="549"/>
        <v>0</v>
      </c>
      <c r="Z171" s="116">
        <f t="shared" si="549"/>
        <v>0</v>
      </c>
      <c r="AA171" s="116">
        <f t="shared" ref="AA171:AC171" si="552">AA60+AA114</f>
        <v>0</v>
      </c>
      <c r="AB171" s="116">
        <f t="shared" si="552"/>
        <v>0</v>
      </c>
      <c r="AC171" s="116">
        <f t="shared" si="552"/>
        <v>0</v>
      </c>
      <c r="AD171" s="116">
        <f t="shared" ref="AD171" si="553">AD60+AD114</f>
        <v>0</v>
      </c>
      <c r="AE171" s="116">
        <f t="shared" ref="AE171:AF171" si="554">AE60+AE114</f>
        <v>0</v>
      </c>
      <c r="AF171" s="116">
        <f t="shared" si="554"/>
        <v>0</v>
      </c>
      <c r="AG171" s="116">
        <f t="shared" si="549"/>
        <v>0</v>
      </c>
      <c r="AH171" s="116">
        <f t="shared" ref="AH171:AI171" si="555">AH60+AH114</f>
        <v>0</v>
      </c>
      <c r="AI171" s="116">
        <f t="shared" si="555"/>
        <v>0</v>
      </c>
      <c r="AJ171" s="116">
        <f t="shared" ref="AJ171" si="556">AJ60+AJ114</f>
        <v>0</v>
      </c>
      <c r="AK171" s="116"/>
      <c r="AL171" s="116"/>
      <c r="AM171" s="116"/>
      <c r="AN171" s="116"/>
      <c r="AO171" s="116"/>
      <c r="AP171" s="116"/>
      <c r="AQ171" s="116"/>
      <c r="AR171" s="116"/>
      <c r="AS171" s="116"/>
      <c r="AT171" s="116"/>
      <c r="AU171" s="116"/>
      <c r="AV171" s="116"/>
      <c r="AW171" s="116"/>
      <c r="AX171" s="116"/>
      <c r="AY171" s="116"/>
      <c r="AZ171" s="116"/>
      <c r="BA171" s="116"/>
      <c r="BB171" s="116"/>
      <c r="BC171" s="116"/>
      <c r="BD171" s="116"/>
      <c r="BE171" s="116"/>
      <c r="BF171" s="116"/>
      <c r="BG171" s="116"/>
      <c r="BH171" s="116"/>
      <c r="BI171" s="116"/>
      <c r="BJ171" s="116"/>
      <c r="BK171" s="116"/>
      <c r="BL171" s="116"/>
      <c r="BM171" s="116"/>
      <c r="BN171" s="116"/>
      <c r="BO171" s="116"/>
      <c r="BP171" s="116"/>
      <c r="BQ171" s="116"/>
      <c r="BR171" s="116"/>
      <c r="BS171" s="116"/>
      <c r="BT171" s="116"/>
    </row>
    <row r="172" spans="1:72" s="109" customFormat="1" hidden="1" outlineLevel="1" x14ac:dyDescent="0.25">
      <c r="A172" s="112" t="s">
        <v>96</v>
      </c>
      <c r="B172" s="117">
        <f t="shared" ref="B172:D172" si="557">B61+B115</f>
        <v>0</v>
      </c>
      <c r="C172" s="117">
        <f t="shared" ref="C172" si="558">C61+C115</f>
        <v>0</v>
      </c>
      <c r="D172" s="117">
        <f t="shared" si="557"/>
        <v>0</v>
      </c>
      <c r="E172" s="117">
        <f t="shared" ref="E172" si="559">E61+E115</f>
        <v>0</v>
      </c>
      <c r="F172" s="117">
        <f t="shared" si="293"/>
        <v>0</v>
      </c>
      <c r="G172" s="117">
        <f t="shared" si="293"/>
        <v>0</v>
      </c>
      <c r="H172" s="117">
        <f t="shared" ref="H172" si="560">H61+H115</f>
        <v>0</v>
      </c>
      <c r="I172" s="117">
        <f t="shared" ref="I172" si="561">I61+I115</f>
        <v>0</v>
      </c>
      <c r="J172" s="117">
        <f t="shared" si="293"/>
        <v>0</v>
      </c>
      <c r="K172" s="117">
        <f t="shared" ref="K172" si="562">K61+K115</f>
        <v>0</v>
      </c>
      <c r="L172" s="117">
        <f t="shared" si="293"/>
        <v>0</v>
      </c>
      <c r="M172" s="117">
        <f t="shared" ref="M172:AG172" si="563">M61+M115</f>
        <v>0</v>
      </c>
      <c r="N172" s="117">
        <f t="shared" ref="N172:O172" si="564">N61+N115</f>
        <v>0</v>
      </c>
      <c r="O172" s="117">
        <f t="shared" si="564"/>
        <v>0</v>
      </c>
      <c r="P172" s="117">
        <f t="shared" si="563"/>
        <v>0</v>
      </c>
      <c r="Q172" s="117">
        <f t="shared" si="563"/>
        <v>0</v>
      </c>
      <c r="R172" s="117">
        <f t="shared" si="563"/>
        <v>0</v>
      </c>
      <c r="S172" s="117">
        <f t="shared" si="563"/>
        <v>0</v>
      </c>
      <c r="T172" s="117">
        <f t="shared" ref="T172:U172" si="565">T61+T115</f>
        <v>0</v>
      </c>
      <c r="U172" s="117">
        <f t="shared" si="565"/>
        <v>0</v>
      </c>
      <c r="V172" s="117">
        <f t="shared" si="563"/>
        <v>0</v>
      </c>
      <c r="W172" s="117">
        <f t="shared" si="563"/>
        <v>0</v>
      </c>
      <c r="X172" s="117">
        <f t="shared" si="563"/>
        <v>0</v>
      </c>
      <c r="Y172" s="117">
        <f t="shared" si="563"/>
        <v>0</v>
      </c>
      <c r="Z172" s="117">
        <f t="shared" si="563"/>
        <v>0</v>
      </c>
      <c r="AA172" s="117">
        <f t="shared" ref="AA172:AC172" si="566">AA61+AA115</f>
        <v>0</v>
      </c>
      <c r="AB172" s="117">
        <f t="shared" si="566"/>
        <v>0</v>
      </c>
      <c r="AC172" s="117">
        <f t="shared" si="566"/>
        <v>0</v>
      </c>
      <c r="AD172" s="117">
        <f t="shared" ref="AD172" si="567">AD61+AD115</f>
        <v>0</v>
      </c>
      <c r="AE172" s="117">
        <f t="shared" ref="AE172:AF172" si="568">AE61+AE115</f>
        <v>0</v>
      </c>
      <c r="AF172" s="117">
        <f t="shared" si="568"/>
        <v>0</v>
      </c>
      <c r="AG172" s="117">
        <f t="shared" si="563"/>
        <v>0</v>
      </c>
      <c r="AH172" s="117">
        <f t="shared" ref="AH172:AI172" si="569">AH61+AH115</f>
        <v>0</v>
      </c>
      <c r="AI172" s="117">
        <f t="shared" si="569"/>
        <v>0</v>
      </c>
      <c r="AJ172" s="117">
        <f t="shared" ref="AJ172" si="570">AJ61+AJ115</f>
        <v>0</v>
      </c>
      <c r="AK172" s="117"/>
      <c r="AL172" s="117"/>
      <c r="AM172" s="117"/>
      <c r="AN172" s="117"/>
      <c r="AO172" s="117"/>
      <c r="AP172" s="117"/>
      <c r="AQ172" s="117"/>
      <c r="AR172" s="117"/>
      <c r="AS172" s="117"/>
      <c r="AT172" s="117"/>
      <c r="AU172" s="117"/>
      <c r="AV172" s="117"/>
      <c r="AW172" s="117"/>
      <c r="AX172" s="117"/>
      <c r="AY172" s="117"/>
      <c r="AZ172" s="117"/>
      <c r="BA172" s="117"/>
      <c r="BB172" s="117"/>
      <c r="BC172" s="117"/>
      <c r="BD172" s="117"/>
      <c r="BE172" s="117"/>
      <c r="BF172" s="117"/>
      <c r="BG172" s="117"/>
      <c r="BH172" s="117"/>
      <c r="BI172" s="117"/>
      <c r="BJ172" s="117"/>
      <c r="BK172" s="117"/>
      <c r="BL172" s="117"/>
      <c r="BM172" s="117"/>
      <c r="BN172" s="117"/>
      <c r="BO172" s="117"/>
      <c r="BP172" s="117"/>
      <c r="BQ172" s="117"/>
      <c r="BR172" s="117"/>
      <c r="BS172" s="117"/>
      <c r="BT172" s="117"/>
    </row>
    <row r="173" spans="1:72" s="108" customFormat="1" hidden="1" outlineLevel="1" x14ac:dyDescent="0.25">
      <c r="A173" s="112" t="s">
        <v>97</v>
      </c>
      <c r="B173" s="116">
        <f t="shared" ref="B173:D173" si="571">B62+B116</f>
        <v>0</v>
      </c>
      <c r="C173" s="116">
        <f t="shared" ref="C173" si="572">C62+C116</f>
        <v>0</v>
      </c>
      <c r="D173" s="116">
        <f t="shared" si="571"/>
        <v>0</v>
      </c>
      <c r="E173" s="116">
        <f t="shared" ref="E173" si="573">E62+E116</f>
        <v>0</v>
      </c>
      <c r="F173" s="116">
        <f t="shared" ref="F173:L178" si="574">F62+F116</f>
        <v>0</v>
      </c>
      <c r="G173" s="116">
        <f t="shared" si="574"/>
        <v>0</v>
      </c>
      <c r="H173" s="116">
        <f t="shared" ref="H173" si="575">H62+H116</f>
        <v>0</v>
      </c>
      <c r="I173" s="116">
        <f t="shared" ref="I173" si="576">I62+I116</f>
        <v>0</v>
      </c>
      <c r="J173" s="116">
        <f t="shared" si="574"/>
        <v>0</v>
      </c>
      <c r="K173" s="116">
        <f t="shared" ref="K173" si="577">K62+K116</f>
        <v>0</v>
      </c>
      <c r="L173" s="116">
        <f t="shared" si="574"/>
        <v>0</v>
      </c>
      <c r="M173" s="116">
        <f t="shared" ref="M173:AG173" si="578">M62+M116</f>
        <v>0</v>
      </c>
      <c r="N173" s="116">
        <f t="shared" ref="N173:O173" si="579">N62+N116</f>
        <v>0</v>
      </c>
      <c r="O173" s="116">
        <f t="shared" si="579"/>
        <v>0</v>
      </c>
      <c r="P173" s="116">
        <f t="shared" si="578"/>
        <v>0</v>
      </c>
      <c r="Q173" s="116">
        <f t="shared" si="578"/>
        <v>0</v>
      </c>
      <c r="R173" s="116">
        <f t="shared" si="578"/>
        <v>0</v>
      </c>
      <c r="S173" s="116">
        <f t="shared" si="578"/>
        <v>0</v>
      </c>
      <c r="T173" s="116">
        <f t="shared" ref="T173:U173" si="580">T62+T116</f>
        <v>0</v>
      </c>
      <c r="U173" s="116">
        <f t="shared" si="580"/>
        <v>0</v>
      </c>
      <c r="V173" s="116">
        <f t="shared" si="578"/>
        <v>0</v>
      </c>
      <c r="W173" s="116">
        <f t="shared" si="578"/>
        <v>0</v>
      </c>
      <c r="X173" s="116">
        <f t="shared" si="578"/>
        <v>0</v>
      </c>
      <c r="Y173" s="116">
        <f t="shared" si="578"/>
        <v>0</v>
      </c>
      <c r="Z173" s="116">
        <f t="shared" si="578"/>
        <v>0</v>
      </c>
      <c r="AA173" s="116">
        <f t="shared" ref="AA173:AC173" si="581">AA62+AA116</f>
        <v>0</v>
      </c>
      <c r="AB173" s="116">
        <f t="shared" si="581"/>
        <v>0</v>
      </c>
      <c r="AC173" s="116">
        <f t="shared" si="581"/>
        <v>0</v>
      </c>
      <c r="AD173" s="116">
        <f t="shared" ref="AD173" si="582">AD62+AD116</f>
        <v>0</v>
      </c>
      <c r="AE173" s="116">
        <f t="shared" ref="AE173:AF173" si="583">AE62+AE116</f>
        <v>0</v>
      </c>
      <c r="AF173" s="116">
        <f t="shared" si="583"/>
        <v>0</v>
      </c>
      <c r="AG173" s="116">
        <f t="shared" si="578"/>
        <v>0</v>
      </c>
      <c r="AH173" s="116">
        <f t="shared" ref="AH173:AI173" si="584">AH62+AH116</f>
        <v>0</v>
      </c>
      <c r="AI173" s="116">
        <f t="shared" si="584"/>
        <v>0</v>
      </c>
      <c r="AJ173" s="116">
        <f t="shared" ref="AJ173" si="585">AJ62+AJ116</f>
        <v>0</v>
      </c>
      <c r="AK173" s="116"/>
      <c r="AL173" s="116"/>
      <c r="AM173" s="116"/>
      <c r="AN173" s="116"/>
      <c r="AO173" s="116"/>
      <c r="AP173" s="116"/>
      <c r="AQ173" s="116"/>
      <c r="AR173" s="116"/>
      <c r="AS173" s="116"/>
      <c r="AT173" s="116"/>
      <c r="AU173" s="116"/>
      <c r="AV173" s="116"/>
      <c r="AW173" s="116"/>
      <c r="AX173" s="116"/>
      <c r="AY173" s="116"/>
      <c r="AZ173" s="116"/>
      <c r="BA173" s="116"/>
      <c r="BB173" s="116"/>
      <c r="BC173" s="116"/>
      <c r="BD173" s="116"/>
      <c r="BE173" s="116"/>
      <c r="BF173" s="116"/>
      <c r="BG173" s="116"/>
      <c r="BH173" s="116"/>
      <c r="BI173" s="116"/>
      <c r="BJ173" s="116"/>
      <c r="BK173" s="116"/>
      <c r="BL173" s="116"/>
      <c r="BM173" s="116"/>
      <c r="BN173" s="116"/>
      <c r="BO173" s="116"/>
      <c r="BP173" s="116"/>
      <c r="BQ173" s="116"/>
      <c r="BR173" s="116"/>
      <c r="BS173" s="116"/>
      <c r="BT173" s="116"/>
    </row>
    <row r="174" spans="1:72" s="109" customFormat="1" hidden="1" outlineLevel="1" x14ac:dyDescent="0.25">
      <c r="A174" s="112" t="s">
        <v>98</v>
      </c>
      <c r="B174" s="117">
        <f t="shared" ref="B174:D174" si="586">B63+B117</f>
        <v>0</v>
      </c>
      <c r="C174" s="117">
        <f t="shared" ref="C174" si="587">C63+C117</f>
        <v>0</v>
      </c>
      <c r="D174" s="117">
        <f t="shared" si="586"/>
        <v>0</v>
      </c>
      <c r="E174" s="117">
        <f t="shared" ref="E174" si="588">E63+E117</f>
        <v>0</v>
      </c>
      <c r="F174" s="117">
        <f t="shared" si="574"/>
        <v>0</v>
      </c>
      <c r="G174" s="117">
        <f t="shared" si="574"/>
        <v>0</v>
      </c>
      <c r="H174" s="117">
        <f t="shared" ref="H174" si="589">H63+H117</f>
        <v>0</v>
      </c>
      <c r="I174" s="117">
        <f t="shared" ref="I174" si="590">I63+I117</f>
        <v>0</v>
      </c>
      <c r="J174" s="117">
        <f t="shared" si="574"/>
        <v>0</v>
      </c>
      <c r="K174" s="117">
        <f t="shared" ref="K174" si="591">K63+K117</f>
        <v>0</v>
      </c>
      <c r="L174" s="117">
        <f t="shared" si="574"/>
        <v>0</v>
      </c>
      <c r="M174" s="117">
        <f t="shared" ref="M174:AG174" si="592">M63+M117</f>
        <v>0</v>
      </c>
      <c r="N174" s="117">
        <f t="shared" ref="N174:O174" si="593">N63+N117</f>
        <v>0</v>
      </c>
      <c r="O174" s="117">
        <f t="shared" si="593"/>
        <v>0</v>
      </c>
      <c r="P174" s="117">
        <f t="shared" si="592"/>
        <v>0</v>
      </c>
      <c r="Q174" s="117">
        <f t="shared" si="592"/>
        <v>0</v>
      </c>
      <c r="R174" s="117">
        <f t="shared" si="592"/>
        <v>0</v>
      </c>
      <c r="S174" s="117">
        <f t="shared" si="592"/>
        <v>0</v>
      </c>
      <c r="T174" s="117">
        <f t="shared" ref="T174:U174" si="594">T63+T117</f>
        <v>0</v>
      </c>
      <c r="U174" s="117">
        <f t="shared" si="594"/>
        <v>0</v>
      </c>
      <c r="V174" s="117">
        <f t="shared" si="592"/>
        <v>0</v>
      </c>
      <c r="W174" s="117">
        <f t="shared" si="592"/>
        <v>0</v>
      </c>
      <c r="X174" s="117">
        <f t="shared" si="592"/>
        <v>0</v>
      </c>
      <c r="Y174" s="117">
        <f t="shared" si="592"/>
        <v>0</v>
      </c>
      <c r="Z174" s="117">
        <f t="shared" si="592"/>
        <v>0</v>
      </c>
      <c r="AA174" s="117">
        <f t="shared" ref="AA174:AC174" si="595">AA63+AA117</f>
        <v>0</v>
      </c>
      <c r="AB174" s="117">
        <f t="shared" si="595"/>
        <v>0</v>
      </c>
      <c r="AC174" s="117">
        <f t="shared" si="595"/>
        <v>0</v>
      </c>
      <c r="AD174" s="117">
        <f t="shared" ref="AD174" si="596">AD63+AD117</f>
        <v>0</v>
      </c>
      <c r="AE174" s="117">
        <f t="shared" ref="AE174:AF174" si="597">AE63+AE117</f>
        <v>0</v>
      </c>
      <c r="AF174" s="117">
        <f t="shared" si="597"/>
        <v>0</v>
      </c>
      <c r="AG174" s="117">
        <f t="shared" si="592"/>
        <v>0</v>
      </c>
      <c r="AH174" s="117">
        <f t="shared" ref="AH174:AI174" si="598">AH63+AH117</f>
        <v>0</v>
      </c>
      <c r="AI174" s="117">
        <f t="shared" si="598"/>
        <v>0</v>
      </c>
      <c r="AJ174" s="117">
        <f t="shared" ref="AJ174" si="599">AJ63+AJ117</f>
        <v>0</v>
      </c>
      <c r="AK174" s="117"/>
      <c r="AL174" s="117"/>
      <c r="AM174" s="117"/>
      <c r="AN174" s="117"/>
      <c r="AO174" s="117"/>
      <c r="AP174" s="117"/>
      <c r="AQ174" s="117"/>
      <c r="AR174" s="117"/>
      <c r="AS174" s="117"/>
      <c r="AT174" s="117"/>
      <c r="AU174" s="117"/>
      <c r="AV174" s="117"/>
      <c r="AW174" s="117"/>
      <c r="AX174" s="117"/>
      <c r="AY174" s="117"/>
      <c r="AZ174" s="117"/>
      <c r="BA174" s="117"/>
      <c r="BB174" s="117"/>
      <c r="BC174" s="117"/>
      <c r="BD174" s="117"/>
      <c r="BE174" s="117"/>
      <c r="BF174" s="117"/>
      <c r="BG174" s="117"/>
      <c r="BH174" s="117"/>
      <c r="BI174" s="117"/>
      <c r="BJ174" s="117"/>
      <c r="BK174" s="117"/>
      <c r="BL174" s="117"/>
      <c r="BM174" s="117"/>
      <c r="BN174" s="117"/>
      <c r="BO174" s="117"/>
      <c r="BP174" s="117"/>
      <c r="BQ174" s="117"/>
      <c r="BR174" s="117"/>
      <c r="BS174" s="117"/>
      <c r="BT174" s="117"/>
    </row>
    <row r="175" spans="1:72" s="108" customFormat="1" hidden="1" outlineLevel="1" x14ac:dyDescent="0.25">
      <c r="A175" s="112" t="s">
        <v>424</v>
      </c>
      <c r="B175" s="116">
        <f t="shared" ref="B175:D175" si="600">B64+B118</f>
        <v>0.12</v>
      </c>
      <c r="C175" s="116">
        <f t="shared" ref="C175" si="601">C64+C118</f>
        <v>0.12</v>
      </c>
      <c r="D175" s="116">
        <f t="shared" si="600"/>
        <v>0.12</v>
      </c>
      <c r="E175" s="116">
        <f t="shared" ref="E175" si="602">E64+E118</f>
        <v>0.12</v>
      </c>
      <c r="F175" s="116">
        <f t="shared" si="574"/>
        <v>0</v>
      </c>
      <c r="G175" s="116">
        <f t="shared" si="574"/>
        <v>0</v>
      </c>
      <c r="H175" s="116">
        <f t="shared" ref="H175" si="603">H64+H118</f>
        <v>0</v>
      </c>
      <c r="I175" s="116">
        <f t="shared" ref="I175" si="604">I64+I118</f>
        <v>0</v>
      </c>
      <c r="J175" s="116">
        <f t="shared" si="574"/>
        <v>0</v>
      </c>
      <c r="K175" s="116">
        <f t="shared" ref="K175" si="605">K64+K118</f>
        <v>0</v>
      </c>
      <c r="L175" s="116">
        <f t="shared" si="574"/>
        <v>0</v>
      </c>
      <c r="M175" s="116">
        <f t="shared" ref="M175:AG175" si="606">M64+M118</f>
        <v>0.12</v>
      </c>
      <c r="N175" s="116">
        <f t="shared" ref="N175:O175" si="607">N64+N118</f>
        <v>0.12</v>
      </c>
      <c r="O175" s="116">
        <f t="shared" si="607"/>
        <v>0.12</v>
      </c>
      <c r="P175" s="116">
        <f t="shared" si="606"/>
        <v>0.12</v>
      </c>
      <c r="Q175" s="116">
        <f t="shared" si="606"/>
        <v>0.12</v>
      </c>
      <c r="R175" s="116">
        <f t="shared" si="606"/>
        <v>0.12</v>
      </c>
      <c r="S175" s="116">
        <f t="shared" si="606"/>
        <v>0.12</v>
      </c>
      <c r="T175" s="116">
        <f t="shared" ref="T175:U175" si="608">T64+T118</f>
        <v>0.12</v>
      </c>
      <c r="U175" s="116">
        <f t="shared" si="608"/>
        <v>0.12</v>
      </c>
      <c r="V175" s="116">
        <f t="shared" si="606"/>
        <v>0.12</v>
      </c>
      <c r="W175" s="116">
        <f t="shared" si="606"/>
        <v>0.12</v>
      </c>
      <c r="X175" s="116">
        <f t="shared" si="606"/>
        <v>0.12</v>
      </c>
      <c r="Y175" s="116">
        <f t="shared" si="606"/>
        <v>0.12</v>
      </c>
      <c r="Z175" s="116">
        <f t="shared" si="606"/>
        <v>0.12</v>
      </c>
      <c r="AA175" s="116">
        <f t="shared" ref="AA175:AC175" si="609">AA64+AA118</f>
        <v>0.12</v>
      </c>
      <c r="AB175" s="116">
        <f t="shared" si="609"/>
        <v>0.12</v>
      </c>
      <c r="AC175" s="116">
        <f t="shared" si="609"/>
        <v>0.12</v>
      </c>
      <c r="AD175" s="116">
        <f t="shared" ref="AD175" si="610">AD64+AD118</f>
        <v>0.12</v>
      </c>
      <c r="AE175" s="116">
        <f t="shared" ref="AE175:AF175" si="611">AE64+AE118</f>
        <v>0.12</v>
      </c>
      <c r="AF175" s="116">
        <f t="shared" si="611"/>
        <v>0.12</v>
      </c>
      <c r="AG175" s="116">
        <f t="shared" si="606"/>
        <v>0.12</v>
      </c>
      <c r="AH175" s="116">
        <f t="shared" ref="AH175:AI175" si="612">AH64+AH118</f>
        <v>0.12</v>
      </c>
      <c r="AI175" s="116">
        <f t="shared" si="612"/>
        <v>0</v>
      </c>
      <c r="AJ175" s="116">
        <f t="shared" ref="AJ175" si="613">AJ64+AJ118</f>
        <v>0</v>
      </c>
      <c r="AK175" s="116"/>
      <c r="AL175" s="116"/>
      <c r="AM175" s="116"/>
      <c r="AN175" s="116"/>
      <c r="AO175" s="116"/>
      <c r="AP175" s="116"/>
      <c r="AQ175" s="116"/>
      <c r="AR175" s="116"/>
      <c r="AS175" s="116"/>
      <c r="AT175" s="116"/>
      <c r="AU175" s="116"/>
      <c r="AV175" s="116"/>
      <c r="AW175" s="116"/>
      <c r="AX175" s="116"/>
      <c r="AY175" s="116"/>
      <c r="AZ175" s="116"/>
      <c r="BA175" s="116"/>
      <c r="BB175" s="116"/>
      <c r="BC175" s="116"/>
      <c r="BD175" s="116"/>
      <c r="BE175" s="116"/>
      <c r="BF175" s="116"/>
      <c r="BG175" s="116"/>
      <c r="BH175" s="116"/>
      <c r="BI175" s="116"/>
      <c r="BJ175" s="116"/>
      <c r="BK175" s="116"/>
      <c r="BL175" s="116"/>
      <c r="BM175" s="116"/>
      <c r="BN175" s="116"/>
      <c r="BO175" s="116"/>
      <c r="BP175" s="116"/>
      <c r="BQ175" s="116"/>
      <c r="BR175" s="116"/>
      <c r="BS175" s="116"/>
      <c r="BT175" s="116"/>
    </row>
    <row r="176" spans="1:72" s="109" customFormat="1" hidden="1" outlineLevel="1" x14ac:dyDescent="0.25">
      <c r="A176" s="112" t="s">
        <v>425</v>
      </c>
      <c r="B176" s="117">
        <f t="shared" ref="B176:D176" si="614">B65+B119</f>
        <v>0</v>
      </c>
      <c r="C176" s="117">
        <f t="shared" ref="C176" si="615">C65+C119</f>
        <v>0</v>
      </c>
      <c r="D176" s="117">
        <f t="shared" si="614"/>
        <v>0</v>
      </c>
      <c r="E176" s="117">
        <f t="shared" ref="E176" si="616">E65+E119</f>
        <v>0</v>
      </c>
      <c r="F176" s="117">
        <f t="shared" si="574"/>
        <v>0</v>
      </c>
      <c r="G176" s="117">
        <f t="shared" si="574"/>
        <v>0</v>
      </c>
      <c r="H176" s="117">
        <f t="shared" ref="H176" si="617">H65+H119</f>
        <v>0</v>
      </c>
      <c r="I176" s="117">
        <f t="shared" ref="I176" si="618">I65+I119</f>
        <v>0</v>
      </c>
      <c r="J176" s="117">
        <f t="shared" si="574"/>
        <v>0</v>
      </c>
      <c r="K176" s="117">
        <f t="shared" ref="K176" si="619">K65+K119</f>
        <v>0</v>
      </c>
      <c r="L176" s="117">
        <f t="shared" si="574"/>
        <v>0</v>
      </c>
      <c r="M176" s="117">
        <f t="shared" ref="M176:AG176" si="620">M65+M119</f>
        <v>0</v>
      </c>
      <c r="N176" s="117">
        <f t="shared" ref="N176:O176" si="621">N65+N119</f>
        <v>0</v>
      </c>
      <c r="O176" s="117">
        <f t="shared" si="621"/>
        <v>0</v>
      </c>
      <c r="P176" s="117">
        <f t="shared" si="620"/>
        <v>0</v>
      </c>
      <c r="Q176" s="117">
        <f t="shared" si="620"/>
        <v>0</v>
      </c>
      <c r="R176" s="117">
        <f t="shared" si="620"/>
        <v>0</v>
      </c>
      <c r="S176" s="117">
        <f t="shared" si="620"/>
        <v>0</v>
      </c>
      <c r="T176" s="117">
        <f t="shared" ref="T176:U176" si="622">T65+T119</f>
        <v>0</v>
      </c>
      <c r="U176" s="117">
        <f t="shared" si="622"/>
        <v>0</v>
      </c>
      <c r="V176" s="117">
        <f t="shared" si="620"/>
        <v>0</v>
      </c>
      <c r="W176" s="117">
        <f t="shared" si="620"/>
        <v>0</v>
      </c>
      <c r="X176" s="117">
        <f t="shared" si="620"/>
        <v>0</v>
      </c>
      <c r="Y176" s="117">
        <f t="shared" si="620"/>
        <v>0</v>
      </c>
      <c r="Z176" s="117">
        <f t="shared" si="620"/>
        <v>0</v>
      </c>
      <c r="AA176" s="117">
        <f t="shared" ref="AA176:AC176" si="623">AA65+AA119</f>
        <v>0</v>
      </c>
      <c r="AB176" s="117">
        <f t="shared" si="623"/>
        <v>0</v>
      </c>
      <c r="AC176" s="117">
        <f t="shared" si="623"/>
        <v>0</v>
      </c>
      <c r="AD176" s="117">
        <f t="shared" ref="AD176" si="624">AD65+AD119</f>
        <v>0</v>
      </c>
      <c r="AE176" s="117">
        <f t="shared" ref="AE176:AF176" si="625">AE65+AE119</f>
        <v>0</v>
      </c>
      <c r="AF176" s="117">
        <f t="shared" si="625"/>
        <v>0</v>
      </c>
      <c r="AG176" s="117">
        <f t="shared" si="620"/>
        <v>0</v>
      </c>
      <c r="AH176" s="117">
        <f t="shared" ref="AH176:AI176" si="626">AH65+AH119</f>
        <v>0</v>
      </c>
      <c r="AI176" s="117">
        <f t="shared" si="626"/>
        <v>0</v>
      </c>
      <c r="AJ176" s="117">
        <f t="shared" ref="AJ176" si="627">AJ65+AJ119</f>
        <v>0</v>
      </c>
      <c r="AK176" s="117"/>
      <c r="AL176" s="117"/>
      <c r="AM176" s="117"/>
      <c r="AN176" s="117"/>
      <c r="AO176" s="117"/>
      <c r="AP176" s="117"/>
      <c r="AQ176" s="117"/>
      <c r="AR176" s="117"/>
      <c r="AS176" s="117"/>
      <c r="AT176" s="117"/>
      <c r="AU176" s="117"/>
      <c r="AV176" s="117"/>
      <c r="AW176" s="117"/>
      <c r="AX176" s="117"/>
      <c r="AY176" s="117"/>
      <c r="AZ176" s="117"/>
      <c r="BA176" s="117"/>
      <c r="BB176" s="117"/>
      <c r="BC176" s="117"/>
      <c r="BD176" s="117"/>
      <c r="BE176" s="117"/>
      <c r="BF176" s="117"/>
      <c r="BG176" s="117"/>
      <c r="BH176" s="117"/>
      <c r="BI176" s="117"/>
      <c r="BJ176" s="117"/>
      <c r="BK176" s="117"/>
      <c r="BL176" s="117"/>
      <c r="BM176" s="117"/>
      <c r="BN176" s="117"/>
      <c r="BO176" s="117"/>
      <c r="BP176" s="117"/>
      <c r="BQ176" s="117"/>
      <c r="BR176" s="117"/>
      <c r="BS176" s="117"/>
      <c r="BT176" s="117"/>
    </row>
    <row r="177" spans="1:72" s="108" customFormat="1" hidden="1" outlineLevel="1" x14ac:dyDescent="0.25">
      <c r="A177" s="112" t="s">
        <v>438</v>
      </c>
      <c r="B177" s="116">
        <f t="shared" ref="B177:D177" si="628">B66+B120</f>
        <v>0</v>
      </c>
      <c r="C177" s="116">
        <f t="shared" ref="C177" si="629">C66+C120</f>
        <v>0</v>
      </c>
      <c r="D177" s="116">
        <f t="shared" si="628"/>
        <v>0</v>
      </c>
      <c r="E177" s="116">
        <f t="shared" ref="E177" si="630">E66+E120</f>
        <v>0</v>
      </c>
      <c r="F177" s="116">
        <f t="shared" si="574"/>
        <v>0</v>
      </c>
      <c r="G177" s="116">
        <f t="shared" si="574"/>
        <v>0</v>
      </c>
      <c r="H177" s="116">
        <f t="shared" ref="H177" si="631">H66+H120</f>
        <v>0</v>
      </c>
      <c r="I177" s="116">
        <f t="shared" ref="I177" si="632">I66+I120</f>
        <v>0</v>
      </c>
      <c r="J177" s="116">
        <f t="shared" si="574"/>
        <v>0</v>
      </c>
      <c r="K177" s="116">
        <f t="shared" ref="K177" si="633">K66+K120</f>
        <v>0</v>
      </c>
      <c r="L177" s="116">
        <f t="shared" si="574"/>
        <v>0</v>
      </c>
      <c r="M177" s="116">
        <f t="shared" ref="M177:AG177" si="634">M66+M120</f>
        <v>0</v>
      </c>
      <c r="N177" s="116">
        <f t="shared" ref="N177:O177" si="635">N66+N120</f>
        <v>0</v>
      </c>
      <c r="O177" s="116">
        <f t="shared" si="635"/>
        <v>0</v>
      </c>
      <c r="P177" s="116">
        <f t="shared" si="634"/>
        <v>0</v>
      </c>
      <c r="Q177" s="116">
        <f t="shared" si="634"/>
        <v>0</v>
      </c>
      <c r="R177" s="116">
        <f t="shared" si="634"/>
        <v>0</v>
      </c>
      <c r="S177" s="116">
        <f t="shared" si="634"/>
        <v>0</v>
      </c>
      <c r="T177" s="116">
        <f t="shared" ref="T177:U177" si="636">T66+T120</f>
        <v>0</v>
      </c>
      <c r="U177" s="116">
        <f t="shared" si="636"/>
        <v>0</v>
      </c>
      <c r="V177" s="116">
        <f t="shared" si="634"/>
        <v>0</v>
      </c>
      <c r="W177" s="116">
        <f t="shared" si="634"/>
        <v>0</v>
      </c>
      <c r="X177" s="116">
        <f t="shared" si="634"/>
        <v>0</v>
      </c>
      <c r="Y177" s="116">
        <f t="shared" si="634"/>
        <v>0</v>
      </c>
      <c r="Z177" s="116">
        <f t="shared" si="634"/>
        <v>0</v>
      </c>
      <c r="AA177" s="116">
        <f t="shared" ref="AA177:AC177" si="637">AA66+AA120</f>
        <v>0</v>
      </c>
      <c r="AB177" s="116">
        <f t="shared" si="637"/>
        <v>0</v>
      </c>
      <c r="AC177" s="116">
        <f t="shared" si="637"/>
        <v>0</v>
      </c>
      <c r="AD177" s="116">
        <f t="shared" ref="AD177" si="638">AD66+AD120</f>
        <v>0</v>
      </c>
      <c r="AE177" s="116">
        <f t="shared" ref="AE177:AF177" si="639">AE66+AE120</f>
        <v>0</v>
      </c>
      <c r="AF177" s="116">
        <f t="shared" si="639"/>
        <v>0</v>
      </c>
      <c r="AG177" s="116">
        <f t="shared" si="634"/>
        <v>0</v>
      </c>
      <c r="AH177" s="116">
        <f t="shared" ref="AH177:AI177" si="640">AH66+AH120</f>
        <v>0</v>
      </c>
      <c r="AI177" s="116">
        <f t="shared" si="640"/>
        <v>0</v>
      </c>
      <c r="AJ177" s="116">
        <f t="shared" ref="AJ177" si="641">AJ66+AJ120</f>
        <v>0</v>
      </c>
      <c r="AK177" s="116"/>
      <c r="AL177" s="116"/>
      <c r="AM177" s="116"/>
      <c r="AN177" s="116"/>
      <c r="AO177" s="116"/>
      <c r="AP177" s="116"/>
      <c r="AQ177" s="116"/>
      <c r="AR177" s="116"/>
      <c r="AS177" s="116"/>
      <c r="AT177" s="116"/>
      <c r="AU177" s="116"/>
      <c r="AV177" s="116"/>
      <c r="AW177" s="116"/>
      <c r="AX177" s="116"/>
      <c r="AY177" s="116"/>
      <c r="AZ177" s="116"/>
      <c r="BA177" s="116"/>
      <c r="BB177" s="116"/>
      <c r="BC177" s="116"/>
      <c r="BD177" s="116"/>
      <c r="BE177" s="116"/>
      <c r="BF177" s="116"/>
      <c r="BG177" s="116"/>
      <c r="BH177" s="116"/>
      <c r="BI177" s="116"/>
      <c r="BJ177" s="116"/>
      <c r="BK177" s="116"/>
      <c r="BL177" s="116"/>
      <c r="BM177" s="116"/>
      <c r="BN177" s="116"/>
      <c r="BO177" s="116"/>
      <c r="BP177" s="116"/>
      <c r="BQ177" s="116"/>
      <c r="BR177" s="116"/>
      <c r="BS177" s="116"/>
      <c r="BT177" s="116"/>
    </row>
    <row r="178" spans="1:72" s="109" customFormat="1" hidden="1" outlineLevel="1" x14ac:dyDescent="0.25">
      <c r="A178" s="112" t="s">
        <v>426</v>
      </c>
      <c r="B178" s="117">
        <f t="shared" ref="B178:D178" si="642">B67+B121</f>
        <v>0</v>
      </c>
      <c r="C178" s="117">
        <f t="shared" ref="C178" si="643">C67+C121</f>
        <v>0</v>
      </c>
      <c r="D178" s="117">
        <f t="shared" si="642"/>
        <v>0</v>
      </c>
      <c r="E178" s="117">
        <f t="shared" ref="E178" si="644">E67+E121</f>
        <v>0</v>
      </c>
      <c r="F178" s="117">
        <f t="shared" si="574"/>
        <v>0</v>
      </c>
      <c r="G178" s="117">
        <f t="shared" si="574"/>
        <v>0</v>
      </c>
      <c r="H178" s="117">
        <f t="shared" ref="H178" si="645">H67+H121</f>
        <v>0</v>
      </c>
      <c r="I178" s="117">
        <f t="shared" ref="I178" si="646">I67+I121</f>
        <v>0</v>
      </c>
      <c r="J178" s="117">
        <f t="shared" si="574"/>
        <v>0</v>
      </c>
      <c r="K178" s="117">
        <f t="shared" ref="K178" si="647">K67+K121</f>
        <v>0</v>
      </c>
      <c r="L178" s="117">
        <f t="shared" si="574"/>
        <v>0</v>
      </c>
      <c r="M178" s="117">
        <f t="shared" ref="M178:AG178" si="648">M67+M121</f>
        <v>0</v>
      </c>
      <c r="N178" s="117">
        <f t="shared" ref="N178:O178" si="649">N67+N121</f>
        <v>0</v>
      </c>
      <c r="O178" s="117">
        <f t="shared" si="649"/>
        <v>0</v>
      </c>
      <c r="P178" s="117">
        <f t="shared" si="648"/>
        <v>0</v>
      </c>
      <c r="Q178" s="117">
        <f t="shared" si="648"/>
        <v>0</v>
      </c>
      <c r="R178" s="117">
        <f t="shared" si="648"/>
        <v>0</v>
      </c>
      <c r="S178" s="117">
        <f t="shared" si="648"/>
        <v>0</v>
      </c>
      <c r="T178" s="117">
        <f t="shared" ref="T178:U178" si="650">T67+T121</f>
        <v>0</v>
      </c>
      <c r="U178" s="117">
        <f t="shared" si="650"/>
        <v>0</v>
      </c>
      <c r="V178" s="117">
        <f t="shared" si="648"/>
        <v>0</v>
      </c>
      <c r="W178" s="117">
        <f t="shared" si="648"/>
        <v>0</v>
      </c>
      <c r="X178" s="117">
        <f t="shared" si="648"/>
        <v>0</v>
      </c>
      <c r="Y178" s="117">
        <f t="shared" si="648"/>
        <v>0</v>
      </c>
      <c r="Z178" s="117">
        <f t="shared" si="648"/>
        <v>0</v>
      </c>
      <c r="AA178" s="117">
        <f t="shared" ref="AA178:AC178" si="651">AA67+AA121</f>
        <v>0</v>
      </c>
      <c r="AB178" s="117">
        <f t="shared" si="651"/>
        <v>0</v>
      </c>
      <c r="AC178" s="117">
        <f t="shared" si="651"/>
        <v>0</v>
      </c>
      <c r="AD178" s="117">
        <f t="shared" ref="AD178" si="652">AD67+AD121</f>
        <v>0</v>
      </c>
      <c r="AE178" s="117">
        <f t="shared" ref="AE178:AF178" si="653">AE67+AE121</f>
        <v>0</v>
      </c>
      <c r="AF178" s="117">
        <f t="shared" si="653"/>
        <v>0</v>
      </c>
      <c r="AG178" s="117">
        <f t="shared" si="648"/>
        <v>0</v>
      </c>
      <c r="AH178" s="117">
        <f t="shared" ref="AH178:AI178" si="654">AH67+AH121</f>
        <v>0</v>
      </c>
      <c r="AI178" s="117">
        <f t="shared" si="654"/>
        <v>0</v>
      </c>
      <c r="AJ178" s="117">
        <f t="shared" ref="AJ178" si="655">AJ67+AJ121</f>
        <v>0</v>
      </c>
      <c r="AK178" s="117"/>
      <c r="AL178" s="117"/>
      <c r="AM178" s="117"/>
      <c r="AN178" s="117"/>
      <c r="AO178" s="117"/>
      <c r="AP178" s="117"/>
      <c r="AQ178" s="117"/>
      <c r="AR178" s="117"/>
      <c r="AS178" s="117"/>
      <c r="AT178" s="117"/>
      <c r="AU178" s="117"/>
      <c r="AV178" s="117"/>
      <c r="AW178" s="117"/>
      <c r="AX178" s="117"/>
      <c r="AY178" s="117"/>
      <c r="AZ178" s="117"/>
      <c r="BA178" s="117"/>
      <c r="BB178" s="117"/>
      <c r="BC178" s="117"/>
      <c r="BD178" s="117"/>
      <c r="BE178" s="117"/>
      <c r="BF178" s="117"/>
      <c r="BG178" s="117"/>
      <c r="BH178" s="117"/>
      <c r="BI178" s="117"/>
      <c r="BJ178" s="117"/>
      <c r="BK178" s="117"/>
      <c r="BL178" s="117"/>
      <c r="BM178" s="117"/>
      <c r="BN178" s="117"/>
      <c r="BO178" s="117"/>
      <c r="BP178" s="117"/>
      <c r="BQ178" s="117"/>
      <c r="BR178" s="117"/>
      <c r="BS178" s="117"/>
      <c r="BT178" s="117"/>
    </row>
    <row r="179" spans="1:72" s="108" customFormat="1" hidden="1" outlineLevel="1" x14ac:dyDescent="0.25">
      <c r="A179" s="112" t="s">
        <v>60</v>
      </c>
      <c r="B179" s="116">
        <f t="shared" ref="B179:D179" si="656">B68-B122</f>
        <v>0.1</v>
      </c>
      <c r="C179" s="116">
        <f t="shared" ref="C179" si="657">C68-C122</f>
        <v>0.1</v>
      </c>
      <c r="D179" s="116">
        <f t="shared" si="656"/>
        <v>0.1</v>
      </c>
      <c r="E179" s="116">
        <f t="shared" ref="E179" si="658">E68-E122</f>
        <v>0.1</v>
      </c>
      <c r="F179" s="116">
        <f t="shared" ref="F179:L185" si="659">F68-F122</f>
        <v>0.1</v>
      </c>
      <c r="G179" s="116">
        <f t="shared" si="659"/>
        <v>0.1</v>
      </c>
      <c r="H179" s="116">
        <f t="shared" ref="H179" si="660">H68-H122</f>
        <v>0.1</v>
      </c>
      <c r="I179" s="116">
        <f t="shared" ref="I179" si="661">I68-I122</f>
        <v>0.1</v>
      </c>
      <c r="J179" s="116">
        <f t="shared" si="659"/>
        <v>0.1</v>
      </c>
      <c r="K179" s="116">
        <f t="shared" ref="K179" si="662">K68-K122</f>
        <v>0.1</v>
      </c>
      <c r="L179" s="116">
        <f t="shared" si="659"/>
        <v>0.1</v>
      </c>
      <c r="M179" s="116">
        <f t="shared" ref="M179:AG179" si="663">M68-M122</f>
        <v>0.1</v>
      </c>
      <c r="N179" s="116">
        <f t="shared" ref="N179:O179" si="664">N68-N122</f>
        <v>0.1</v>
      </c>
      <c r="O179" s="116">
        <f t="shared" si="664"/>
        <v>0.1</v>
      </c>
      <c r="P179" s="116">
        <f t="shared" si="663"/>
        <v>0.1</v>
      </c>
      <c r="Q179" s="116">
        <f t="shared" si="663"/>
        <v>0.1</v>
      </c>
      <c r="R179" s="116">
        <f t="shared" si="663"/>
        <v>0.1</v>
      </c>
      <c r="S179" s="116">
        <f t="shared" si="663"/>
        <v>0.1</v>
      </c>
      <c r="T179" s="116">
        <f t="shared" ref="T179:U179" si="665">T68-T122</f>
        <v>0.1</v>
      </c>
      <c r="U179" s="116">
        <f t="shared" si="665"/>
        <v>0.1</v>
      </c>
      <c r="V179" s="116">
        <f t="shared" si="663"/>
        <v>0.1</v>
      </c>
      <c r="W179" s="116">
        <f t="shared" si="663"/>
        <v>0.1</v>
      </c>
      <c r="X179" s="116">
        <f t="shared" si="663"/>
        <v>0.1</v>
      </c>
      <c r="Y179" s="116">
        <f t="shared" si="663"/>
        <v>0.1</v>
      </c>
      <c r="Z179" s="116">
        <f t="shared" si="663"/>
        <v>0.1</v>
      </c>
      <c r="AA179" s="116">
        <f t="shared" ref="AA179:AC179" si="666">AA68-AA122</f>
        <v>0.1</v>
      </c>
      <c r="AB179" s="116">
        <f t="shared" si="666"/>
        <v>0.1</v>
      </c>
      <c r="AC179" s="116">
        <f t="shared" si="666"/>
        <v>0.1</v>
      </c>
      <c r="AD179" s="116">
        <f t="shared" ref="AD179" si="667">AD68-AD122</f>
        <v>0.1</v>
      </c>
      <c r="AE179" s="116">
        <f t="shared" ref="AE179:AF179" si="668">AE68-AE122</f>
        <v>0.1</v>
      </c>
      <c r="AF179" s="116">
        <f t="shared" si="668"/>
        <v>0.1</v>
      </c>
      <c r="AG179" s="116">
        <f t="shared" si="663"/>
        <v>0.1</v>
      </c>
      <c r="AH179" s="116">
        <f t="shared" ref="AH179:AI179" si="669">AH68-AH122</f>
        <v>0.1</v>
      </c>
      <c r="AI179" s="116">
        <f t="shared" si="669"/>
        <v>0.1</v>
      </c>
      <c r="AJ179" s="116">
        <f t="shared" ref="AJ179" si="670">AJ68-AJ122</f>
        <v>0.1</v>
      </c>
      <c r="AK179" s="116"/>
      <c r="AL179" s="116"/>
      <c r="AM179" s="116"/>
      <c r="AN179" s="116"/>
      <c r="AO179" s="116"/>
      <c r="AP179" s="116"/>
      <c r="AQ179" s="116"/>
      <c r="AR179" s="116"/>
      <c r="AS179" s="116"/>
      <c r="AT179" s="116"/>
      <c r="AU179" s="116"/>
      <c r="AV179" s="116"/>
      <c r="AW179" s="116"/>
      <c r="AX179" s="116"/>
      <c r="AY179" s="116"/>
      <c r="AZ179" s="116"/>
      <c r="BA179" s="116"/>
      <c r="BB179" s="116"/>
      <c r="BC179" s="116"/>
      <c r="BD179" s="116"/>
      <c r="BE179" s="116"/>
      <c r="BF179" s="116"/>
      <c r="BG179" s="116"/>
      <c r="BH179" s="116"/>
      <c r="BI179" s="116"/>
      <c r="BJ179" s="116"/>
      <c r="BK179" s="116"/>
      <c r="BL179" s="116"/>
      <c r="BM179" s="116"/>
      <c r="BN179" s="116"/>
      <c r="BO179" s="116"/>
      <c r="BP179" s="116"/>
      <c r="BQ179" s="116"/>
      <c r="BR179" s="116"/>
      <c r="BS179" s="116"/>
      <c r="BT179" s="116"/>
    </row>
    <row r="180" spans="1:72" s="109" customFormat="1" hidden="1" outlineLevel="1" x14ac:dyDescent="0.25">
      <c r="A180" s="112" t="s">
        <v>58</v>
      </c>
      <c r="B180" s="106">
        <f t="shared" ref="B180:D180" si="671">B69-B123</f>
        <v>0.1</v>
      </c>
      <c r="C180" s="106">
        <f t="shared" ref="C180" si="672">C69-C123</f>
        <v>0.1</v>
      </c>
      <c r="D180" s="106">
        <f t="shared" si="671"/>
        <v>0.1</v>
      </c>
      <c r="E180" s="106">
        <f t="shared" ref="E180" si="673">E69-E123</f>
        <v>0.1</v>
      </c>
      <c r="F180" s="106">
        <f t="shared" si="659"/>
        <v>0.1</v>
      </c>
      <c r="G180" s="106">
        <f t="shared" si="659"/>
        <v>0.1</v>
      </c>
      <c r="H180" s="106">
        <f t="shared" ref="H180" si="674">H69-H123</f>
        <v>0.1</v>
      </c>
      <c r="I180" s="106">
        <f t="shared" ref="I180" si="675">I69-I123</f>
        <v>0.1</v>
      </c>
      <c r="J180" s="106">
        <f t="shared" si="659"/>
        <v>0.1</v>
      </c>
      <c r="K180" s="106">
        <f t="shared" ref="K180" si="676">K69-K123</f>
        <v>0.1</v>
      </c>
      <c r="L180" s="106">
        <f t="shared" si="659"/>
        <v>0.1</v>
      </c>
      <c r="M180" s="106">
        <f t="shared" ref="M180:AG180" si="677">M69-M123</f>
        <v>0.1</v>
      </c>
      <c r="N180" s="106">
        <f t="shared" ref="N180:O180" si="678">N69-N123</f>
        <v>0.1</v>
      </c>
      <c r="O180" s="106">
        <f t="shared" si="678"/>
        <v>0.1</v>
      </c>
      <c r="P180" s="106">
        <f t="shared" si="677"/>
        <v>0.1</v>
      </c>
      <c r="Q180" s="106">
        <f t="shared" si="677"/>
        <v>0.1</v>
      </c>
      <c r="R180" s="106">
        <f t="shared" si="677"/>
        <v>0.1</v>
      </c>
      <c r="S180" s="106">
        <f t="shared" si="677"/>
        <v>0.1</v>
      </c>
      <c r="T180" s="106">
        <f t="shared" ref="T180:U180" si="679">T69-T123</f>
        <v>0.1</v>
      </c>
      <c r="U180" s="106">
        <f t="shared" si="679"/>
        <v>0.1</v>
      </c>
      <c r="V180" s="106">
        <f t="shared" si="677"/>
        <v>0.1</v>
      </c>
      <c r="W180" s="106">
        <f t="shared" si="677"/>
        <v>0.1</v>
      </c>
      <c r="X180" s="106">
        <f t="shared" si="677"/>
        <v>0.1</v>
      </c>
      <c r="Y180" s="106">
        <f t="shared" si="677"/>
        <v>0.1</v>
      </c>
      <c r="Z180" s="106">
        <f t="shared" si="677"/>
        <v>0.1</v>
      </c>
      <c r="AA180" s="106">
        <f t="shared" ref="AA180:AC180" si="680">AA69-AA123</f>
        <v>0.1</v>
      </c>
      <c r="AB180" s="106">
        <f t="shared" si="680"/>
        <v>0.1</v>
      </c>
      <c r="AC180" s="106">
        <f t="shared" si="680"/>
        <v>0.1</v>
      </c>
      <c r="AD180" s="106">
        <f t="shared" ref="AD180" si="681">AD69-AD123</f>
        <v>0.1</v>
      </c>
      <c r="AE180" s="106">
        <f t="shared" ref="AE180:AF180" si="682">AE69-AE123</f>
        <v>0.1</v>
      </c>
      <c r="AF180" s="106">
        <f t="shared" si="682"/>
        <v>0.1</v>
      </c>
      <c r="AG180" s="106">
        <f t="shared" si="677"/>
        <v>0.1</v>
      </c>
      <c r="AH180" s="106">
        <f t="shared" ref="AH180:AI180" si="683">AH69-AH123</f>
        <v>0.1</v>
      </c>
      <c r="AI180" s="106">
        <f t="shared" si="683"/>
        <v>0.1</v>
      </c>
      <c r="AJ180" s="106">
        <f t="shared" ref="AJ180" si="684">AJ69-AJ123</f>
        <v>0.1</v>
      </c>
      <c r="AK180" s="106"/>
      <c r="AL180" s="106"/>
      <c r="AM180" s="106"/>
      <c r="AN180" s="106"/>
      <c r="AO180" s="106"/>
      <c r="AP180" s="106"/>
      <c r="AQ180" s="106"/>
      <c r="AR180" s="106"/>
      <c r="AS180" s="106"/>
      <c r="AT180" s="106"/>
      <c r="AU180" s="106"/>
      <c r="AV180" s="106"/>
      <c r="AW180" s="106"/>
      <c r="AX180" s="106"/>
      <c r="AY180" s="106"/>
      <c r="AZ180" s="106"/>
      <c r="BA180" s="106"/>
      <c r="BB180" s="106"/>
      <c r="BC180" s="106"/>
      <c r="BD180" s="106"/>
      <c r="BE180" s="106"/>
      <c r="BF180" s="106"/>
      <c r="BG180" s="106"/>
      <c r="BH180" s="106"/>
      <c r="BI180" s="106"/>
      <c r="BJ180" s="106"/>
      <c r="BK180" s="106"/>
      <c r="BL180" s="106"/>
      <c r="BM180" s="106"/>
      <c r="BN180" s="106"/>
      <c r="BO180" s="106"/>
      <c r="BP180" s="106"/>
      <c r="BQ180" s="106"/>
      <c r="BR180" s="106"/>
      <c r="BS180" s="106"/>
      <c r="BT180" s="106"/>
    </row>
    <row r="181" spans="1:72" s="108" customFormat="1" hidden="1" outlineLevel="1" x14ac:dyDescent="0.25">
      <c r="A181" s="112" t="s">
        <v>59</v>
      </c>
      <c r="B181" s="116">
        <f t="shared" ref="B181:D181" si="685">B70-B124</f>
        <v>0.1</v>
      </c>
      <c r="C181" s="116">
        <f t="shared" ref="C181" si="686">C70-C124</f>
        <v>0.1</v>
      </c>
      <c r="D181" s="116">
        <f t="shared" si="685"/>
        <v>0.1</v>
      </c>
      <c r="E181" s="116">
        <f t="shared" ref="E181" si="687">E70-E124</f>
        <v>0.1</v>
      </c>
      <c r="F181" s="116">
        <f t="shared" si="659"/>
        <v>0.1</v>
      </c>
      <c r="G181" s="116">
        <f t="shared" si="659"/>
        <v>0.1</v>
      </c>
      <c r="H181" s="116">
        <f t="shared" ref="H181" si="688">H70-H124</f>
        <v>0.1</v>
      </c>
      <c r="I181" s="116">
        <f t="shared" ref="I181" si="689">I70-I124</f>
        <v>0.1</v>
      </c>
      <c r="J181" s="116">
        <f t="shared" si="659"/>
        <v>0.1</v>
      </c>
      <c r="K181" s="116">
        <f t="shared" ref="K181" si="690">K70-K124</f>
        <v>0.1</v>
      </c>
      <c r="L181" s="116">
        <f t="shared" si="659"/>
        <v>0.1</v>
      </c>
      <c r="M181" s="116">
        <f t="shared" ref="M181:AG181" si="691">M70-M124</f>
        <v>0.1</v>
      </c>
      <c r="N181" s="116">
        <f t="shared" ref="N181:O181" si="692">N70-N124</f>
        <v>0.1</v>
      </c>
      <c r="O181" s="116">
        <f t="shared" si="692"/>
        <v>0.1</v>
      </c>
      <c r="P181" s="116">
        <f t="shared" si="691"/>
        <v>0.1</v>
      </c>
      <c r="Q181" s="116">
        <f t="shared" si="691"/>
        <v>0.1</v>
      </c>
      <c r="R181" s="116">
        <f t="shared" si="691"/>
        <v>0.1</v>
      </c>
      <c r="S181" s="116">
        <f t="shared" si="691"/>
        <v>0.1</v>
      </c>
      <c r="T181" s="116">
        <f t="shared" ref="T181:U181" si="693">T70-T124</f>
        <v>0.1</v>
      </c>
      <c r="U181" s="116">
        <f t="shared" si="693"/>
        <v>0.1</v>
      </c>
      <c r="V181" s="116">
        <f t="shared" si="691"/>
        <v>0.1</v>
      </c>
      <c r="W181" s="116">
        <f t="shared" si="691"/>
        <v>0.1</v>
      </c>
      <c r="X181" s="116">
        <f t="shared" si="691"/>
        <v>0.1</v>
      </c>
      <c r="Y181" s="116">
        <f t="shared" si="691"/>
        <v>0.1</v>
      </c>
      <c r="Z181" s="116">
        <f t="shared" si="691"/>
        <v>0.1</v>
      </c>
      <c r="AA181" s="116">
        <f t="shared" ref="AA181:AC181" si="694">AA70-AA124</f>
        <v>0.1</v>
      </c>
      <c r="AB181" s="116">
        <f t="shared" si="694"/>
        <v>0.1</v>
      </c>
      <c r="AC181" s="116">
        <f t="shared" si="694"/>
        <v>0.1</v>
      </c>
      <c r="AD181" s="116">
        <f t="shared" ref="AD181" si="695">AD70-AD124</f>
        <v>0.1</v>
      </c>
      <c r="AE181" s="116">
        <f t="shared" ref="AE181:AF181" si="696">AE70-AE124</f>
        <v>0.1</v>
      </c>
      <c r="AF181" s="116">
        <f t="shared" si="696"/>
        <v>0.1</v>
      </c>
      <c r="AG181" s="116">
        <f t="shared" si="691"/>
        <v>0.1</v>
      </c>
      <c r="AH181" s="116">
        <f t="shared" ref="AH181:AI181" si="697">AH70-AH124</f>
        <v>0.1</v>
      </c>
      <c r="AI181" s="116">
        <f t="shared" si="697"/>
        <v>0.1</v>
      </c>
      <c r="AJ181" s="116">
        <f t="shared" ref="AJ181" si="698">AJ70-AJ124</f>
        <v>0.1</v>
      </c>
      <c r="AK181" s="116"/>
      <c r="AL181" s="116"/>
      <c r="AM181" s="116"/>
      <c r="AN181" s="116"/>
      <c r="AO181" s="116"/>
      <c r="AP181" s="116"/>
      <c r="AQ181" s="116"/>
      <c r="AR181" s="116"/>
      <c r="AS181" s="116"/>
      <c r="AT181" s="116"/>
      <c r="AU181" s="116"/>
      <c r="AV181" s="116"/>
      <c r="AW181" s="116"/>
      <c r="AX181" s="116"/>
      <c r="AY181" s="116"/>
      <c r="AZ181" s="116"/>
      <c r="BA181" s="116"/>
      <c r="BB181" s="116"/>
      <c r="BC181" s="116"/>
      <c r="BD181" s="116"/>
      <c r="BE181" s="116"/>
      <c r="BF181" s="116"/>
      <c r="BG181" s="116"/>
      <c r="BH181" s="116"/>
      <c r="BI181" s="116"/>
      <c r="BJ181" s="116"/>
      <c r="BK181" s="116"/>
      <c r="BL181" s="116"/>
      <c r="BM181" s="116"/>
      <c r="BN181" s="116"/>
      <c r="BO181" s="116"/>
      <c r="BP181" s="116"/>
      <c r="BQ181" s="116"/>
      <c r="BR181" s="116"/>
      <c r="BS181" s="116"/>
      <c r="BT181" s="116"/>
    </row>
    <row r="182" spans="1:72" s="109" customFormat="1" hidden="1" outlineLevel="1" x14ac:dyDescent="0.25">
      <c r="A182" s="112" t="s">
        <v>26</v>
      </c>
      <c r="B182" s="106">
        <f t="shared" ref="B182:D182" si="699">B71-B125</f>
        <v>0.1</v>
      </c>
      <c r="C182" s="106">
        <f t="shared" ref="C182" si="700">C71-C125</f>
        <v>0.1</v>
      </c>
      <c r="D182" s="106">
        <f t="shared" si="699"/>
        <v>0.1</v>
      </c>
      <c r="E182" s="106">
        <f t="shared" ref="E182" si="701">E71-E125</f>
        <v>-4.9999999999999989E-2</v>
      </c>
      <c r="F182" s="106">
        <f t="shared" si="659"/>
        <v>0.1</v>
      </c>
      <c r="G182" s="106">
        <f t="shared" si="659"/>
        <v>0.1</v>
      </c>
      <c r="H182" s="106">
        <f t="shared" ref="H182" si="702">H71-H125</f>
        <v>0.1</v>
      </c>
      <c r="I182" s="106">
        <f t="shared" ref="I182" si="703">I71-I125</f>
        <v>0.1</v>
      </c>
      <c r="J182" s="106">
        <f t="shared" si="659"/>
        <v>0.1</v>
      </c>
      <c r="K182" s="106">
        <f t="shared" ref="K182" si="704">K71-K125</f>
        <v>0.1</v>
      </c>
      <c r="L182" s="106">
        <f t="shared" si="659"/>
        <v>0.1</v>
      </c>
      <c r="M182" s="106">
        <f t="shared" ref="M182:AG182" si="705">M71-M125</f>
        <v>-4.9999999999999989E-2</v>
      </c>
      <c r="N182" s="106">
        <f t="shared" ref="N182:O182" si="706">N71-N125</f>
        <v>-4.9999999999999989E-2</v>
      </c>
      <c r="O182" s="106">
        <f t="shared" si="706"/>
        <v>-4.9999999999999989E-2</v>
      </c>
      <c r="P182" s="106">
        <f t="shared" si="705"/>
        <v>0.1</v>
      </c>
      <c r="Q182" s="106">
        <f t="shared" si="705"/>
        <v>0.1</v>
      </c>
      <c r="R182" s="106">
        <f t="shared" si="705"/>
        <v>0.1</v>
      </c>
      <c r="S182" s="106">
        <f t="shared" si="705"/>
        <v>0.1</v>
      </c>
      <c r="T182" s="106">
        <f t="shared" ref="T182:U182" si="707">T71-T125</f>
        <v>0.1</v>
      </c>
      <c r="U182" s="106">
        <f t="shared" si="707"/>
        <v>-4.9999999999999989E-2</v>
      </c>
      <c r="V182" s="106">
        <f t="shared" si="705"/>
        <v>-4.9999999999999989E-2</v>
      </c>
      <c r="W182" s="106">
        <f t="shared" si="705"/>
        <v>-4.9999999999999989E-2</v>
      </c>
      <c r="X182" s="106">
        <f t="shared" si="705"/>
        <v>0.1</v>
      </c>
      <c r="Y182" s="106">
        <f t="shared" si="705"/>
        <v>0.1</v>
      </c>
      <c r="Z182" s="106">
        <f t="shared" si="705"/>
        <v>0.1</v>
      </c>
      <c r="AA182" s="106">
        <f t="shared" ref="AA182:AC182" si="708">AA71-AA125</f>
        <v>0.1</v>
      </c>
      <c r="AB182" s="106">
        <f t="shared" si="708"/>
        <v>0.1</v>
      </c>
      <c r="AC182" s="106">
        <f t="shared" si="708"/>
        <v>0.1</v>
      </c>
      <c r="AD182" s="106">
        <f t="shared" ref="AD182" si="709">AD71-AD125</f>
        <v>0.1</v>
      </c>
      <c r="AE182" s="106">
        <f t="shared" ref="AE182:AF182" si="710">AE71-AE125</f>
        <v>0.1</v>
      </c>
      <c r="AF182" s="106">
        <f t="shared" si="710"/>
        <v>0.1</v>
      </c>
      <c r="AG182" s="106">
        <f t="shared" si="705"/>
        <v>0.1</v>
      </c>
      <c r="AH182" s="106">
        <f t="shared" ref="AH182:AI182" si="711">AH71-AH125</f>
        <v>0.1</v>
      </c>
      <c r="AI182" s="106">
        <f t="shared" si="711"/>
        <v>0.1</v>
      </c>
      <c r="AJ182" s="106">
        <f t="shared" ref="AJ182" si="712">AJ71-AJ125</f>
        <v>0.1</v>
      </c>
      <c r="AK182" s="106"/>
      <c r="AL182" s="106"/>
      <c r="AM182" s="106"/>
      <c r="AN182" s="106"/>
      <c r="AO182" s="106"/>
      <c r="AP182" s="106"/>
      <c r="AQ182" s="106"/>
      <c r="AR182" s="106"/>
      <c r="AS182" s="106"/>
      <c r="AT182" s="106"/>
      <c r="AU182" s="106"/>
      <c r="AV182" s="106"/>
      <c r="AW182" s="106"/>
      <c r="AX182" s="106"/>
      <c r="AY182" s="106"/>
      <c r="AZ182" s="106"/>
      <c r="BA182" s="106"/>
      <c r="BB182" s="106"/>
      <c r="BC182" s="106"/>
      <c r="BD182" s="106"/>
      <c r="BE182" s="106"/>
      <c r="BF182" s="106"/>
      <c r="BG182" s="106"/>
      <c r="BH182" s="106"/>
      <c r="BI182" s="106"/>
      <c r="BJ182" s="106"/>
      <c r="BK182" s="106"/>
      <c r="BL182" s="106"/>
      <c r="BM182" s="106"/>
      <c r="BN182" s="106"/>
      <c r="BO182" s="106"/>
      <c r="BP182" s="106"/>
      <c r="BQ182" s="106"/>
      <c r="BR182" s="106"/>
      <c r="BS182" s="106"/>
      <c r="BT182" s="106"/>
    </row>
    <row r="183" spans="1:72" s="108" customFormat="1" hidden="1" outlineLevel="1" x14ac:dyDescent="0.25">
      <c r="A183" s="112" t="s">
        <v>55</v>
      </c>
      <c r="B183" s="116">
        <f t="shared" ref="B183:D183" si="713">B72-B126</f>
        <v>0.1</v>
      </c>
      <c r="C183" s="116">
        <f t="shared" ref="C183" si="714">C72-C126</f>
        <v>0.1</v>
      </c>
      <c r="D183" s="116">
        <f t="shared" si="713"/>
        <v>0.1</v>
      </c>
      <c r="E183" s="116">
        <f t="shared" ref="E183" si="715">E72-E126</f>
        <v>0.1</v>
      </c>
      <c r="F183" s="116">
        <f t="shared" si="659"/>
        <v>0.1</v>
      </c>
      <c r="G183" s="116">
        <f t="shared" si="659"/>
        <v>0.1</v>
      </c>
      <c r="H183" s="116">
        <f t="shared" ref="H183" si="716">H72-H126</f>
        <v>-4.9999999999999989E-2</v>
      </c>
      <c r="I183" s="116">
        <f t="shared" ref="I183" si="717">I72-I126</f>
        <v>0.1</v>
      </c>
      <c r="J183" s="116">
        <f t="shared" si="659"/>
        <v>0.1</v>
      </c>
      <c r="K183" s="116">
        <f t="shared" ref="K183" si="718">K72-K126</f>
        <v>0.1</v>
      </c>
      <c r="L183" s="116">
        <f t="shared" si="659"/>
        <v>0.1</v>
      </c>
      <c r="M183" s="116">
        <f t="shared" ref="M183:AG183" si="719">M72-M126</f>
        <v>0.1</v>
      </c>
      <c r="N183" s="116">
        <f t="shared" ref="N183:O183" si="720">N72-N126</f>
        <v>0.1</v>
      </c>
      <c r="O183" s="116">
        <f t="shared" si="720"/>
        <v>0.1</v>
      </c>
      <c r="P183" s="116">
        <f t="shared" si="719"/>
        <v>0.1</v>
      </c>
      <c r="Q183" s="116">
        <f t="shared" si="719"/>
        <v>0.1</v>
      </c>
      <c r="R183" s="116">
        <f t="shared" si="719"/>
        <v>0.1</v>
      </c>
      <c r="S183" s="116">
        <f t="shared" si="719"/>
        <v>0.1</v>
      </c>
      <c r="T183" s="116">
        <f t="shared" ref="T183:U183" si="721">T72-T126</f>
        <v>0.1</v>
      </c>
      <c r="U183" s="116">
        <f t="shared" si="721"/>
        <v>0.1</v>
      </c>
      <c r="V183" s="116">
        <f t="shared" si="719"/>
        <v>0.1</v>
      </c>
      <c r="W183" s="116">
        <f t="shared" si="719"/>
        <v>0.1</v>
      </c>
      <c r="X183" s="116">
        <f t="shared" si="719"/>
        <v>0.1</v>
      </c>
      <c r="Y183" s="116">
        <f t="shared" si="719"/>
        <v>0.1</v>
      </c>
      <c r="Z183" s="116">
        <f t="shared" si="719"/>
        <v>0.1</v>
      </c>
      <c r="AA183" s="116">
        <f t="shared" ref="AA183:AC183" si="722">AA72-AA126</f>
        <v>0.1</v>
      </c>
      <c r="AB183" s="116">
        <f t="shared" si="722"/>
        <v>0.1</v>
      </c>
      <c r="AC183" s="116">
        <f t="shared" si="722"/>
        <v>0.1</v>
      </c>
      <c r="AD183" s="116">
        <f t="shared" ref="AD183" si="723">AD72-AD126</f>
        <v>0.1</v>
      </c>
      <c r="AE183" s="116">
        <f t="shared" ref="AE183:AF183" si="724">AE72-AE126</f>
        <v>0.1</v>
      </c>
      <c r="AF183" s="116">
        <f t="shared" si="724"/>
        <v>0.1</v>
      </c>
      <c r="AG183" s="116">
        <f t="shared" si="719"/>
        <v>0.1</v>
      </c>
      <c r="AH183" s="116">
        <f t="shared" ref="AH183:AI183" si="725">AH72-AH126</f>
        <v>0.1</v>
      </c>
      <c r="AI183" s="116">
        <f t="shared" si="725"/>
        <v>0.1</v>
      </c>
      <c r="AJ183" s="116">
        <f t="shared" ref="AJ183" si="726">AJ72-AJ126</f>
        <v>0.1</v>
      </c>
      <c r="AK183" s="116"/>
      <c r="AL183" s="116"/>
      <c r="AM183" s="116"/>
      <c r="AN183" s="116"/>
      <c r="AO183" s="116"/>
      <c r="AP183" s="116"/>
      <c r="AQ183" s="116"/>
      <c r="AR183" s="116"/>
      <c r="AS183" s="116"/>
      <c r="AT183" s="116"/>
      <c r="AU183" s="116"/>
      <c r="AV183" s="116"/>
      <c r="AW183" s="116"/>
      <c r="AX183" s="116"/>
      <c r="AY183" s="116"/>
      <c r="AZ183" s="116"/>
      <c r="BA183" s="116"/>
      <c r="BB183" s="116"/>
      <c r="BC183" s="116"/>
      <c r="BD183" s="116"/>
      <c r="BE183" s="116"/>
      <c r="BF183" s="116"/>
      <c r="BG183" s="116"/>
      <c r="BH183" s="116"/>
      <c r="BI183" s="116"/>
      <c r="BJ183" s="116"/>
      <c r="BK183" s="116"/>
      <c r="BL183" s="116"/>
      <c r="BM183" s="116"/>
      <c r="BN183" s="116"/>
      <c r="BO183" s="116"/>
      <c r="BP183" s="116"/>
      <c r="BQ183" s="116"/>
      <c r="BR183" s="116"/>
      <c r="BS183" s="116"/>
      <c r="BT183" s="116"/>
    </row>
    <row r="184" spans="1:72" s="109" customFormat="1" hidden="1" outlineLevel="1" x14ac:dyDescent="0.25">
      <c r="A184" s="112" t="s">
        <v>56</v>
      </c>
      <c r="B184" s="106">
        <f t="shared" ref="B184:D184" si="727">B73-B127</f>
        <v>0.1</v>
      </c>
      <c r="C184" s="106">
        <f t="shared" ref="C184" si="728">C73-C127</f>
        <v>0.1</v>
      </c>
      <c r="D184" s="106">
        <f t="shared" si="727"/>
        <v>0.1</v>
      </c>
      <c r="E184" s="106">
        <f t="shared" ref="E184" si="729">E73-E127</f>
        <v>0.1</v>
      </c>
      <c r="F184" s="106">
        <f t="shared" si="659"/>
        <v>0.1</v>
      </c>
      <c r="G184" s="106">
        <f t="shared" si="659"/>
        <v>0.1</v>
      </c>
      <c r="H184" s="106">
        <f t="shared" ref="H184" si="730">H73-H127</f>
        <v>0.1</v>
      </c>
      <c r="I184" s="106">
        <f t="shared" ref="I184" si="731">I73-I127</f>
        <v>0.1</v>
      </c>
      <c r="J184" s="106">
        <f t="shared" si="659"/>
        <v>0.1</v>
      </c>
      <c r="K184" s="106">
        <f t="shared" ref="K184" si="732">K73-K127</f>
        <v>0.1</v>
      </c>
      <c r="L184" s="106">
        <f t="shared" si="659"/>
        <v>0.1</v>
      </c>
      <c r="M184" s="106">
        <f t="shared" ref="M184:AG184" si="733">M73-M127</f>
        <v>0.1</v>
      </c>
      <c r="N184" s="106">
        <f t="shared" ref="N184:O184" si="734">N73-N127</f>
        <v>0.1</v>
      </c>
      <c r="O184" s="106">
        <f t="shared" si="734"/>
        <v>0.1</v>
      </c>
      <c r="P184" s="106">
        <f t="shared" si="733"/>
        <v>0.1</v>
      </c>
      <c r="Q184" s="106">
        <f t="shared" si="733"/>
        <v>0.1</v>
      </c>
      <c r="R184" s="106">
        <f t="shared" si="733"/>
        <v>0.1</v>
      </c>
      <c r="S184" s="106">
        <f t="shared" si="733"/>
        <v>0.1</v>
      </c>
      <c r="T184" s="106">
        <f t="shared" ref="T184:U184" si="735">T73-T127</f>
        <v>0.1</v>
      </c>
      <c r="U184" s="106">
        <f t="shared" si="735"/>
        <v>0.1</v>
      </c>
      <c r="V184" s="106">
        <f t="shared" si="733"/>
        <v>0.1</v>
      </c>
      <c r="W184" s="106">
        <f t="shared" si="733"/>
        <v>0.1</v>
      </c>
      <c r="X184" s="106">
        <f t="shared" si="733"/>
        <v>0.1</v>
      </c>
      <c r="Y184" s="106">
        <f t="shared" si="733"/>
        <v>0.1</v>
      </c>
      <c r="Z184" s="106">
        <f t="shared" si="733"/>
        <v>0.1</v>
      </c>
      <c r="AA184" s="106">
        <f t="shared" ref="AA184:AC184" si="736">AA73-AA127</f>
        <v>0.1</v>
      </c>
      <c r="AB184" s="106">
        <f t="shared" si="736"/>
        <v>0.1</v>
      </c>
      <c r="AC184" s="106">
        <f t="shared" si="736"/>
        <v>0.1</v>
      </c>
      <c r="AD184" s="106">
        <f t="shared" ref="AD184" si="737">AD73-AD127</f>
        <v>0.1</v>
      </c>
      <c r="AE184" s="106">
        <f t="shared" ref="AE184:AF184" si="738">AE73-AE127</f>
        <v>0.1</v>
      </c>
      <c r="AF184" s="106">
        <f t="shared" si="738"/>
        <v>0.1</v>
      </c>
      <c r="AG184" s="106">
        <f t="shared" si="733"/>
        <v>0.1</v>
      </c>
      <c r="AH184" s="106">
        <f t="shared" ref="AH184:AI184" si="739">AH73-AH127</f>
        <v>0.1</v>
      </c>
      <c r="AI184" s="106">
        <f t="shared" si="739"/>
        <v>0.1</v>
      </c>
      <c r="AJ184" s="106">
        <f t="shared" ref="AJ184" si="740">AJ73-AJ127</f>
        <v>0.1</v>
      </c>
      <c r="AK184" s="106"/>
      <c r="AL184" s="106"/>
      <c r="AM184" s="106"/>
      <c r="AN184" s="106"/>
      <c r="AO184" s="106"/>
      <c r="AP184" s="106"/>
      <c r="AQ184" s="106"/>
      <c r="AR184" s="106"/>
      <c r="AS184" s="106"/>
      <c r="AT184" s="106"/>
      <c r="AU184" s="106"/>
      <c r="AV184" s="106"/>
      <c r="AW184" s="106"/>
      <c r="AX184" s="106"/>
      <c r="AY184" s="106"/>
      <c r="AZ184" s="106"/>
      <c r="BA184" s="106"/>
      <c r="BB184" s="106"/>
      <c r="BC184" s="106"/>
      <c r="BD184" s="106"/>
      <c r="BE184" s="106"/>
      <c r="BF184" s="106"/>
      <c r="BG184" s="106"/>
      <c r="BH184" s="106"/>
      <c r="BI184" s="106"/>
      <c r="BJ184" s="106"/>
      <c r="BK184" s="106"/>
      <c r="BL184" s="106"/>
      <c r="BM184" s="106"/>
      <c r="BN184" s="106"/>
      <c r="BO184" s="106"/>
      <c r="BP184" s="106"/>
      <c r="BQ184" s="106"/>
      <c r="BR184" s="106"/>
      <c r="BS184" s="106"/>
      <c r="BT184" s="106"/>
    </row>
    <row r="185" spans="1:72" s="108" customFormat="1" hidden="1" outlineLevel="1" x14ac:dyDescent="0.25">
      <c r="A185" s="112" t="s">
        <v>57</v>
      </c>
      <c r="B185" s="116">
        <f t="shared" ref="B185:D185" si="741">B74-B128</f>
        <v>0.1</v>
      </c>
      <c r="C185" s="116">
        <f t="shared" ref="C185" si="742">C74-C128</f>
        <v>0.1</v>
      </c>
      <c r="D185" s="116">
        <f t="shared" si="741"/>
        <v>0.1</v>
      </c>
      <c r="E185" s="116">
        <f t="shared" ref="E185" si="743">E74-E128</f>
        <v>0.1</v>
      </c>
      <c r="F185" s="116">
        <f t="shared" si="659"/>
        <v>0.1</v>
      </c>
      <c r="G185" s="116">
        <f t="shared" si="659"/>
        <v>0.1</v>
      </c>
      <c r="H185" s="116">
        <f t="shared" ref="H185" si="744">H74-H128</f>
        <v>0.1</v>
      </c>
      <c r="I185" s="116">
        <f t="shared" ref="I185" si="745">I74-I128</f>
        <v>0.1</v>
      </c>
      <c r="J185" s="116">
        <f t="shared" si="659"/>
        <v>0.1</v>
      </c>
      <c r="K185" s="116">
        <f t="shared" ref="K185" si="746">K74-K128</f>
        <v>0.1</v>
      </c>
      <c r="L185" s="116">
        <f t="shared" si="659"/>
        <v>0.1</v>
      </c>
      <c r="M185" s="116">
        <f t="shared" ref="M185:AG185" si="747">M74-M128</f>
        <v>0.1</v>
      </c>
      <c r="N185" s="116">
        <f t="shared" ref="N185:O185" si="748">N74-N128</f>
        <v>0.1</v>
      </c>
      <c r="O185" s="116">
        <f t="shared" si="748"/>
        <v>0.1</v>
      </c>
      <c r="P185" s="116">
        <f t="shared" si="747"/>
        <v>0.1</v>
      </c>
      <c r="Q185" s="116">
        <f t="shared" si="747"/>
        <v>0.1</v>
      </c>
      <c r="R185" s="116">
        <f t="shared" si="747"/>
        <v>0.1</v>
      </c>
      <c r="S185" s="116">
        <f t="shared" si="747"/>
        <v>0.1</v>
      </c>
      <c r="T185" s="116">
        <f t="shared" ref="T185:U185" si="749">T74-T128</f>
        <v>0.1</v>
      </c>
      <c r="U185" s="116">
        <f t="shared" si="749"/>
        <v>0.1</v>
      </c>
      <c r="V185" s="116">
        <f t="shared" si="747"/>
        <v>0.1</v>
      </c>
      <c r="W185" s="116">
        <f t="shared" si="747"/>
        <v>0.1</v>
      </c>
      <c r="X185" s="116">
        <f t="shared" si="747"/>
        <v>0.1</v>
      </c>
      <c r="Y185" s="116">
        <f t="shared" si="747"/>
        <v>0.1</v>
      </c>
      <c r="Z185" s="116">
        <f t="shared" si="747"/>
        <v>0.1</v>
      </c>
      <c r="AA185" s="116">
        <f t="shared" ref="AA185:AC185" si="750">AA74-AA128</f>
        <v>0.1</v>
      </c>
      <c r="AB185" s="116">
        <f t="shared" si="750"/>
        <v>0.1</v>
      </c>
      <c r="AC185" s="116">
        <f t="shared" si="750"/>
        <v>0.1</v>
      </c>
      <c r="AD185" s="116">
        <f t="shared" ref="AD185" si="751">AD74-AD128</f>
        <v>0.1</v>
      </c>
      <c r="AE185" s="116">
        <f t="shared" ref="AE185:AF185" si="752">AE74-AE128</f>
        <v>0.1</v>
      </c>
      <c r="AF185" s="116">
        <f t="shared" si="752"/>
        <v>0.1</v>
      </c>
      <c r="AG185" s="116">
        <f t="shared" si="747"/>
        <v>0.1</v>
      </c>
      <c r="AH185" s="116">
        <f t="shared" ref="AH185:AI185" si="753">AH74-AH128</f>
        <v>0.1</v>
      </c>
      <c r="AI185" s="116">
        <f t="shared" si="753"/>
        <v>0.1</v>
      </c>
      <c r="AJ185" s="116">
        <f t="shared" ref="AJ185" si="754">AJ74-AJ128</f>
        <v>0.1</v>
      </c>
      <c r="AK185" s="116"/>
      <c r="AL185" s="116"/>
      <c r="AM185" s="116"/>
      <c r="AN185" s="116"/>
      <c r="AO185" s="116"/>
      <c r="AP185" s="116"/>
      <c r="AQ185" s="116"/>
      <c r="AR185" s="116"/>
      <c r="AS185" s="116"/>
      <c r="AT185" s="116"/>
      <c r="AU185" s="116"/>
      <c r="AV185" s="116"/>
      <c r="AW185" s="116"/>
      <c r="AX185" s="116"/>
      <c r="AY185" s="116"/>
      <c r="AZ185" s="116"/>
      <c r="BA185" s="116"/>
      <c r="BB185" s="116"/>
      <c r="BC185" s="116"/>
      <c r="BD185" s="116"/>
      <c r="BE185" s="116"/>
      <c r="BF185" s="116"/>
      <c r="BG185" s="116"/>
      <c r="BH185" s="116"/>
      <c r="BI185" s="116"/>
      <c r="BJ185" s="116"/>
      <c r="BK185" s="116"/>
      <c r="BL185" s="116"/>
      <c r="BM185" s="116"/>
      <c r="BN185" s="116"/>
      <c r="BO185" s="116"/>
      <c r="BP185" s="116"/>
      <c r="BQ185" s="116"/>
      <c r="BR185" s="116"/>
      <c r="BS185" s="116"/>
      <c r="BT185" s="116"/>
    </row>
    <row r="186" spans="1:72" s="118" customFormat="1" collapsed="1" x14ac:dyDescent="0.25">
      <c r="A186" s="118" t="s">
        <v>695</v>
      </c>
    </row>
    <row r="187" spans="1:72" s="123" customFormat="1" hidden="1" outlineLevel="1" x14ac:dyDescent="0.25">
      <c r="A187" s="112" t="s">
        <v>660</v>
      </c>
      <c r="B187" s="122">
        <f t="shared" ref="B187:D187" si="755">IF(B179&lt;0, B179/2, IF(AND(B179&gt;=0, B179&lt;=75%), B179, IF(B179&gt;75%, 1/(4*B179+1))))</f>
        <v>0.1</v>
      </c>
      <c r="C187" s="122">
        <f t="shared" ref="C187" si="756">IF(C179&lt;0, C179/2, IF(AND(C179&gt;=0, C179&lt;=75%), C179, IF(C179&gt;75%, 1/(4*C179+1))))</f>
        <v>0.1</v>
      </c>
      <c r="D187" s="122">
        <f t="shared" si="755"/>
        <v>0.1</v>
      </c>
      <c r="E187" s="122">
        <f t="shared" ref="E187" si="757">IF(E179&lt;0, E179/2, IF(AND(E179&gt;=0, E179&lt;=75%), E179, IF(E179&gt;75%, 1/(4*E179+1))))</f>
        <v>0.1</v>
      </c>
      <c r="F187" s="122">
        <f t="shared" ref="F187:L193" si="758">IF(F179&lt;0, F179/2, IF(AND(F179&gt;=0, F179&lt;=75%), F179, IF(F179&gt;75%, 1/(4*F179+1))))</f>
        <v>0.1</v>
      </c>
      <c r="G187" s="122">
        <f t="shared" si="758"/>
        <v>0.1</v>
      </c>
      <c r="H187" s="122">
        <f t="shared" ref="H187" si="759">IF(H179&lt;0, H179/2, IF(AND(H179&gt;=0, H179&lt;=75%), H179, IF(H179&gt;75%, 1/(4*H179+1))))</f>
        <v>0.1</v>
      </c>
      <c r="I187" s="122">
        <f t="shared" ref="I187" si="760">IF(I179&lt;0, I179/2, IF(AND(I179&gt;=0, I179&lt;=75%), I179, IF(I179&gt;75%, 1/(4*I179+1))))</f>
        <v>0.1</v>
      </c>
      <c r="J187" s="122">
        <f t="shared" si="758"/>
        <v>0.1</v>
      </c>
      <c r="K187" s="122">
        <f t="shared" ref="K187" si="761">IF(K179&lt;0, K179/2, IF(AND(K179&gt;=0, K179&lt;=75%), K179, IF(K179&gt;75%, 1/(4*K179+1))))</f>
        <v>0.1</v>
      </c>
      <c r="L187" s="122">
        <f t="shared" si="758"/>
        <v>0.1</v>
      </c>
      <c r="M187" s="122">
        <f t="shared" ref="M187:AG187" si="762">IF(M179&lt;0, M179/2, IF(AND(M179&gt;=0, M179&lt;=75%), M179, IF(M179&gt;75%, 1/(4*M179+1))))</f>
        <v>0.1</v>
      </c>
      <c r="N187" s="122">
        <f t="shared" ref="N187:O187" si="763">IF(N179&lt;0, N179/2, IF(AND(N179&gt;=0, N179&lt;=75%), N179, IF(N179&gt;75%, 1/(4*N179+1))))</f>
        <v>0.1</v>
      </c>
      <c r="O187" s="122">
        <f t="shared" si="763"/>
        <v>0.1</v>
      </c>
      <c r="P187" s="122">
        <f t="shared" si="762"/>
        <v>0.1</v>
      </c>
      <c r="Q187" s="122">
        <f t="shared" si="762"/>
        <v>0.1</v>
      </c>
      <c r="R187" s="122">
        <f t="shared" si="762"/>
        <v>0.1</v>
      </c>
      <c r="S187" s="122">
        <f t="shared" si="762"/>
        <v>0.1</v>
      </c>
      <c r="T187" s="122">
        <f t="shared" ref="T187:U187" si="764">IF(T179&lt;0, T179/2, IF(AND(T179&gt;=0, T179&lt;=75%), T179, IF(T179&gt;75%, 1/(4*T179+1))))</f>
        <v>0.1</v>
      </c>
      <c r="U187" s="122">
        <f t="shared" si="764"/>
        <v>0.1</v>
      </c>
      <c r="V187" s="122">
        <f t="shared" si="762"/>
        <v>0.1</v>
      </c>
      <c r="W187" s="122">
        <f t="shared" si="762"/>
        <v>0.1</v>
      </c>
      <c r="X187" s="122">
        <f t="shared" si="762"/>
        <v>0.1</v>
      </c>
      <c r="Y187" s="122">
        <f t="shared" si="762"/>
        <v>0.1</v>
      </c>
      <c r="Z187" s="122">
        <f t="shared" si="762"/>
        <v>0.1</v>
      </c>
      <c r="AA187" s="122">
        <f t="shared" ref="AA187:AC187" si="765">IF(AA179&lt;0, AA179/2, IF(AND(AA179&gt;=0, AA179&lt;=75%), AA179, IF(AA179&gt;75%, 1/(4*AA179+1))))</f>
        <v>0.1</v>
      </c>
      <c r="AB187" s="122">
        <f t="shared" si="765"/>
        <v>0.1</v>
      </c>
      <c r="AC187" s="122">
        <f t="shared" si="765"/>
        <v>0.1</v>
      </c>
      <c r="AD187" s="122">
        <f t="shared" ref="AD187" si="766">IF(AD179&lt;0, AD179/2, IF(AND(AD179&gt;=0, AD179&lt;=75%), AD179, IF(AD179&gt;75%, 1/(4*AD179+1))))</f>
        <v>0.1</v>
      </c>
      <c r="AE187" s="122">
        <f t="shared" ref="AE187:AF187" si="767">IF(AE179&lt;0, AE179/2, IF(AND(AE179&gt;=0, AE179&lt;=75%), AE179, IF(AE179&gt;75%, 1/(4*AE179+1))))</f>
        <v>0.1</v>
      </c>
      <c r="AF187" s="122">
        <f t="shared" si="767"/>
        <v>0.1</v>
      </c>
      <c r="AG187" s="122">
        <f t="shared" si="762"/>
        <v>0.1</v>
      </c>
      <c r="AH187" s="122">
        <f t="shared" ref="AH187:AI187" si="768">IF(AH179&lt;0, AH179/2, IF(AND(AH179&gt;=0, AH179&lt;=75%), AH179, IF(AH179&gt;75%, 1/(4*AH179+1))))</f>
        <v>0.1</v>
      </c>
      <c r="AI187" s="122">
        <f t="shared" si="768"/>
        <v>0.1</v>
      </c>
      <c r="AJ187" s="122">
        <f t="shared" ref="AJ187" si="769">IF(AJ179&lt;0, AJ179/2, IF(AND(AJ179&gt;=0, AJ179&lt;=75%), AJ179, IF(AJ179&gt;75%, 1/(4*AJ179+1))))</f>
        <v>0.1</v>
      </c>
      <c r="AK187" s="122"/>
      <c r="AL187" s="122"/>
      <c r="AM187" s="122"/>
      <c r="AN187" s="122"/>
      <c r="AO187" s="122"/>
      <c r="AP187" s="122"/>
      <c r="AQ187" s="122"/>
      <c r="AR187" s="122"/>
      <c r="AS187" s="122"/>
      <c r="AT187" s="122"/>
      <c r="AU187" s="122"/>
      <c r="AV187" s="122"/>
      <c r="AW187" s="122"/>
      <c r="AX187" s="122"/>
      <c r="AY187" s="122"/>
      <c r="AZ187" s="122"/>
      <c r="BA187" s="122"/>
      <c r="BB187" s="122"/>
      <c r="BC187" s="122"/>
      <c r="BD187" s="122"/>
      <c r="BE187" s="122"/>
      <c r="BF187" s="122"/>
      <c r="BG187" s="122"/>
      <c r="BH187" s="122"/>
      <c r="BI187" s="122"/>
      <c r="BJ187" s="122"/>
      <c r="BK187" s="122"/>
      <c r="BL187" s="122"/>
      <c r="BM187" s="122"/>
      <c r="BN187" s="122"/>
      <c r="BO187" s="122"/>
      <c r="BP187" s="122"/>
      <c r="BQ187" s="122"/>
      <c r="BR187" s="122"/>
      <c r="BS187" s="122"/>
      <c r="BT187" s="122"/>
    </row>
    <row r="188" spans="1:72" s="123" customFormat="1" hidden="1" outlineLevel="1" x14ac:dyDescent="0.25">
      <c r="A188" s="112" t="s">
        <v>661</v>
      </c>
      <c r="B188" s="122">
        <f t="shared" ref="B188:D188" si="770">IF(B180&lt;0, B180/2, IF(AND(B180&gt;=0, B180&lt;=75%), B180, IF(B180&gt;75%, 1/(4*B180+1))))</f>
        <v>0.1</v>
      </c>
      <c r="C188" s="122">
        <f t="shared" ref="C188" si="771">IF(C180&lt;0, C180/2, IF(AND(C180&gt;=0, C180&lt;=75%), C180, IF(C180&gt;75%, 1/(4*C180+1))))</f>
        <v>0.1</v>
      </c>
      <c r="D188" s="122">
        <f t="shared" si="770"/>
        <v>0.1</v>
      </c>
      <c r="E188" s="122">
        <f t="shared" ref="E188" si="772">IF(E180&lt;0, E180/2, IF(AND(E180&gt;=0, E180&lt;=75%), E180, IF(E180&gt;75%, 1/(4*E180+1))))</f>
        <v>0.1</v>
      </c>
      <c r="F188" s="122">
        <f t="shared" si="758"/>
        <v>0.1</v>
      </c>
      <c r="G188" s="122">
        <f t="shared" si="758"/>
        <v>0.1</v>
      </c>
      <c r="H188" s="122">
        <f t="shared" ref="H188" si="773">IF(H180&lt;0, H180/2, IF(AND(H180&gt;=0, H180&lt;=75%), H180, IF(H180&gt;75%, 1/(4*H180+1))))</f>
        <v>0.1</v>
      </c>
      <c r="I188" s="122">
        <f t="shared" ref="I188" si="774">IF(I180&lt;0, I180/2, IF(AND(I180&gt;=0, I180&lt;=75%), I180, IF(I180&gt;75%, 1/(4*I180+1))))</f>
        <v>0.1</v>
      </c>
      <c r="J188" s="122">
        <f t="shared" si="758"/>
        <v>0.1</v>
      </c>
      <c r="K188" s="122">
        <f t="shared" ref="K188" si="775">IF(K180&lt;0, K180/2, IF(AND(K180&gt;=0, K180&lt;=75%), K180, IF(K180&gt;75%, 1/(4*K180+1))))</f>
        <v>0.1</v>
      </c>
      <c r="L188" s="122">
        <f t="shared" si="758"/>
        <v>0.1</v>
      </c>
      <c r="M188" s="122">
        <f t="shared" ref="M188:AG188" si="776">IF(M180&lt;0, M180/2, IF(AND(M180&gt;=0, M180&lt;=75%), M180, IF(M180&gt;75%, 1/(4*M180+1))))</f>
        <v>0.1</v>
      </c>
      <c r="N188" s="122">
        <f t="shared" ref="N188:O188" si="777">IF(N180&lt;0, N180/2, IF(AND(N180&gt;=0, N180&lt;=75%), N180, IF(N180&gt;75%, 1/(4*N180+1))))</f>
        <v>0.1</v>
      </c>
      <c r="O188" s="122">
        <f t="shared" si="777"/>
        <v>0.1</v>
      </c>
      <c r="P188" s="122">
        <f t="shared" si="776"/>
        <v>0.1</v>
      </c>
      <c r="Q188" s="122">
        <f t="shared" si="776"/>
        <v>0.1</v>
      </c>
      <c r="R188" s="122">
        <f t="shared" si="776"/>
        <v>0.1</v>
      </c>
      <c r="S188" s="122">
        <f t="shared" si="776"/>
        <v>0.1</v>
      </c>
      <c r="T188" s="122">
        <f t="shared" ref="T188:U188" si="778">IF(T180&lt;0, T180/2, IF(AND(T180&gt;=0, T180&lt;=75%), T180, IF(T180&gt;75%, 1/(4*T180+1))))</f>
        <v>0.1</v>
      </c>
      <c r="U188" s="122">
        <f t="shared" si="778"/>
        <v>0.1</v>
      </c>
      <c r="V188" s="122">
        <f t="shared" si="776"/>
        <v>0.1</v>
      </c>
      <c r="W188" s="122">
        <f t="shared" si="776"/>
        <v>0.1</v>
      </c>
      <c r="X188" s="122">
        <f t="shared" si="776"/>
        <v>0.1</v>
      </c>
      <c r="Y188" s="122">
        <f t="shared" si="776"/>
        <v>0.1</v>
      </c>
      <c r="Z188" s="122">
        <f t="shared" si="776"/>
        <v>0.1</v>
      </c>
      <c r="AA188" s="122">
        <f t="shared" ref="AA188:AC188" si="779">IF(AA180&lt;0, AA180/2, IF(AND(AA180&gt;=0, AA180&lt;=75%), AA180, IF(AA180&gt;75%, 1/(4*AA180+1))))</f>
        <v>0.1</v>
      </c>
      <c r="AB188" s="122">
        <f t="shared" si="779"/>
        <v>0.1</v>
      </c>
      <c r="AC188" s="122">
        <f t="shared" si="779"/>
        <v>0.1</v>
      </c>
      <c r="AD188" s="122">
        <f t="shared" ref="AD188" si="780">IF(AD180&lt;0, AD180/2, IF(AND(AD180&gt;=0, AD180&lt;=75%), AD180, IF(AD180&gt;75%, 1/(4*AD180+1))))</f>
        <v>0.1</v>
      </c>
      <c r="AE188" s="122">
        <f t="shared" ref="AE188:AF188" si="781">IF(AE180&lt;0, AE180/2, IF(AND(AE180&gt;=0, AE180&lt;=75%), AE180, IF(AE180&gt;75%, 1/(4*AE180+1))))</f>
        <v>0.1</v>
      </c>
      <c r="AF188" s="122">
        <f t="shared" si="781"/>
        <v>0.1</v>
      </c>
      <c r="AG188" s="122">
        <f t="shared" si="776"/>
        <v>0.1</v>
      </c>
      <c r="AH188" s="122">
        <f t="shared" ref="AH188:AI188" si="782">IF(AH180&lt;0, AH180/2, IF(AND(AH180&gt;=0, AH180&lt;=75%), AH180, IF(AH180&gt;75%, 1/(4*AH180+1))))</f>
        <v>0.1</v>
      </c>
      <c r="AI188" s="122">
        <f t="shared" si="782"/>
        <v>0.1</v>
      </c>
      <c r="AJ188" s="122">
        <f t="shared" ref="AJ188" si="783">IF(AJ180&lt;0, AJ180/2, IF(AND(AJ180&gt;=0, AJ180&lt;=75%), AJ180, IF(AJ180&gt;75%, 1/(4*AJ180+1))))</f>
        <v>0.1</v>
      </c>
      <c r="AK188" s="122"/>
      <c r="AL188" s="122"/>
      <c r="AM188" s="122"/>
      <c r="AN188" s="122"/>
      <c r="AO188" s="122"/>
      <c r="AP188" s="122"/>
      <c r="AQ188" s="122"/>
      <c r="AR188" s="122"/>
      <c r="AS188" s="122"/>
      <c r="AT188" s="122"/>
      <c r="AU188" s="122"/>
      <c r="AV188" s="122"/>
      <c r="AW188" s="122"/>
      <c r="AX188" s="122"/>
      <c r="AY188" s="122"/>
      <c r="AZ188" s="122"/>
      <c r="BA188" s="122"/>
      <c r="BB188" s="122"/>
      <c r="BC188" s="122"/>
      <c r="BD188" s="122"/>
      <c r="BE188" s="122"/>
      <c r="BF188" s="122"/>
      <c r="BG188" s="122"/>
      <c r="BH188" s="122"/>
      <c r="BI188" s="122"/>
      <c r="BJ188" s="122"/>
      <c r="BK188" s="122"/>
      <c r="BL188" s="122"/>
      <c r="BM188" s="122"/>
      <c r="BN188" s="122"/>
      <c r="BO188" s="122"/>
      <c r="BP188" s="122"/>
      <c r="BQ188" s="122"/>
      <c r="BR188" s="122"/>
      <c r="BS188" s="122"/>
      <c r="BT188" s="122"/>
    </row>
    <row r="189" spans="1:72" s="123" customFormat="1" hidden="1" outlineLevel="1" x14ac:dyDescent="0.25">
      <c r="A189" s="112" t="s">
        <v>662</v>
      </c>
      <c r="B189" s="122">
        <f t="shared" ref="B189:D189" si="784">IF(B181&lt;0, B181/2, IF(AND(B181&gt;=0, B181&lt;=75%), B181, IF(B181&gt;75%, 1/(4*B181+1))))</f>
        <v>0.1</v>
      </c>
      <c r="C189" s="122">
        <f t="shared" ref="C189" si="785">IF(C181&lt;0, C181/2, IF(AND(C181&gt;=0, C181&lt;=75%), C181, IF(C181&gt;75%, 1/(4*C181+1))))</f>
        <v>0.1</v>
      </c>
      <c r="D189" s="122">
        <f t="shared" si="784"/>
        <v>0.1</v>
      </c>
      <c r="E189" s="122">
        <f t="shared" ref="E189" si="786">IF(E181&lt;0, E181/2, IF(AND(E181&gt;=0, E181&lt;=75%), E181, IF(E181&gt;75%, 1/(4*E181+1))))</f>
        <v>0.1</v>
      </c>
      <c r="F189" s="122">
        <f t="shared" si="758"/>
        <v>0.1</v>
      </c>
      <c r="G189" s="122">
        <f t="shared" si="758"/>
        <v>0.1</v>
      </c>
      <c r="H189" s="122">
        <f t="shared" ref="H189" si="787">IF(H181&lt;0, H181/2, IF(AND(H181&gt;=0, H181&lt;=75%), H181, IF(H181&gt;75%, 1/(4*H181+1))))</f>
        <v>0.1</v>
      </c>
      <c r="I189" s="122">
        <f t="shared" ref="I189" si="788">IF(I181&lt;0, I181/2, IF(AND(I181&gt;=0, I181&lt;=75%), I181, IF(I181&gt;75%, 1/(4*I181+1))))</f>
        <v>0.1</v>
      </c>
      <c r="J189" s="122">
        <f t="shared" si="758"/>
        <v>0.1</v>
      </c>
      <c r="K189" s="122">
        <f t="shared" ref="K189" si="789">IF(K181&lt;0, K181/2, IF(AND(K181&gt;=0, K181&lt;=75%), K181, IF(K181&gt;75%, 1/(4*K181+1))))</f>
        <v>0.1</v>
      </c>
      <c r="L189" s="122">
        <f t="shared" si="758"/>
        <v>0.1</v>
      </c>
      <c r="M189" s="122">
        <f t="shared" ref="M189:AG189" si="790">IF(M181&lt;0, M181/2, IF(AND(M181&gt;=0, M181&lt;=75%), M181, IF(M181&gt;75%, 1/(4*M181+1))))</f>
        <v>0.1</v>
      </c>
      <c r="N189" s="122">
        <f t="shared" ref="N189:O189" si="791">IF(N181&lt;0, N181/2, IF(AND(N181&gt;=0, N181&lt;=75%), N181, IF(N181&gt;75%, 1/(4*N181+1))))</f>
        <v>0.1</v>
      </c>
      <c r="O189" s="122">
        <f t="shared" si="791"/>
        <v>0.1</v>
      </c>
      <c r="P189" s="122">
        <f t="shared" si="790"/>
        <v>0.1</v>
      </c>
      <c r="Q189" s="122">
        <f t="shared" si="790"/>
        <v>0.1</v>
      </c>
      <c r="R189" s="122">
        <f t="shared" si="790"/>
        <v>0.1</v>
      </c>
      <c r="S189" s="122">
        <f t="shared" si="790"/>
        <v>0.1</v>
      </c>
      <c r="T189" s="122">
        <f t="shared" ref="T189:U189" si="792">IF(T181&lt;0, T181/2, IF(AND(T181&gt;=0, T181&lt;=75%), T181, IF(T181&gt;75%, 1/(4*T181+1))))</f>
        <v>0.1</v>
      </c>
      <c r="U189" s="122">
        <f t="shared" si="792"/>
        <v>0.1</v>
      </c>
      <c r="V189" s="122">
        <f t="shared" si="790"/>
        <v>0.1</v>
      </c>
      <c r="W189" s="122">
        <f t="shared" si="790"/>
        <v>0.1</v>
      </c>
      <c r="X189" s="122">
        <f t="shared" si="790"/>
        <v>0.1</v>
      </c>
      <c r="Y189" s="122">
        <f t="shared" si="790"/>
        <v>0.1</v>
      </c>
      <c r="Z189" s="122">
        <f t="shared" si="790"/>
        <v>0.1</v>
      </c>
      <c r="AA189" s="122">
        <f t="shared" ref="AA189:AC189" si="793">IF(AA181&lt;0, AA181/2, IF(AND(AA181&gt;=0, AA181&lt;=75%), AA181, IF(AA181&gt;75%, 1/(4*AA181+1))))</f>
        <v>0.1</v>
      </c>
      <c r="AB189" s="122">
        <f t="shared" si="793"/>
        <v>0.1</v>
      </c>
      <c r="AC189" s="122">
        <f t="shared" si="793"/>
        <v>0.1</v>
      </c>
      <c r="AD189" s="122">
        <f t="shared" ref="AD189" si="794">IF(AD181&lt;0, AD181/2, IF(AND(AD181&gt;=0, AD181&lt;=75%), AD181, IF(AD181&gt;75%, 1/(4*AD181+1))))</f>
        <v>0.1</v>
      </c>
      <c r="AE189" s="122">
        <f t="shared" ref="AE189:AF189" si="795">IF(AE181&lt;0, AE181/2, IF(AND(AE181&gt;=0, AE181&lt;=75%), AE181, IF(AE181&gt;75%, 1/(4*AE181+1))))</f>
        <v>0.1</v>
      </c>
      <c r="AF189" s="122">
        <f t="shared" si="795"/>
        <v>0.1</v>
      </c>
      <c r="AG189" s="122">
        <f t="shared" si="790"/>
        <v>0.1</v>
      </c>
      <c r="AH189" s="122">
        <f t="shared" ref="AH189:AI189" si="796">IF(AH181&lt;0, AH181/2, IF(AND(AH181&gt;=0, AH181&lt;=75%), AH181, IF(AH181&gt;75%, 1/(4*AH181+1))))</f>
        <v>0.1</v>
      </c>
      <c r="AI189" s="122">
        <f t="shared" si="796"/>
        <v>0.1</v>
      </c>
      <c r="AJ189" s="122">
        <f t="shared" ref="AJ189" si="797">IF(AJ181&lt;0, AJ181/2, IF(AND(AJ181&gt;=0, AJ181&lt;=75%), AJ181, IF(AJ181&gt;75%, 1/(4*AJ181+1))))</f>
        <v>0.1</v>
      </c>
      <c r="AK189" s="122"/>
      <c r="AL189" s="122"/>
      <c r="AM189" s="122"/>
      <c r="AN189" s="122"/>
      <c r="AO189" s="122"/>
      <c r="AP189" s="122"/>
      <c r="AQ189" s="122"/>
      <c r="AR189" s="122"/>
      <c r="AS189" s="122"/>
      <c r="AT189" s="122"/>
      <c r="AU189" s="122"/>
      <c r="AV189" s="122"/>
      <c r="AW189" s="122"/>
      <c r="AX189" s="122"/>
      <c r="AY189" s="122"/>
      <c r="AZ189" s="122"/>
      <c r="BA189" s="122"/>
      <c r="BB189" s="122"/>
      <c r="BC189" s="122"/>
      <c r="BD189" s="122"/>
      <c r="BE189" s="122"/>
      <c r="BF189" s="122"/>
      <c r="BG189" s="122"/>
      <c r="BH189" s="122"/>
      <c r="BI189" s="122"/>
      <c r="BJ189" s="122"/>
      <c r="BK189" s="122"/>
      <c r="BL189" s="122"/>
      <c r="BM189" s="122"/>
      <c r="BN189" s="122"/>
      <c r="BO189" s="122"/>
      <c r="BP189" s="122"/>
      <c r="BQ189" s="122"/>
      <c r="BR189" s="122"/>
      <c r="BS189" s="122"/>
      <c r="BT189" s="122"/>
    </row>
    <row r="190" spans="1:72" s="123" customFormat="1" hidden="1" outlineLevel="1" x14ac:dyDescent="0.25">
      <c r="A190" s="112" t="s">
        <v>663</v>
      </c>
      <c r="B190" s="122">
        <f t="shared" ref="B190:D190" si="798">IF(B182&lt;0, B182/2, IF(AND(B182&gt;=0, B182&lt;=75%), B182, IF(B182&gt;75%, 1/(4*B182+1))))</f>
        <v>0.1</v>
      </c>
      <c r="C190" s="122">
        <f t="shared" ref="C190" si="799">IF(C182&lt;0, C182/2, IF(AND(C182&gt;=0, C182&lt;=75%), C182, IF(C182&gt;75%, 1/(4*C182+1))))</f>
        <v>0.1</v>
      </c>
      <c r="D190" s="122">
        <f t="shared" si="798"/>
        <v>0.1</v>
      </c>
      <c r="E190" s="122">
        <f t="shared" ref="E190" si="800">IF(E182&lt;0, E182/2, IF(AND(E182&gt;=0, E182&lt;=75%), E182, IF(E182&gt;75%, 1/(4*E182+1))))</f>
        <v>-2.4999999999999994E-2</v>
      </c>
      <c r="F190" s="122">
        <f t="shared" si="758"/>
        <v>0.1</v>
      </c>
      <c r="G190" s="122">
        <f t="shared" si="758"/>
        <v>0.1</v>
      </c>
      <c r="H190" s="122">
        <f t="shared" ref="H190" si="801">IF(H182&lt;0, H182/2, IF(AND(H182&gt;=0, H182&lt;=75%), H182, IF(H182&gt;75%, 1/(4*H182+1))))</f>
        <v>0.1</v>
      </c>
      <c r="I190" s="122">
        <f t="shared" ref="I190" si="802">IF(I182&lt;0, I182/2, IF(AND(I182&gt;=0, I182&lt;=75%), I182, IF(I182&gt;75%, 1/(4*I182+1))))</f>
        <v>0.1</v>
      </c>
      <c r="J190" s="122">
        <f t="shared" si="758"/>
        <v>0.1</v>
      </c>
      <c r="K190" s="122">
        <f t="shared" ref="K190" si="803">IF(K182&lt;0, K182/2, IF(AND(K182&gt;=0, K182&lt;=75%), K182, IF(K182&gt;75%, 1/(4*K182+1))))</f>
        <v>0.1</v>
      </c>
      <c r="L190" s="122">
        <f t="shared" si="758"/>
        <v>0.1</v>
      </c>
      <c r="M190" s="122">
        <f t="shared" ref="M190:AG190" si="804">IF(M182&lt;0, M182/2, IF(AND(M182&gt;=0, M182&lt;=75%), M182, IF(M182&gt;75%, 1/(4*M182+1))))</f>
        <v>-2.4999999999999994E-2</v>
      </c>
      <c r="N190" s="122">
        <f t="shared" ref="N190:O190" si="805">IF(N182&lt;0, N182/2, IF(AND(N182&gt;=0, N182&lt;=75%), N182, IF(N182&gt;75%, 1/(4*N182+1))))</f>
        <v>-2.4999999999999994E-2</v>
      </c>
      <c r="O190" s="122">
        <f t="shared" si="805"/>
        <v>-2.4999999999999994E-2</v>
      </c>
      <c r="P190" s="122">
        <f t="shared" si="804"/>
        <v>0.1</v>
      </c>
      <c r="Q190" s="122">
        <f t="shared" si="804"/>
        <v>0.1</v>
      </c>
      <c r="R190" s="122">
        <f t="shared" si="804"/>
        <v>0.1</v>
      </c>
      <c r="S190" s="122">
        <f t="shared" si="804"/>
        <v>0.1</v>
      </c>
      <c r="T190" s="122">
        <f t="shared" ref="T190:U190" si="806">IF(T182&lt;0, T182/2, IF(AND(T182&gt;=0, T182&lt;=75%), T182, IF(T182&gt;75%, 1/(4*T182+1))))</f>
        <v>0.1</v>
      </c>
      <c r="U190" s="122">
        <f t="shared" si="806"/>
        <v>-2.4999999999999994E-2</v>
      </c>
      <c r="V190" s="122">
        <f t="shared" si="804"/>
        <v>-2.4999999999999994E-2</v>
      </c>
      <c r="W190" s="122">
        <f t="shared" si="804"/>
        <v>-2.4999999999999994E-2</v>
      </c>
      <c r="X190" s="122">
        <f t="shared" si="804"/>
        <v>0.1</v>
      </c>
      <c r="Y190" s="122">
        <f t="shared" si="804"/>
        <v>0.1</v>
      </c>
      <c r="Z190" s="122">
        <f t="shared" si="804"/>
        <v>0.1</v>
      </c>
      <c r="AA190" s="122">
        <f t="shared" ref="AA190:AC190" si="807">IF(AA182&lt;0, AA182/2, IF(AND(AA182&gt;=0, AA182&lt;=75%), AA182, IF(AA182&gt;75%, 1/(4*AA182+1))))</f>
        <v>0.1</v>
      </c>
      <c r="AB190" s="122">
        <f t="shared" si="807"/>
        <v>0.1</v>
      </c>
      <c r="AC190" s="122">
        <f t="shared" si="807"/>
        <v>0.1</v>
      </c>
      <c r="AD190" s="122">
        <f t="shared" ref="AD190" si="808">IF(AD182&lt;0, AD182/2, IF(AND(AD182&gt;=0, AD182&lt;=75%), AD182, IF(AD182&gt;75%, 1/(4*AD182+1))))</f>
        <v>0.1</v>
      </c>
      <c r="AE190" s="122">
        <f t="shared" ref="AE190:AF190" si="809">IF(AE182&lt;0, AE182/2, IF(AND(AE182&gt;=0, AE182&lt;=75%), AE182, IF(AE182&gt;75%, 1/(4*AE182+1))))</f>
        <v>0.1</v>
      </c>
      <c r="AF190" s="122">
        <f t="shared" si="809"/>
        <v>0.1</v>
      </c>
      <c r="AG190" s="122">
        <f t="shared" si="804"/>
        <v>0.1</v>
      </c>
      <c r="AH190" s="122">
        <f t="shared" ref="AH190:AI190" si="810">IF(AH182&lt;0, AH182/2, IF(AND(AH182&gt;=0, AH182&lt;=75%), AH182, IF(AH182&gt;75%, 1/(4*AH182+1))))</f>
        <v>0.1</v>
      </c>
      <c r="AI190" s="122">
        <f t="shared" si="810"/>
        <v>0.1</v>
      </c>
      <c r="AJ190" s="122">
        <f t="shared" ref="AJ190" si="811">IF(AJ182&lt;0, AJ182/2, IF(AND(AJ182&gt;=0, AJ182&lt;=75%), AJ182, IF(AJ182&gt;75%, 1/(4*AJ182+1))))</f>
        <v>0.1</v>
      </c>
      <c r="AK190" s="122"/>
      <c r="AL190" s="122"/>
      <c r="AM190" s="122"/>
      <c r="AN190" s="122"/>
      <c r="AO190" s="122"/>
      <c r="AP190" s="122"/>
      <c r="AQ190" s="122"/>
      <c r="AR190" s="122"/>
      <c r="AS190" s="122"/>
      <c r="AT190" s="122"/>
      <c r="AU190" s="122"/>
      <c r="AV190" s="122"/>
      <c r="AW190" s="122"/>
      <c r="AX190" s="122"/>
      <c r="AY190" s="122"/>
      <c r="AZ190" s="122"/>
      <c r="BA190" s="122"/>
      <c r="BB190" s="122"/>
      <c r="BC190" s="122"/>
      <c r="BD190" s="122"/>
      <c r="BE190" s="122"/>
      <c r="BF190" s="122"/>
      <c r="BG190" s="122"/>
      <c r="BH190" s="122"/>
      <c r="BI190" s="122"/>
      <c r="BJ190" s="122"/>
      <c r="BK190" s="122"/>
      <c r="BL190" s="122"/>
      <c r="BM190" s="122"/>
      <c r="BN190" s="122"/>
      <c r="BO190" s="122"/>
      <c r="BP190" s="122"/>
      <c r="BQ190" s="122"/>
      <c r="BR190" s="122"/>
      <c r="BS190" s="122"/>
      <c r="BT190" s="122"/>
    </row>
    <row r="191" spans="1:72" s="123" customFormat="1" hidden="1" outlineLevel="1" x14ac:dyDescent="0.25">
      <c r="A191" s="112" t="s">
        <v>664</v>
      </c>
      <c r="B191" s="122">
        <f t="shared" ref="B191:D191" si="812">IF(B183&lt;0, B183/2, IF(AND(B183&gt;=0, B183&lt;=75%), B183, IF(B183&gt;75%, 1/(4*B183+1))))</f>
        <v>0.1</v>
      </c>
      <c r="C191" s="122">
        <f t="shared" ref="C191" si="813">IF(C183&lt;0, C183/2, IF(AND(C183&gt;=0, C183&lt;=75%), C183, IF(C183&gt;75%, 1/(4*C183+1))))</f>
        <v>0.1</v>
      </c>
      <c r="D191" s="122">
        <f t="shared" si="812"/>
        <v>0.1</v>
      </c>
      <c r="E191" s="122">
        <f t="shared" ref="E191" si="814">IF(E183&lt;0, E183/2, IF(AND(E183&gt;=0, E183&lt;=75%), E183, IF(E183&gt;75%, 1/(4*E183+1))))</f>
        <v>0.1</v>
      </c>
      <c r="F191" s="122">
        <f t="shared" si="758"/>
        <v>0.1</v>
      </c>
      <c r="G191" s="122">
        <f t="shared" si="758"/>
        <v>0.1</v>
      </c>
      <c r="H191" s="122">
        <f t="shared" ref="H191" si="815">IF(H183&lt;0, H183/2, IF(AND(H183&gt;=0, H183&lt;=75%), H183, IF(H183&gt;75%, 1/(4*H183+1))))</f>
        <v>-2.4999999999999994E-2</v>
      </c>
      <c r="I191" s="122">
        <f t="shared" ref="I191" si="816">IF(I183&lt;0, I183/2, IF(AND(I183&gt;=0, I183&lt;=75%), I183, IF(I183&gt;75%, 1/(4*I183+1))))</f>
        <v>0.1</v>
      </c>
      <c r="J191" s="122">
        <f t="shared" si="758"/>
        <v>0.1</v>
      </c>
      <c r="K191" s="122">
        <f t="shared" ref="K191" si="817">IF(K183&lt;0, K183/2, IF(AND(K183&gt;=0, K183&lt;=75%), K183, IF(K183&gt;75%, 1/(4*K183+1))))</f>
        <v>0.1</v>
      </c>
      <c r="L191" s="122">
        <f t="shared" si="758"/>
        <v>0.1</v>
      </c>
      <c r="M191" s="122">
        <f t="shared" ref="M191:AG191" si="818">IF(M183&lt;0, M183/2, IF(AND(M183&gt;=0, M183&lt;=75%), M183, IF(M183&gt;75%, 1/(4*M183+1))))</f>
        <v>0.1</v>
      </c>
      <c r="N191" s="122">
        <f t="shared" ref="N191:O191" si="819">IF(N183&lt;0, N183/2, IF(AND(N183&gt;=0, N183&lt;=75%), N183, IF(N183&gt;75%, 1/(4*N183+1))))</f>
        <v>0.1</v>
      </c>
      <c r="O191" s="122">
        <f t="shared" si="819"/>
        <v>0.1</v>
      </c>
      <c r="P191" s="122">
        <f t="shared" si="818"/>
        <v>0.1</v>
      </c>
      <c r="Q191" s="122">
        <f t="shared" si="818"/>
        <v>0.1</v>
      </c>
      <c r="R191" s="122">
        <f t="shared" si="818"/>
        <v>0.1</v>
      </c>
      <c r="S191" s="122">
        <f t="shared" si="818"/>
        <v>0.1</v>
      </c>
      <c r="T191" s="122">
        <f t="shared" ref="T191:U191" si="820">IF(T183&lt;0, T183/2, IF(AND(T183&gt;=0, T183&lt;=75%), T183, IF(T183&gt;75%, 1/(4*T183+1))))</f>
        <v>0.1</v>
      </c>
      <c r="U191" s="122">
        <f t="shared" si="820"/>
        <v>0.1</v>
      </c>
      <c r="V191" s="122">
        <f t="shared" si="818"/>
        <v>0.1</v>
      </c>
      <c r="W191" s="122">
        <f t="shared" si="818"/>
        <v>0.1</v>
      </c>
      <c r="X191" s="122">
        <f t="shared" si="818"/>
        <v>0.1</v>
      </c>
      <c r="Y191" s="122">
        <f t="shared" si="818"/>
        <v>0.1</v>
      </c>
      <c r="Z191" s="122">
        <f t="shared" si="818"/>
        <v>0.1</v>
      </c>
      <c r="AA191" s="122">
        <f t="shared" ref="AA191:AC191" si="821">IF(AA183&lt;0, AA183/2, IF(AND(AA183&gt;=0, AA183&lt;=75%), AA183, IF(AA183&gt;75%, 1/(4*AA183+1))))</f>
        <v>0.1</v>
      </c>
      <c r="AB191" s="122">
        <f t="shared" si="821"/>
        <v>0.1</v>
      </c>
      <c r="AC191" s="122">
        <f t="shared" si="821"/>
        <v>0.1</v>
      </c>
      <c r="AD191" s="122">
        <f t="shared" ref="AD191" si="822">IF(AD183&lt;0, AD183/2, IF(AND(AD183&gt;=0, AD183&lt;=75%), AD183, IF(AD183&gt;75%, 1/(4*AD183+1))))</f>
        <v>0.1</v>
      </c>
      <c r="AE191" s="122">
        <f t="shared" ref="AE191:AF191" si="823">IF(AE183&lt;0, AE183/2, IF(AND(AE183&gt;=0, AE183&lt;=75%), AE183, IF(AE183&gt;75%, 1/(4*AE183+1))))</f>
        <v>0.1</v>
      </c>
      <c r="AF191" s="122">
        <f t="shared" si="823"/>
        <v>0.1</v>
      </c>
      <c r="AG191" s="122">
        <f t="shared" si="818"/>
        <v>0.1</v>
      </c>
      <c r="AH191" s="122">
        <f t="shared" ref="AH191:AI191" si="824">IF(AH183&lt;0, AH183/2, IF(AND(AH183&gt;=0, AH183&lt;=75%), AH183, IF(AH183&gt;75%, 1/(4*AH183+1))))</f>
        <v>0.1</v>
      </c>
      <c r="AI191" s="122">
        <f t="shared" si="824"/>
        <v>0.1</v>
      </c>
      <c r="AJ191" s="122">
        <f t="shared" ref="AJ191" si="825">IF(AJ183&lt;0, AJ183/2, IF(AND(AJ183&gt;=0, AJ183&lt;=75%), AJ183, IF(AJ183&gt;75%, 1/(4*AJ183+1))))</f>
        <v>0.1</v>
      </c>
      <c r="AK191" s="122"/>
      <c r="AL191" s="122"/>
      <c r="AM191" s="122"/>
      <c r="AN191" s="122"/>
      <c r="AO191" s="122"/>
      <c r="AP191" s="122"/>
      <c r="AQ191" s="122"/>
      <c r="AR191" s="122"/>
      <c r="AS191" s="122"/>
      <c r="AT191" s="122"/>
      <c r="AU191" s="122"/>
      <c r="AV191" s="122"/>
      <c r="AW191" s="122"/>
      <c r="AX191" s="122"/>
      <c r="AY191" s="122"/>
      <c r="AZ191" s="122"/>
      <c r="BA191" s="122"/>
      <c r="BB191" s="122"/>
      <c r="BC191" s="122"/>
      <c r="BD191" s="122"/>
      <c r="BE191" s="122"/>
      <c r="BF191" s="122"/>
      <c r="BG191" s="122"/>
      <c r="BH191" s="122"/>
      <c r="BI191" s="122"/>
      <c r="BJ191" s="122"/>
      <c r="BK191" s="122"/>
      <c r="BL191" s="122"/>
      <c r="BM191" s="122"/>
      <c r="BN191" s="122"/>
      <c r="BO191" s="122"/>
      <c r="BP191" s="122"/>
      <c r="BQ191" s="122"/>
      <c r="BR191" s="122"/>
      <c r="BS191" s="122"/>
      <c r="BT191" s="122"/>
    </row>
    <row r="192" spans="1:72" s="123" customFormat="1" hidden="1" outlineLevel="1" x14ac:dyDescent="0.25">
      <c r="A192" s="112" t="s">
        <v>665</v>
      </c>
      <c r="B192" s="122">
        <f t="shared" ref="B192:D192" si="826">IF(B184&lt;0, B184/2, IF(AND(B184&gt;=0, B184&lt;=75%), B184, IF(B184&gt;75%, 1/(4*B184+1))))</f>
        <v>0.1</v>
      </c>
      <c r="C192" s="122">
        <f t="shared" ref="C192" si="827">IF(C184&lt;0, C184/2, IF(AND(C184&gt;=0, C184&lt;=75%), C184, IF(C184&gt;75%, 1/(4*C184+1))))</f>
        <v>0.1</v>
      </c>
      <c r="D192" s="122">
        <f t="shared" si="826"/>
        <v>0.1</v>
      </c>
      <c r="E192" s="122">
        <f t="shared" ref="E192" si="828">IF(E184&lt;0, E184/2, IF(AND(E184&gt;=0, E184&lt;=75%), E184, IF(E184&gt;75%, 1/(4*E184+1))))</f>
        <v>0.1</v>
      </c>
      <c r="F192" s="122">
        <f t="shared" si="758"/>
        <v>0.1</v>
      </c>
      <c r="G192" s="122">
        <f t="shared" si="758"/>
        <v>0.1</v>
      </c>
      <c r="H192" s="122">
        <f t="shared" ref="H192" si="829">IF(H184&lt;0, H184/2, IF(AND(H184&gt;=0, H184&lt;=75%), H184, IF(H184&gt;75%, 1/(4*H184+1))))</f>
        <v>0.1</v>
      </c>
      <c r="I192" s="122">
        <f t="shared" ref="I192" si="830">IF(I184&lt;0, I184/2, IF(AND(I184&gt;=0, I184&lt;=75%), I184, IF(I184&gt;75%, 1/(4*I184+1))))</f>
        <v>0.1</v>
      </c>
      <c r="J192" s="122">
        <f t="shared" si="758"/>
        <v>0.1</v>
      </c>
      <c r="K192" s="122">
        <f t="shared" ref="K192" si="831">IF(K184&lt;0, K184/2, IF(AND(K184&gt;=0, K184&lt;=75%), K184, IF(K184&gt;75%, 1/(4*K184+1))))</f>
        <v>0.1</v>
      </c>
      <c r="L192" s="122">
        <f t="shared" si="758"/>
        <v>0.1</v>
      </c>
      <c r="M192" s="122">
        <f t="shared" ref="M192:AG192" si="832">IF(M184&lt;0, M184/2, IF(AND(M184&gt;=0, M184&lt;=75%), M184, IF(M184&gt;75%, 1/(4*M184+1))))</f>
        <v>0.1</v>
      </c>
      <c r="N192" s="122">
        <f t="shared" ref="N192:O192" si="833">IF(N184&lt;0, N184/2, IF(AND(N184&gt;=0, N184&lt;=75%), N184, IF(N184&gt;75%, 1/(4*N184+1))))</f>
        <v>0.1</v>
      </c>
      <c r="O192" s="122">
        <f t="shared" si="833"/>
        <v>0.1</v>
      </c>
      <c r="P192" s="122">
        <f t="shared" si="832"/>
        <v>0.1</v>
      </c>
      <c r="Q192" s="122">
        <f t="shared" si="832"/>
        <v>0.1</v>
      </c>
      <c r="R192" s="122">
        <f t="shared" si="832"/>
        <v>0.1</v>
      </c>
      <c r="S192" s="122">
        <f t="shared" si="832"/>
        <v>0.1</v>
      </c>
      <c r="T192" s="122">
        <f t="shared" ref="T192:U192" si="834">IF(T184&lt;0, T184/2, IF(AND(T184&gt;=0, T184&lt;=75%), T184, IF(T184&gt;75%, 1/(4*T184+1))))</f>
        <v>0.1</v>
      </c>
      <c r="U192" s="122">
        <f t="shared" si="834"/>
        <v>0.1</v>
      </c>
      <c r="V192" s="122">
        <f t="shared" si="832"/>
        <v>0.1</v>
      </c>
      <c r="W192" s="122">
        <f t="shared" si="832"/>
        <v>0.1</v>
      </c>
      <c r="X192" s="122">
        <f t="shared" si="832"/>
        <v>0.1</v>
      </c>
      <c r="Y192" s="122">
        <f t="shared" si="832"/>
        <v>0.1</v>
      </c>
      <c r="Z192" s="122">
        <f t="shared" si="832"/>
        <v>0.1</v>
      </c>
      <c r="AA192" s="122">
        <f t="shared" ref="AA192:AC192" si="835">IF(AA184&lt;0, AA184/2, IF(AND(AA184&gt;=0, AA184&lt;=75%), AA184, IF(AA184&gt;75%, 1/(4*AA184+1))))</f>
        <v>0.1</v>
      </c>
      <c r="AB192" s="122">
        <f t="shared" si="835"/>
        <v>0.1</v>
      </c>
      <c r="AC192" s="122">
        <f t="shared" si="835"/>
        <v>0.1</v>
      </c>
      <c r="AD192" s="122">
        <f t="shared" ref="AD192" si="836">IF(AD184&lt;0, AD184/2, IF(AND(AD184&gt;=0, AD184&lt;=75%), AD184, IF(AD184&gt;75%, 1/(4*AD184+1))))</f>
        <v>0.1</v>
      </c>
      <c r="AE192" s="122">
        <f t="shared" ref="AE192:AF192" si="837">IF(AE184&lt;0, AE184/2, IF(AND(AE184&gt;=0, AE184&lt;=75%), AE184, IF(AE184&gt;75%, 1/(4*AE184+1))))</f>
        <v>0.1</v>
      </c>
      <c r="AF192" s="122">
        <f t="shared" si="837"/>
        <v>0.1</v>
      </c>
      <c r="AG192" s="122">
        <f t="shared" si="832"/>
        <v>0.1</v>
      </c>
      <c r="AH192" s="122">
        <f t="shared" ref="AH192:AI192" si="838">IF(AH184&lt;0, AH184/2, IF(AND(AH184&gt;=0, AH184&lt;=75%), AH184, IF(AH184&gt;75%, 1/(4*AH184+1))))</f>
        <v>0.1</v>
      </c>
      <c r="AI192" s="122">
        <f t="shared" si="838"/>
        <v>0.1</v>
      </c>
      <c r="AJ192" s="122">
        <f t="shared" ref="AJ192" si="839">IF(AJ184&lt;0, AJ184/2, IF(AND(AJ184&gt;=0, AJ184&lt;=75%), AJ184, IF(AJ184&gt;75%, 1/(4*AJ184+1))))</f>
        <v>0.1</v>
      </c>
      <c r="AK192" s="122"/>
      <c r="AL192" s="122"/>
      <c r="AM192" s="122"/>
      <c r="AN192" s="122"/>
      <c r="AO192" s="122"/>
      <c r="AP192" s="122"/>
      <c r="AQ192" s="122"/>
      <c r="AR192" s="122"/>
      <c r="AS192" s="122"/>
      <c r="AT192" s="122"/>
      <c r="AU192" s="122"/>
      <c r="AV192" s="122"/>
      <c r="AW192" s="122"/>
      <c r="AX192" s="122"/>
      <c r="AY192" s="122"/>
      <c r="AZ192" s="122"/>
      <c r="BA192" s="122"/>
      <c r="BB192" s="122"/>
      <c r="BC192" s="122"/>
      <c r="BD192" s="122"/>
      <c r="BE192" s="122"/>
      <c r="BF192" s="122"/>
      <c r="BG192" s="122"/>
      <c r="BH192" s="122"/>
      <c r="BI192" s="122"/>
      <c r="BJ192" s="122"/>
      <c r="BK192" s="122"/>
      <c r="BL192" s="122"/>
      <c r="BM192" s="122"/>
      <c r="BN192" s="122"/>
      <c r="BO192" s="122"/>
      <c r="BP192" s="122"/>
      <c r="BQ192" s="122"/>
      <c r="BR192" s="122"/>
      <c r="BS192" s="122"/>
      <c r="BT192" s="122"/>
    </row>
    <row r="193" spans="1:72" s="123" customFormat="1" hidden="1" outlineLevel="1" x14ac:dyDescent="0.25">
      <c r="A193" s="112" t="s">
        <v>666</v>
      </c>
      <c r="B193" s="122">
        <f t="shared" ref="B193:D193" si="840">IF(B185&lt;0, B185/2, IF(AND(B185&gt;=0, B185&lt;=75%), B185, IF(B185&gt;75%, 1/(4*B185+1))))</f>
        <v>0.1</v>
      </c>
      <c r="C193" s="122">
        <f t="shared" ref="C193" si="841">IF(C185&lt;0, C185/2, IF(AND(C185&gt;=0, C185&lt;=75%), C185, IF(C185&gt;75%, 1/(4*C185+1))))</f>
        <v>0.1</v>
      </c>
      <c r="D193" s="122">
        <f t="shared" si="840"/>
        <v>0.1</v>
      </c>
      <c r="E193" s="122">
        <f t="shared" ref="E193" si="842">IF(E185&lt;0, E185/2, IF(AND(E185&gt;=0, E185&lt;=75%), E185, IF(E185&gt;75%, 1/(4*E185+1))))</f>
        <v>0.1</v>
      </c>
      <c r="F193" s="122">
        <f t="shared" si="758"/>
        <v>0.1</v>
      </c>
      <c r="G193" s="122">
        <f t="shared" si="758"/>
        <v>0.1</v>
      </c>
      <c r="H193" s="122">
        <f t="shared" ref="H193" si="843">IF(H185&lt;0, H185/2, IF(AND(H185&gt;=0, H185&lt;=75%), H185, IF(H185&gt;75%, 1/(4*H185+1))))</f>
        <v>0.1</v>
      </c>
      <c r="I193" s="122">
        <f t="shared" ref="I193" si="844">IF(I185&lt;0, I185/2, IF(AND(I185&gt;=0, I185&lt;=75%), I185, IF(I185&gt;75%, 1/(4*I185+1))))</f>
        <v>0.1</v>
      </c>
      <c r="J193" s="122">
        <f t="shared" si="758"/>
        <v>0.1</v>
      </c>
      <c r="K193" s="122">
        <f t="shared" ref="K193" si="845">IF(K185&lt;0, K185/2, IF(AND(K185&gt;=0, K185&lt;=75%), K185, IF(K185&gt;75%, 1/(4*K185+1))))</f>
        <v>0.1</v>
      </c>
      <c r="L193" s="122">
        <f t="shared" si="758"/>
        <v>0.1</v>
      </c>
      <c r="M193" s="122">
        <f t="shared" ref="M193:AG193" si="846">IF(M185&lt;0, M185/2, IF(AND(M185&gt;=0, M185&lt;=75%), M185, IF(M185&gt;75%, 1/(4*M185+1))))</f>
        <v>0.1</v>
      </c>
      <c r="N193" s="122">
        <f t="shared" ref="N193:O193" si="847">IF(N185&lt;0, N185/2, IF(AND(N185&gt;=0, N185&lt;=75%), N185, IF(N185&gt;75%, 1/(4*N185+1))))</f>
        <v>0.1</v>
      </c>
      <c r="O193" s="122">
        <f t="shared" si="847"/>
        <v>0.1</v>
      </c>
      <c r="P193" s="122">
        <f t="shared" si="846"/>
        <v>0.1</v>
      </c>
      <c r="Q193" s="122">
        <f t="shared" si="846"/>
        <v>0.1</v>
      </c>
      <c r="R193" s="122">
        <f t="shared" si="846"/>
        <v>0.1</v>
      </c>
      <c r="S193" s="122">
        <f t="shared" si="846"/>
        <v>0.1</v>
      </c>
      <c r="T193" s="122">
        <f t="shared" ref="T193:U193" si="848">IF(T185&lt;0, T185/2, IF(AND(T185&gt;=0, T185&lt;=75%), T185, IF(T185&gt;75%, 1/(4*T185+1))))</f>
        <v>0.1</v>
      </c>
      <c r="U193" s="122">
        <f t="shared" si="848"/>
        <v>0.1</v>
      </c>
      <c r="V193" s="122">
        <f t="shared" si="846"/>
        <v>0.1</v>
      </c>
      <c r="W193" s="122">
        <f t="shared" si="846"/>
        <v>0.1</v>
      </c>
      <c r="X193" s="122">
        <f t="shared" si="846"/>
        <v>0.1</v>
      </c>
      <c r="Y193" s="122">
        <f t="shared" si="846"/>
        <v>0.1</v>
      </c>
      <c r="Z193" s="122">
        <f t="shared" si="846"/>
        <v>0.1</v>
      </c>
      <c r="AA193" s="122">
        <f t="shared" ref="AA193:AC193" si="849">IF(AA185&lt;0, AA185/2, IF(AND(AA185&gt;=0, AA185&lt;=75%), AA185, IF(AA185&gt;75%, 1/(4*AA185+1))))</f>
        <v>0.1</v>
      </c>
      <c r="AB193" s="122">
        <f t="shared" si="849"/>
        <v>0.1</v>
      </c>
      <c r="AC193" s="122">
        <f t="shared" si="849"/>
        <v>0.1</v>
      </c>
      <c r="AD193" s="122">
        <f t="shared" ref="AD193" si="850">IF(AD185&lt;0, AD185/2, IF(AND(AD185&gt;=0, AD185&lt;=75%), AD185, IF(AD185&gt;75%, 1/(4*AD185+1))))</f>
        <v>0.1</v>
      </c>
      <c r="AE193" s="122">
        <f t="shared" ref="AE193:AF193" si="851">IF(AE185&lt;0, AE185/2, IF(AND(AE185&gt;=0, AE185&lt;=75%), AE185, IF(AE185&gt;75%, 1/(4*AE185+1))))</f>
        <v>0.1</v>
      </c>
      <c r="AF193" s="122">
        <f t="shared" si="851"/>
        <v>0.1</v>
      </c>
      <c r="AG193" s="122">
        <f t="shared" si="846"/>
        <v>0.1</v>
      </c>
      <c r="AH193" s="122">
        <f t="shared" ref="AH193:AI193" si="852">IF(AH185&lt;0, AH185/2, IF(AND(AH185&gt;=0, AH185&lt;=75%), AH185, IF(AH185&gt;75%, 1/(4*AH185+1))))</f>
        <v>0.1</v>
      </c>
      <c r="AI193" s="122">
        <f t="shared" si="852"/>
        <v>0.1</v>
      </c>
      <c r="AJ193" s="122">
        <f t="shared" ref="AJ193" si="853">IF(AJ185&lt;0, AJ185/2, IF(AND(AJ185&gt;=0, AJ185&lt;=75%), AJ185, IF(AJ185&gt;75%, 1/(4*AJ185+1))))</f>
        <v>0.1</v>
      </c>
      <c r="AK193" s="122"/>
      <c r="AL193" s="122"/>
      <c r="AM193" s="122"/>
      <c r="AN193" s="122"/>
      <c r="AO193" s="122"/>
      <c r="AP193" s="122"/>
      <c r="AQ193" s="122"/>
      <c r="AR193" s="122"/>
      <c r="AS193" s="122"/>
      <c r="AT193" s="122"/>
      <c r="AU193" s="122"/>
      <c r="AV193" s="122"/>
      <c r="AW193" s="122"/>
      <c r="AX193" s="122"/>
      <c r="AY193" s="122"/>
      <c r="AZ193" s="122"/>
      <c r="BA193" s="122"/>
      <c r="BB193" s="122"/>
      <c r="BC193" s="122"/>
      <c r="BD193" s="122"/>
      <c r="BE193" s="122"/>
      <c r="BF193" s="122"/>
      <c r="BG193" s="122"/>
      <c r="BH193" s="122"/>
      <c r="BI193" s="122"/>
      <c r="BJ193" s="122"/>
      <c r="BK193" s="122"/>
      <c r="BL193" s="122"/>
      <c r="BM193" s="122"/>
      <c r="BN193" s="122"/>
      <c r="BO193" s="122"/>
      <c r="BP193" s="122"/>
      <c r="BQ193" s="122"/>
      <c r="BR193" s="122"/>
      <c r="BS193" s="122"/>
      <c r="BT193" s="122"/>
    </row>
    <row r="194" spans="1:72" s="121" customFormat="1" collapsed="1" x14ac:dyDescent="0.25">
      <c r="A194" s="114" t="s">
        <v>693</v>
      </c>
    </row>
    <row r="195" spans="1:72" hidden="1" outlineLevel="1" x14ac:dyDescent="0.25">
      <c r="A195" s="112" t="s">
        <v>650</v>
      </c>
      <c r="B195" s="7">
        <f>VLOOKUP(B$21, 'Data Val'!$I$43:$J$46, 2, 0)</f>
        <v>539.67999999999984</v>
      </c>
      <c r="C195" s="7">
        <f>VLOOKUP(C$21, 'Data Val'!$I$43:$J$46, 2, 0)</f>
        <v>539.67999999999984</v>
      </c>
      <c r="D195" s="7">
        <f>VLOOKUP(D$21, 'Data Val'!$I$43:$J$46, 2, 0)</f>
        <v>539.67999999999984</v>
      </c>
      <c r="E195" s="7">
        <f>VLOOKUP(E$21, 'Data Val'!$I$43:$J$46, 2, 0)</f>
        <v>539.67999999999984</v>
      </c>
      <c r="F195" s="7">
        <f>VLOOKUP(F$21, 'Data Val'!$I$43:$J$46, 2, 0)</f>
        <v>539.67999999999984</v>
      </c>
      <c r="G195" s="7">
        <f>VLOOKUP(G$21, 'Data Val'!$I$43:$J$46, 2, 0)</f>
        <v>539.67999999999984</v>
      </c>
      <c r="H195" s="7">
        <f>VLOOKUP(H$21, 'Data Val'!$I$43:$J$46, 2, 0)</f>
        <v>539.67999999999984</v>
      </c>
      <c r="I195" s="7">
        <f>VLOOKUP(I$21, 'Data Val'!$I$43:$J$46, 2, 0)</f>
        <v>539.67999999999984</v>
      </c>
      <c r="J195" s="7">
        <f>VLOOKUP(J$21, 'Data Val'!$I$43:$J$46, 2, 0)</f>
        <v>539.67999999999984</v>
      </c>
      <c r="K195" s="7">
        <f>VLOOKUP(K$21, 'Data Val'!$I$43:$J$46, 2, 0)</f>
        <v>539.67999999999984</v>
      </c>
      <c r="L195" s="7">
        <f>VLOOKUP(L$21, 'Data Val'!$I$43:$J$46, 2, 0)</f>
        <v>539.67999999999984</v>
      </c>
      <c r="M195" s="7">
        <f>VLOOKUP(M$21, 'Data Val'!$I$43:$J$46, 2, 0)</f>
        <v>725.3599999999999</v>
      </c>
      <c r="N195" s="7">
        <f>VLOOKUP(N$21, 'Data Val'!$I$43:$J$46, 2, 0)</f>
        <v>725.3599999999999</v>
      </c>
      <c r="O195" s="7">
        <f>VLOOKUP(O$21, 'Data Val'!$I$43:$J$46, 2, 0)</f>
        <v>725.3599999999999</v>
      </c>
      <c r="P195" s="7">
        <f>VLOOKUP(P$21, 'Data Val'!$I$43:$J$46, 2, 0)</f>
        <v>725.3599999999999</v>
      </c>
      <c r="Q195" s="7">
        <f>VLOOKUP(Q$21, 'Data Val'!$I$43:$J$46, 2, 0)</f>
        <v>725.3599999999999</v>
      </c>
      <c r="R195" s="7">
        <f>VLOOKUP(R$21, 'Data Val'!$I$43:$J$46, 2, 0)</f>
        <v>725.3599999999999</v>
      </c>
      <c r="S195" s="7">
        <f>VLOOKUP(S$21, 'Data Val'!$I$43:$J$46, 2, 0)</f>
        <v>725.3599999999999</v>
      </c>
      <c r="T195" s="7">
        <f>VLOOKUP(T$21, 'Data Val'!$I$43:$J$46, 2, 0)</f>
        <v>725.3599999999999</v>
      </c>
      <c r="U195" s="7">
        <f>VLOOKUP(U$21, 'Data Val'!$I$43:$J$46, 2, 0)</f>
        <v>725.3599999999999</v>
      </c>
      <c r="V195" s="7">
        <f>VLOOKUP(V$21, 'Data Val'!$I$43:$J$46, 2, 0)</f>
        <v>725.3599999999999</v>
      </c>
      <c r="W195" s="7">
        <f>VLOOKUP(W$21, 'Data Val'!$I$43:$J$46, 2, 0)</f>
        <v>725.3599999999999</v>
      </c>
      <c r="X195" s="7">
        <f>VLOOKUP(X$21, 'Data Val'!$I$43:$J$46, 2, 0)</f>
        <v>539.67999999999984</v>
      </c>
      <c r="Y195" s="7">
        <f>VLOOKUP(Y$21, 'Data Val'!$I$43:$J$46, 2, 0)</f>
        <v>539.67999999999984</v>
      </c>
      <c r="Z195" s="7">
        <f>VLOOKUP(Z$21, 'Data Val'!$I$43:$J$46, 2, 0)</f>
        <v>539.67999999999984</v>
      </c>
      <c r="AA195" s="7">
        <f>VLOOKUP(AA$21, 'Data Val'!$I$43:$J$46, 2, 0)</f>
        <v>539.67999999999984</v>
      </c>
      <c r="AB195" s="7">
        <f>VLOOKUP(AB$21, 'Data Val'!$I$43:$J$46, 2, 0)</f>
        <v>539.67999999999984</v>
      </c>
      <c r="AC195" s="7">
        <f>VLOOKUP(AC$21, 'Data Val'!$I$43:$J$46, 2, 0)</f>
        <v>539.67999999999984</v>
      </c>
      <c r="AD195" s="7">
        <f>VLOOKUP(AD$21, 'Data Val'!$I$43:$J$46, 2, 0)</f>
        <v>539.67999999999984</v>
      </c>
      <c r="AE195" s="7">
        <f>VLOOKUP(AE$21, 'Data Val'!$I$43:$J$46, 2, 0)</f>
        <v>539.67999999999984</v>
      </c>
      <c r="AF195" s="7">
        <f>VLOOKUP(AF$21, 'Data Val'!$I$43:$J$46, 2, 0)</f>
        <v>539.67999999999984</v>
      </c>
      <c r="AG195" s="7">
        <f>VLOOKUP(AG$21, 'Data Val'!$I$43:$J$46, 2, 0)</f>
        <v>725.3599999999999</v>
      </c>
      <c r="AH195" s="7">
        <f>VLOOKUP(AH$21, 'Data Val'!$I$43:$J$46, 2, 0)</f>
        <v>725.3599999999999</v>
      </c>
      <c r="AI195" s="7">
        <f>VLOOKUP(AI$21, 'Data Val'!$I$43:$J$46, 2, 0)</f>
        <v>539.67999999999984</v>
      </c>
      <c r="AJ195" s="7">
        <f>VLOOKUP(AJ$21, 'Data Val'!$I$43:$J$46, 2, 0)</f>
        <v>539.67999999999984</v>
      </c>
    </row>
    <row r="196" spans="1:72" hidden="1" outlineLevel="1" x14ac:dyDescent="0.25">
      <c r="A196" s="112" t="s">
        <v>390</v>
      </c>
      <c r="B196" s="7">
        <f t="shared" ref="B196:D196" si="854">IFERROR(4*(1+(16*B136)/(2000+B136)+(IFERROR(B157+1, 1)-1))*B195*(1-B190),"")</f>
        <v>2546.989865976348</v>
      </c>
      <c r="C196" s="7">
        <f t="shared" ref="C196" si="855">IFERROR(4*(1+(16*C136)/(2000+C136)+(IFERROR(C157+1, 1)-1))*C195*(1-C190),"")</f>
        <v>2546.989865976348</v>
      </c>
      <c r="D196" s="7">
        <f t="shared" si="854"/>
        <v>2546.989865976348</v>
      </c>
      <c r="E196" s="7">
        <f t="shared" ref="E196" si="856">IFERROR(4*(1+(16*E136)/(2000+E136)+(IFERROR(E157+1, 1)-1))*E195*(1-E190),"")</f>
        <v>2900.7384584730626</v>
      </c>
      <c r="F196" s="7">
        <f t="shared" ref="F196:L196" si="857">IFERROR(4*(1+(16*F136)/(2000+F136)+(IFERROR(F157+1, 1)-1))*F195*(1-F190),"")</f>
        <v>2546.989865976348</v>
      </c>
      <c r="G196" s="7">
        <f t="shared" si="857"/>
        <v>2546.989865976348</v>
      </c>
      <c r="H196" s="7">
        <f t="shared" si="857"/>
        <v>2546.989865976348</v>
      </c>
      <c r="I196" s="7">
        <f t="shared" si="857"/>
        <v>2546.989865976348</v>
      </c>
      <c r="J196" s="7">
        <f t="shared" si="857"/>
        <v>7957.7920887799182</v>
      </c>
      <c r="K196" s="7">
        <f t="shared" si="857"/>
        <v>7957.7920887799182</v>
      </c>
      <c r="L196" s="7">
        <f t="shared" si="857"/>
        <v>7957.7920887799182</v>
      </c>
      <c r="M196" s="7">
        <f t="shared" ref="M196:AG196" ca="1" si="858">IFERROR(4*(1+(16*M136)/(2000+M136)+(IFERROR(M157+1, 1)-1))*M195*(1-M190),"")</f>
        <v>10773.449062074189</v>
      </c>
      <c r="N196" s="7">
        <f t="shared" ref="N196:O196" ca="1" si="859">IFERROR(4*(1+(16*N136)/(2000+N136)+(IFERROR(N157+1, 1)-1))*N195*(1-N190),"")</f>
        <v>10773.449062074189</v>
      </c>
      <c r="O196" s="7">
        <f t="shared" ca="1" si="859"/>
        <v>10773.449062074189</v>
      </c>
      <c r="P196" s="7">
        <f t="shared" ca="1" si="858"/>
        <v>9459.6138106017279</v>
      </c>
      <c r="Q196" s="7">
        <f t="shared" ca="1" si="858"/>
        <v>9459.6138106017279</v>
      </c>
      <c r="R196" s="7">
        <f t="shared" ca="1" si="858"/>
        <v>9459.6138106017279</v>
      </c>
      <c r="S196" s="7">
        <f t="shared" ca="1" si="858"/>
        <v>9459.6138106017279</v>
      </c>
      <c r="T196" s="7">
        <f t="shared" ref="T196:U196" ca="1" si="860">IFERROR(4*(1+(16*T136)/(2000+T136)+(IFERROR(T157+1, 1)-1))*T195*(1-T190),"")</f>
        <v>9459.6138106017279</v>
      </c>
      <c r="U196" s="7">
        <f t="shared" ca="1" si="860"/>
        <v>10773.449062074189</v>
      </c>
      <c r="V196" s="7">
        <f t="shared" ca="1" si="858"/>
        <v>10773.449062074189</v>
      </c>
      <c r="W196" s="7">
        <f t="shared" ca="1" si="858"/>
        <v>10773.449062074189</v>
      </c>
      <c r="X196" s="7">
        <f t="shared" si="858"/>
        <v>2546.989865976348</v>
      </c>
      <c r="Y196" s="7">
        <f t="shared" si="858"/>
        <v>2546.989865976348</v>
      </c>
      <c r="Z196" s="7">
        <f t="shared" si="858"/>
        <v>2546.989865976348</v>
      </c>
      <c r="AA196" s="7">
        <f t="shared" ref="AA196:AC196" si="861">IFERROR(4*(1+(16*AA136)/(2000+AA136)+(IFERROR(AA157+1, 1)-1))*AA195*(1-AA190),"")</f>
        <v>2546.989865976348</v>
      </c>
      <c r="AB196" s="7">
        <f t="shared" si="861"/>
        <v>2546.989865976348</v>
      </c>
      <c r="AC196" s="7">
        <f t="shared" si="861"/>
        <v>2546.989865976348</v>
      </c>
      <c r="AD196" s="7">
        <f t="shared" ref="AD196" si="862">IFERROR(4*(1+(16*AD136)/(2000+AD136)+(IFERROR(AD157+1, 1)-1))*AD195*(1-AD190),"")</f>
        <v>2546.989865976348</v>
      </c>
      <c r="AE196" s="7">
        <f t="shared" ref="AE196:AF196" si="863">IFERROR(4*(1+(16*AE136)/(2000+AE136)+(IFERROR(AE157+1, 1)-1))*AE195*(1-AE190),"")</f>
        <v>2546.989865976348</v>
      </c>
      <c r="AF196" s="7">
        <f t="shared" si="863"/>
        <v>2546.989865976348</v>
      </c>
      <c r="AG196" s="7">
        <f t="shared" ca="1" si="858"/>
        <v>9459.6138106017279</v>
      </c>
      <c r="AH196" s="7">
        <f t="shared" ref="AH196:AI196" ca="1" si="864">IFERROR(4*(1+(16*AH136)/(2000+AH136)+(IFERROR(AH157+1, 1)-1))*AH195*(1-AH190),"")</f>
        <v>9459.6138106017279</v>
      </c>
      <c r="AI196" s="7">
        <f t="shared" si="864"/>
        <v>7957.7920887799182</v>
      </c>
      <c r="AJ196" s="7">
        <f t="shared" ref="AJ196" si="865">IFERROR(4*(1+(16*AJ136)/(2000+AJ136)+(IFERROR(AJ157+1, 1)-1))*AJ195*(1-AJ190),"")</f>
        <v>7957.7920887799182</v>
      </c>
    </row>
    <row r="197" spans="1:72" hidden="1" outlineLevel="1" x14ac:dyDescent="0.25">
      <c r="A197" s="112" t="s">
        <v>393</v>
      </c>
      <c r="B197" s="7">
        <f t="shared" ref="B197:D197" si="866">IFERROR(2.4*(1+(16*B136)/(2000+B136)+(IFERROR(B157+1, 1)-1))*B195*(1-B193),"")</f>
        <v>1528.1939195858085</v>
      </c>
      <c r="C197" s="7">
        <f t="shared" ref="C197" si="867">IFERROR(2.4*(1+(16*C136)/(2000+C136)+(IFERROR(C157+1, 1)-1))*C195*(1-C193),"")</f>
        <v>1528.1939195858085</v>
      </c>
      <c r="D197" s="7">
        <f t="shared" si="866"/>
        <v>1528.1939195858085</v>
      </c>
      <c r="E197" s="7">
        <f t="shared" ref="E197" si="868">IFERROR(2.4*(1+(16*E136)/(2000+E136)+(IFERROR(E157+1, 1)-1))*E195*(1-E193),"")</f>
        <v>1528.1939195858085</v>
      </c>
      <c r="F197" s="7">
        <f t="shared" ref="F197:L197" si="869">IFERROR(2.4*(1+(16*F136)/(2000+F136)+(IFERROR(F157+1, 1)-1))*F195*(1-F193),"")</f>
        <v>1528.1939195858085</v>
      </c>
      <c r="G197" s="7">
        <f t="shared" si="869"/>
        <v>1528.1939195858085</v>
      </c>
      <c r="H197" s="7">
        <f t="shared" si="869"/>
        <v>1528.1939195858085</v>
      </c>
      <c r="I197" s="7">
        <f t="shared" si="869"/>
        <v>1528.1939195858085</v>
      </c>
      <c r="J197" s="7">
        <f t="shared" si="869"/>
        <v>4774.6752532679502</v>
      </c>
      <c r="K197" s="7">
        <f t="shared" si="869"/>
        <v>4774.6752532679502</v>
      </c>
      <c r="L197" s="7">
        <f t="shared" si="869"/>
        <v>4774.6752532679502</v>
      </c>
      <c r="M197" s="7">
        <f t="shared" ref="M197:AG197" ca="1" si="870">IFERROR(2.4*(1+(16*M136)/(2000+M136)+(IFERROR(M157+1, 1)-1))*M195*(1-M193),"")</f>
        <v>5675.7682863610371</v>
      </c>
      <c r="N197" s="7">
        <f t="shared" ref="N197:O197" ca="1" si="871">IFERROR(2.4*(1+(16*N136)/(2000+N136)+(IFERROR(N157+1, 1)-1))*N195*(1-N193),"")</f>
        <v>5675.7682863610371</v>
      </c>
      <c r="O197" s="7">
        <f t="shared" ca="1" si="871"/>
        <v>5675.7682863610371</v>
      </c>
      <c r="P197" s="7">
        <f t="shared" ca="1" si="870"/>
        <v>5675.7682863610371</v>
      </c>
      <c r="Q197" s="7">
        <f t="shared" ca="1" si="870"/>
        <v>5675.7682863610371</v>
      </c>
      <c r="R197" s="7">
        <f t="shared" ca="1" si="870"/>
        <v>5675.7682863610371</v>
      </c>
      <c r="S197" s="7">
        <f t="shared" ca="1" si="870"/>
        <v>5675.7682863610371</v>
      </c>
      <c r="T197" s="7">
        <f t="shared" ref="T197:U197" ca="1" si="872">IFERROR(2.4*(1+(16*T136)/(2000+T136)+(IFERROR(T157+1, 1)-1))*T195*(1-T193),"")</f>
        <v>5675.7682863610371</v>
      </c>
      <c r="U197" s="7">
        <f t="shared" ca="1" si="872"/>
        <v>5675.7682863610371</v>
      </c>
      <c r="V197" s="7">
        <f t="shared" ca="1" si="870"/>
        <v>5675.7682863610371</v>
      </c>
      <c r="W197" s="7">
        <f t="shared" ca="1" si="870"/>
        <v>5675.7682863610371</v>
      </c>
      <c r="X197" s="7">
        <f t="shared" si="870"/>
        <v>1528.1939195858085</v>
      </c>
      <c r="Y197" s="7">
        <f t="shared" si="870"/>
        <v>1528.1939195858085</v>
      </c>
      <c r="Z197" s="7">
        <f t="shared" si="870"/>
        <v>1528.1939195858085</v>
      </c>
      <c r="AA197" s="7">
        <f t="shared" ref="AA197:AC197" si="873">IFERROR(2.4*(1+(16*AA136)/(2000+AA136)+(IFERROR(AA157+1, 1)-1))*AA195*(1-AA193),"")</f>
        <v>1528.1939195858085</v>
      </c>
      <c r="AB197" s="7">
        <f t="shared" si="873"/>
        <v>1528.1939195858085</v>
      </c>
      <c r="AC197" s="7">
        <f t="shared" si="873"/>
        <v>1528.1939195858085</v>
      </c>
      <c r="AD197" s="7">
        <f t="shared" ref="AD197" si="874">IFERROR(2.4*(1+(16*AD136)/(2000+AD136)+(IFERROR(AD157+1, 1)-1))*AD195*(1-AD193),"")</f>
        <v>1528.1939195858085</v>
      </c>
      <c r="AE197" s="7">
        <f t="shared" ref="AE197:AF197" si="875">IFERROR(2.4*(1+(16*AE136)/(2000+AE136)+(IFERROR(AE157+1, 1)-1))*AE195*(1-AE193),"")</f>
        <v>1528.1939195858085</v>
      </c>
      <c r="AF197" s="7">
        <f t="shared" si="875"/>
        <v>1528.1939195858085</v>
      </c>
      <c r="AG197" s="7">
        <f t="shared" ca="1" si="870"/>
        <v>5675.7682863610371</v>
      </c>
      <c r="AH197" s="7">
        <f t="shared" ref="AH197:AI197" ca="1" si="876">IFERROR(2.4*(1+(16*AH136)/(2000+AH136)+(IFERROR(AH157+1, 1)-1))*AH195*(1-AH193),"")</f>
        <v>5675.7682863610371</v>
      </c>
      <c r="AI197" s="7">
        <f t="shared" si="876"/>
        <v>4774.6752532679502</v>
      </c>
      <c r="AJ197" s="7">
        <f t="shared" ref="AJ197" si="877">IFERROR(2.4*(1+(16*AJ136)/(2000+AJ136)+(IFERROR(AJ157+1, 1)-1))*AJ195*(1-AJ193),"")</f>
        <v>4774.6752532679502</v>
      </c>
    </row>
    <row r="198" spans="1:72" hidden="1" outlineLevel="1" x14ac:dyDescent="0.25">
      <c r="A198" s="112" t="s">
        <v>392</v>
      </c>
      <c r="B198" s="7">
        <f t="shared" ref="B198:D198" si="878">IFERROR(3*(1+(16*B136)/(2000+B136)+(IFERROR(B161+1, 1)-1))*B195*(1-B187),"")</f>
        <v>1910.2423994822609</v>
      </c>
      <c r="C198" s="7">
        <f t="shared" ref="C198" si="879">IFERROR(3*(1+(16*C136)/(2000+C136)+(IFERROR(C161+1, 1)-1))*C195*(1-C187),"")</f>
        <v>1910.2423994822609</v>
      </c>
      <c r="D198" s="7">
        <f t="shared" si="878"/>
        <v>1910.2423994822609</v>
      </c>
      <c r="E198" s="7">
        <f t="shared" ref="E198" si="880">IFERROR(3*(1+(16*E136)/(2000+E136)+(IFERROR(E161+1, 1)-1))*E195*(1-E187),"")</f>
        <v>1910.2423994822609</v>
      </c>
      <c r="F198" s="7">
        <f t="shared" ref="F198:L198" si="881">IFERROR(3*(1+(16*F136)/(2000+F136)+(IFERROR(F161+1, 1)-1))*F195*(1-F187),"")</f>
        <v>1910.2423994822609</v>
      </c>
      <c r="G198" s="7">
        <f t="shared" si="881"/>
        <v>1910.2423994822609</v>
      </c>
      <c r="H198" s="7">
        <f t="shared" si="881"/>
        <v>1910.2423994822609</v>
      </c>
      <c r="I198" s="7">
        <f t="shared" si="881"/>
        <v>1910.2423994822609</v>
      </c>
      <c r="J198" s="7">
        <f t="shared" si="881"/>
        <v>5968.3440665849384</v>
      </c>
      <c r="K198" s="7">
        <f t="shared" si="881"/>
        <v>5968.3440665849384</v>
      </c>
      <c r="L198" s="7">
        <f t="shared" si="881"/>
        <v>5968.3440665849384</v>
      </c>
      <c r="M198" s="7">
        <f t="shared" ref="M198:AG198" ca="1" si="882">IFERROR(3*(1+(16*M136)/(2000+M136)+(IFERROR(M161+1, 1)-1))*M195*(1-M187),"")</f>
        <v>6311.3215579512971</v>
      </c>
      <c r="N198" s="7">
        <f t="shared" ref="N198:O198" ca="1" si="883">IFERROR(3*(1+(16*N136)/(2000+N136)+(IFERROR(N161+1, 1)-1))*N195*(1-N187),"")</f>
        <v>6311.3215579512971</v>
      </c>
      <c r="O198" s="7">
        <f t="shared" ca="1" si="883"/>
        <v>6311.3215579512971</v>
      </c>
      <c r="P198" s="7">
        <f t="shared" ca="1" si="882"/>
        <v>6311.3215579512971</v>
      </c>
      <c r="Q198" s="7">
        <f t="shared" ca="1" si="882"/>
        <v>6311.3215579512971</v>
      </c>
      <c r="R198" s="7">
        <f t="shared" ca="1" si="882"/>
        <v>6311.3215579512971</v>
      </c>
      <c r="S198" s="7">
        <f t="shared" ca="1" si="882"/>
        <v>6311.3215579512971</v>
      </c>
      <c r="T198" s="7">
        <f t="shared" ref="T198:U198" ca="1" si="884">IFERROR(3*(1+(16*T136)/(2000+T136)+(IFERROR(T161+1, 1)-1))*T195*(1-T187),"")</f>
        <v>6311.3215579512971</v>
      </c>
      <c r="U198" s="7">
        <f t="shared" ca="1" si="884"/>
        <v>6311.3215579512971</v>
      </c>
      <c r="V198" s="7">
        <f t="shared" ca="1" si="882"/>
        <v>6311.3215579512971</v>
      </c>
      <c r="W198" s="7">
        <f t="shared" ca="1" si="882"/>
        <v>6311.3215579512971</v>
      </c>
      <c r="X198" s="7">
        <f t="shared" si="882"/>
        <v>1910.2423994822609</v>
      </c>
      <c r="Y198" s="7">
        <f t="shared" si="882"/>
        <v>1910.2423994822609</v>
      </c>
      <c r="Z198" s="7">
        <f t="shared" si="882"/>
        <v>1910.2423994822609</v>
      </c>
      <c r="AA198" s="7">
        <f t="shared" ref="AA198:AC198" si="885">IFERROR(3*(1+(16*AA136)/(2000+AA136)+(IFERROR(AA161+1, 1)-1))*AA195*(1-AA187),"")</f>
        <v>1910.2423994822609</v>
      </c>
      <c r="AB198" s="7">
        <f t="shared" si="885"/>
        <v>1910.2423994822609</v>
      </c>
      <c r="AC198" s="7">
        <f t="shared" si="885"/>
        <v>1910.2423994822609</v>
      </c>
      <c r="AD198" s="7">
        <f t="shared" ref="AD198" si="886">IFERROR(3*(1+(16*AD136)/(2000+AD136)+(IFERROR(AD161+1, 1)-1))*AD195*(1-AD187),"")</f>
        <v>1910.2423994822609</v>
      </c>
      <c r="AE198" s="7">
        <f t="shared" ref="AE198:AF198" si="887">IFERROR(3*(1+(16*AE136)/(2000+AE136)+(IFERROR(AE161+1, 1)-1))*AE195*(1-AE187),"")</f>
        <v>1910.2423994822609</v>
      </c>
      <c r="AF198" s="7">
        <f t="shared" si="887"/>
        <v>1910.2423994822609</v>
      </c>
      <c r="AG198" s="7">
        <f t="shared" ca="1" si="882"/>
        <v>6311.3215579512971</v>
      </c>
      <c r="AH198" s="7">
        <f t="shared" ref="AH198:AI198" ca="1" si="888">IFERROR(3*(1+(16*AH136)/(2000+AH136)+(IFERROR(AH161+1, 1)-1))*AH195*(1-AH187),"")</f>
        <v>6311.3215579512971</v>
      </c>
      <c r="AI198" s="7">
        <f t="shared" si="888"/>
        <v>5968.3440665849384</v>
      </c>
      <c r="AJ198" s="7">
        <f t="shared" ref="AJ198" si="889">IFERROR(3*(1+(16*AJ136)/(2000+AJ136)+(IFERROR(AJ161+1, 1)-1))*AJ195*(1-AJ187),"")</f>
        <v>5968.3440665849384</v>
      </c>
    </row>
    <row r="199" spans="1:72" hidden="1" outlineLevel="1" x14ac:dyDescent="0.25">
      <c r="A199" s="112" t="s">
        <v>389</v>
      </c>
      <c r="B199" s="7">
        <f t="shared" ref="B199:D199" si="890">IFERROR(1*(1+(16*B136)/(2000+B136)+(IFERROR(B160+1, 1)-1))*B195*(1-B192),"")</f>
        <v>636.74746649408701</v>
      </c>
      <c r="C199" s="7">
        <f t="shared" ref="C199" si="891">IFERROR(1*(1+(16*C136)/(2000+C136)+(IFERROR(C160+1, 1)-1))*C195*(1-C192),"")</f>
        <v>636.74746649408701</v>
      </c>
      <c r="D199" s="7">
        <f t="shared" si="890"/>
        <v>636.74746649408701</v>
      </c>
      <c r="E199" s="7">
        <f t="shared" ref="E199" si="892">IFERROR(1*(1+(16*E136)/(2000+E136)+(IFERROR(E160+1, 1)-1))*E195*(1-E192),"")</f>
        <v>636.74746649408701</v>
      </c>
      <c r="F199" s="7">
        <f t="shared" ref="F199:L199" si="893">IFERROR(1*(1+(16*F136)/(2000+F136)+(IFERROR(F160+1, 1)-1))*F195*(1-F192),"")</f>
        <v>636.74746649408701</v>
      </c>
      <c r="G199" s="7">
        <f t="shared" si="893"/>
        <v>636.74746649408701</v>
      </c>
      <c r="H199" s="7">
        <f t="shared" si="893"/>
        <v>636.74746649408701</v>
      </c>
      <c r="I199" s="7">
        <f t="shared" si="893"/>
        <v>636.74746649408701</v>
      </c>
      <c r="J199" s="7">
        <f t="shared" si="893"/>
        <v>1989.4480221949796</v>
      </c>
      <c r="K199" s="7">
        <f t="shared" si="893"/>
        <v>1989.4480221949796</v>
      </c>
      <c r="L199" s="7">
        <f t="shared" si="893"/>
        <v>1989.4480221949796</v>
      </c>
      <c r="M199" s="7">
        <f t="shared" ref="M199:AG199" ca="1" si="894">IFERROR(1*(1+(16*M136)/(2000+M136)+(IFERROR(M160+1, 1)-1))*M195*(1-M192),"")</f>
        <v>2103.7738526504322</v>
      </c>
      <c r="N199" s="7">
        <f t="shared" ref="N199:O199" ca="1" si="895">IFERROR(1*(1+(16*N136)/(2000+N136)+(IFERROR(N160+1, 1)-1))*N195*(1-N192),"")</f>
        <v>2103.7738526504322</v>
      </c>
      <c r="O199" s="7">
        <f t="shared" ca="1" si="895"/>
        <v>2103.7738526504322</v>
      </c>
      <c r="P199" s="7">
        <f t="shared" ca="1" si="894"/>
        <v>2103.7738526504322</v>
      </c>
      <c r="Q199" s="7">
        <f t="shared" ca="1" si="894"/>
        <v>2103.7738526504322</v>
      </c>
      <c r="R199" s="7">
        <f t="shared" ca="1" si="894"/>
        <v>2103.7738526504322</v>
      </c>
      <c r="S199" s="7">
        <f t="shared" ca="1" si="894"/>
        <v>2103.7738526504322</v>
      </c>
      <c r="T199" s="7">
        <f t="shared" ref="T199:U199" ca="1" si="896">IFERROR(1*(1+(16*T136)/(2000+T136)+(IFERROR(T160+1, 1)-1))*T195*(1-T192),"")</f>
        <v>2103.7738526504322</v>
      </c>
      <c r="U199" s="7">
        <f t="shared" ca="1" si="896"/>
        <v>2103.7738526504322</v>
      </c>
      <c r="V199" s="7">
        <f t="shared" ca="1" si="894"/>
        <v>2103.7738526504322</v>
      </c>
      <c r="W199" s="7">
        <f t="shared" ca="1" si="894"/>
        <v>2103.7738526504322</v>
      </c>
      <c r="X199" s="7">
        <f t="shared" si="894"/>
        <v>636.74746649408701</v>
      </c>
      <c r="Y199" s="7">
        <f t="shared" si="894"/>
        <v>636.74746649408701</v>
      </c>
      <c r="Z199" s="7">
        <f t="shared" si="894"/>
        <v>636.74746649408701</v>
      </c>
      <c r="AA199" s="7">
        <f t="shared" ref="AA199:AC199" si="897">IFERROR(1*(1+(16*AA136)/(2000+AA136)+(IFERROR(AA160+1, 1)-1))*AA195*(1-AA192),"")</f>
        <v>636.74746649408701</v>
      </c>
      <c r="AB199" s="7">
        <f t="shared" si="897"/>
        <v>636.74746649408701</v>
      </c>
      <c r="AC199" s="7">
        <f t="shared" si="897"/>
        <v>636.74746649408701</v>
      </c>
      <c r="AD199" s="7">
        <f t="shared" ref="AD199" si="898">IFERROR(1*(1+(16*AD136)/(2000+AD136)+(IFERROR(AD160+1, 1)-1))*AD195*(1-AD192),"")</f>
        <v>636.74746649408701</v>
      </c>
      <c r="AE199" s="7">
        <f t="shared" ref="AE199:AF199" si="899">IFERROR(1*(1+(16*AE136)/(2000+AE136)+(IFERROR(AE160+1, 1)-1))*AE195*(1-AE192),"")</f>
        <v>636.74746649408701</v>
      </c>
      <c r="AF199" s="7">
        <f t="shared" si="899"/>
        <v>636.74746649408701</v>
      </c>
      <c r="AG199" s="7">
        <f t="shared" ca="1" si="894"/>
        <v>2103.7738526504322</v>
      </c>
      <c r="AH199" s="7">
        <f t="shared" ref="AH199:AI199" ca="1" si="900">IFERROR(1*(1+(16*AH136)/(2000+AH136)+(IFERROR(AH160+1, 1)-1))*AH195*(1-AH192),"")</f>
        <v>2103.7738526504322</v>
      </c>
      <c r="AI199" s="7">
        <f t="shared" si="900"/>
        <v>1989.4480221949796</v>
      </c>
      <c r="AJ199" s="7">
        <f t="shared" ref="AJ199" si="901">IFERROR(1*(1+(16*AJ136)/(2000+AJ136)+(IFERROR(AJ160+1, 1)-1))*AJ195*(1-AJ192),"")</f>
        <v>1989.4480221949796</v>
      </c>
    </row>
    <row r="200" spans="1:72" hidden="1" outlineLevel="1" x14ac:dyDescent="0.25">
      <c r="A200" s="112" t="s">
        <v>391</v>
      </c>
      <c r="B200" s="7">
        <f t="shared" ref="B200:D200" si="902">IFERROR(1.2*(1+(16*B136)/(2000+B136)+(IFERROR(B156+1, 1)-1))*B195*(1-B190),"")</f>
        <v>764.09695979290427</v>
      </c>
      <c r="C200" s="7">
        <f t="shared" ref="C200" si="903">IFERROR(1.2*(1+(16*C136)/(2000+C136)+(IFERROR(C156+1, 1)-1))*C195*(1-C190),"")</f>
        <v>764.09695979290427</v>
      </c>
      <c r="D200" s="7">
        <f t="shared" si="902"/>
        <v>764.09695979290427</v>
      </c>
      <c r="E200" s="7">
        <f t="shared" ref="E200" si="904">IFERROR(1.2*(1+(16*E136)/(2000+E136)+(IFERROR(E156+1, 1)-1))*E195*(1-E190),"")</f>
        <v>870.22153754191868</v>
      </c>
      <c r="F200" s="7">
        <f t="shared" ref="F200:L200" si="905">IFERROR(1.2*(1+(16*F136)/(2000+F136)+(IFERROR(F156+1, 1)-1))*F195*(1-F190),"")</f>
        <v>764.09695979290427</v>
      </c>
      <c r="G200" s="7">
        <f t="shared" si="905"/>
        <v>764.09695979290427</v>
      </c>
      <c r="H200" s="7">
        <f t="shared" si="905"/>
        <v>764.09695979290427</v>
      </c>
      <c r="I200" s="7">
        <f t="shared" si="905"/>
        <v>764.09695979290427</v>
      </c>
      <c r="J200" s="7">
        <f t="shared" si="905"/>
        <v>2387.3376266339751</v>
      </c>
      <c r="K200" s="7">
        <f t="shared" si="905"/>
        <v>2387.3376266339751</v>
      </c>
      <c r="L200" s="7">
        <f t="shared" si="905"/>
        <v>2387.3376266339751</v>
      </c>
      <c r="M200" s="7">
        <f t="shared" ref="M200:AG200" ca="1" si="906">IFERROR(1.2*(1+(16*M136)/(2000+M136)+(IFERROR(M156+1, 1)-1))*M195*(1-M190),"")</f>
        <v>2875.1575986222565</v>
      </c>
      <c r="N200" s="7">
        <f t="shared" ref="N200:O200" ca="1" si="907">IFERROR(1.2*(1+(16*N136)/(2000+N136)+(IFERROR(N156+1, 1)-1))*N195*(1-N190),"")</f>
        <v>2875.1575986222565</v>
      </c>
      <c r="O200" s="7">
        <f t="shared" ca="1" si="907"/>
        <v>2875.1575986222565</v>
      </c>
      <c r="P200" s="7">
        <f t="shared" ca="1" si="906"/>
        <v>2524.5286231805185</v>
      </c>
      <c r="Q200" s="7">
        <f t="shared" ca="1" si="906"/>
        <v>2524.5286231805185</v>
      </c>
      <c r="R200" s="7">
        <f t="shared" ca="1" si="906"/>
        <v>2524.5286231805185</v>
      </c>
      <c r="S200" s="7">
        <f t="shared" ca="1" si="906"/>
        <v>2524.5286231805185</v>
      </c>
      <c r="T200" s="7">
        <f t="shared" ref="T200:U200" ca="1" si="908">IFERROR(1.2*(1+(16*T136)/(2000+T136)+(IFERROR(T156+1, 1)-1))*T195*(1-T190),"")</f>
        <v>2524.5286231805185</v>
      </c>
      <c r="U200" s="7">
        <f t="shared" ca="1" si="908"/>
        <v>2875.1575986222565</v>
      </c>
      <c r="V200" s="7">
        <f t="shared" ca="1" si="906"/>
        <v>2875.1575986222565</v>
      </c>
      <c r="W200" s="7">
        <f t="shared" ca="1" si="906"/>
        <v>2875.1575986222565</v>
      </c>
      <c r="X200" s="7">
        <f t="shared" si="906"/>
        <v>764.09695979290427</v>
      </c>
      <c r="Y200" s="7">
        <f t="shared" si="906"/>
        <v>764.09695979290427</v>
      </c>
      <c r="Z200" s="7">
        <f t="shared" si="906"/>
        <v>764.09695979290427</v>
      </c>
      <c r="AA200" s="7">
        <f t="shared" ref="AA200:AC200" si="909">IFERROR(1.2*(1+(16*AA136)/(2000+AA136)+(IFERROR(AA156+1, 1)-1))*AA195*(1-AA190),"")</f>
        <v>764.09695979290427</v>
      </c>
      <c r="AB200" s="7">
        <f t="shared" si="909"/>
        <v>764.09695979290427</v>
      </c>
      <c r="AC200" s="7">
        <f t="shared" si="909"/>
        <v>764.09695979290427</v>
      </c>
      <c r="AD200" s="7">
        <f t="shared" ref="AD200" si="910">IFERROR(1.2*(1+(16*AD136)/(2000+AD136)+(IFERROR(AD156+1, 1)-1))*AD195*(1-AD190),"")</f>
        <v>764.09695979290427</v>
      </c>
      <c r="AE200" s="7">
        <f t="shared" ref="AE200:AF200" si="911">IFERROR(1.2*(1+(16*AE136)/(2000+AE136)+(IFERROR(AE156+1, 1)-1))*AE195*(1-AE190),"")</f>
        <v>764.09695979290427</v>
      </c>
      <c r="AF200" s="7">
        <f t="shared" si="911"/>
        <v>764.09695979290427</v>
      </c>
      <c r="AG200" s="7">
        <f t="shared" ca="1" si="906"/>
        <v>2524.5286231805185</v>
      </c>
      <c r="AH200" s="7">
        <f t="shared" ref="AH200:AI200" ca="1" si="912">IFERROR(1.2*(1+(16*AH136)/(2000+AH136)+(IFERROR(AH156+1, 1)-1))*AH195*(1-AH190),"")</f>
        <v>2524.5286231805185</v>
      </c>
      <c r="AI200" s="7">
        <f t="shared" si="912"/>
        <v>2387.3376266339751</v>
      </c>
      <c r="AJ200" s="7">
        <f t="shared" ref="AJ200" si="913">IFERROR(1.2*(1+(16*AJ136)/(2000+AJ136)+(IFERROR(AJ156+1, 1)-1))*AJ195*(1-AJ190),"")</f>
        <v>2387.3376266339751</v>
      </c>
    </row>
    <row r="201" spans="1:72" hidden="1" outlineLevel="1" x14ac:dyDescent="0.25">
      <c r="A201" s="112" t="s">
        <v>395</v>
      </c>
      <c r="B201" s="7">
        <f t="shared" ref="B201:D201" si="914">IFERROR(1.2*(1+(16*B136)/(2000+B136)+(IFERROR(B156+1, 1)-1))*B195*(1-B191),"")</f>
        <v>764.09695979290427</v>
      </c>
      <c r="C201" s="7">
        <f t="shared" ref="C201" si="915">IFERROR(1.2*(1+(16*C136)/(2000+C136)+(IFERROR(C156+1, 1)-1))*C195*(1-C191),"")</f>
        <v>764.09695979290427</v>
      </c>
      <c r="D201" s="7">
        <f t="shared" si="914"/>
        <v>764.09695979290427</v>
      </c>
      <c r="E201" s="7">
        <f t="shared" ref="E201" si="916">IFERROR(1.2*(1+(16*E136)/(2000+E136)+(IFERROR(E156+1, 1)-1))*E195*(1-E191),"")</f>
        <v>764.09695979290427</v>
      </c>
      <c r="F201" s="7">
        <f t="shared" ref="F201:L201" si="917">IFERROR(1.2*(1+(16*F136)/(2000+F136)+(IFERROR(F156+1, 1)-1))*F195*(1-F191),"")</f>
        <v>764.09695979290427</v>
      </c>
      <c r="G201" s="7">
        <f t="shared" si="917"/>
        <v>764.09695979290427</v>
      </c>
      <c r="H201" s="7">
        <f t="shared" si="917"/>
        <v>870.22153754191868</v>
      </c>
      <c r="I201" s="7">
        <f t="shared" si="917"/>
        <v>764.09695979290427</v>
      </c>
      <c r="J201" s="7">
        <f t="shared" si="917"/>
        <v>2387.3376266339751</v>
      </c>
      <c r="K201" s="7">
        <f t="shared" si="917"/>
        <v>2387.3376266339751</v>
      </c>
      <c r="L201" s="7">
        <f t="shared" si="917"/>
        <v>2387.3376266339751</v>
      </c>
      <c r="M201" s="7">
        <f t="shared" ref="M201:AG201" ca="1" si="918">IFERROR(1.2*(1+(16*M136)/(2000+M136)+(IFERROR(M156+1, 1)-1))*M195*(1-M191),"")</f>
        <v>2524.5286231805185</v>
      </c>
      <c r="N201" s="7">
        <f t="shared" ref="N201:O201" ca="1" si="919">IFERROR(1.2*(1+(16*N136)/(2000+N136)+(IFERROR(N156+1, 1)-1))*N195*(1-N191),"")</f>
        <v>2524.5286231805185</v>
      </c>
      <c r="O201" s="7">
        <f t="shared" ca="1" si="919"/>
        <v>2524.5286231805185</v>
      </c>
      <c r="P201" s="7">
        <f t="shared" ca="1" si="918"/>
        <v>2524.5286231805185</v>
      </c>
      <c r="Q201" s="7">
        <f t="shared" ca="1" si="918"/>
        <v>2524.5286231805185</v>
      </c>
      <c r="R201" s="7">
        <f t="shared" ca="1" si="918"/>
        <v>2524.5286231805185</v>
      </c>
      <c r="S201" s="7">
        <f t="shared" ca="1" si="918"/>
        <v>2524.5286231805185</v>
      </c>
      <c r="T201" s="7">
        <f t="shared" ref="T201:U201" ca="1" si="920">IFERROR(1.2*(1+(16*T136)/(2000+T136)+(IFERROR(T156+1, 1)-1))*T195*(1-T191),"")</f>
        <v>2524.5286231805185</v>
      </c>
      <c r="U201" s="7">
        <f t="shared" ca="1" si="920"/>
        <v>2524.5286231805185</v>
      </c>
      <c r="V201" s="7">
        <f t="shared" ca="1" si="918"/>
        <v>2524.5286231805185</v>
      </c>
      <c r="W201" s="7">
        <f t="shared" ca="1" si="918"/>
        <v>2524.5286231805185</v>
      </c>
      <c r="X201" s="7">
        <f t="shared" si="918"/>
        <v>764.09695979290427</v>
      </c>
      <c r="Y201" s="7">
        <f t="shared" si="918"/>
        <v>764.09695979290427</v>
      </c>
      <c r="Z201" s="7">
        <f t="shared" si="918"/>
        <v>764.09695979290427</v>
      </c>
      <c r="AA201" s="7">
        <f t="shared" ref="AA201:AC201" si="921">IFERROR(1.2*(1+(16*AA136)/(2000+AA136)+(IFERROR(AA156+1, 1)-1))*AA195*(1-AA191),"")</f>
        <v>764.09695979290427</v>
      </c>
      <c r="AB201" s="7">
        <f t="shared" si="921"/>
        <v>764.09695979290427</v>
      </c>
      <c r="AC201" s="7">
        <f t="shared" si="921"/>
        <v>764.09695979290427</v>
      </c>
      <c r="AD201" s="7">
        <f t="shared" ref="AD201" si="922">IFERROR(1.2*(1+(16*AD136)/(2000+AD136)+(IFERROR(AD156+1, 1)-1))*AD195*(1-AD191),"")</f>
        <v>764.09695979290427</v>
      </c>
      <c r="AE201" s="7">
        <f t="shared" ref="AE201:AF201" si="923">IFERROR(1.2*(1+(16*AE136)/(2000+AE136)+(IFERROR(AE156+1, 1)-1))*AE195*(1-AE191),"")</f>
        <v>764.09695979290427</v>
      </c>
      <c r="AF201" s="7">
        <f t="shared" si="923"/>
        <v>764.09695979290427</v>
      </c>
      <c r="AG201" s="7">
        <f t="shared" ca="1" si="918"/>
        <v>2524.5286231805185</v>
      </c>
      <c r="AH201" s="7">
        <f t="shared" ref="AH201:AI201" ca="1" si="924">IFERROR(1.2*(1+(16*AH136)/(2000+AH136)+(IFERROR(AH156+1, 1)-1))*AH195*(1-AH191),"")</f>
        <v>2524.5286231805185</v>
      </c>
      <c r="AI201" s="7">
        <f t="shared" si="924"/>
        <v>2387.3376266339751</v>
      </c>
      <c r="AJ201" s="7">
        <f t="shared" ref="AJ201" si="925">IFERROR(1.2*(1+(16*AJ136)/(2000+AJ136)+(IFERROR(AJ156+1, 1)-1))*AJ195*(1-AJ191),"")</f>
        <v>2387.3376266339751</v>
      </c>
    </row>
    <row r="202" spans="1:72" hidden="1" outlineLevel="1" x14ac:dyDescent="0.25">
      <c r="A202" s="112" t="s">
        <v>394</v>
      </c>
      <c r="B202" s="7">
        <f t="shared" ref="B202:D202" si="926">IFERROR(1.2*(1+(16*B136)/(2000+B136)+(IFERROR(B156+1, 1)-1))*B195*(1-B192),"")</f>
        <v>764.09695979290427</v>
      </c>
      <c r="C202" s="7">
        <f t="shared" ref="C202" si="927">IFERROR(1.2*(1+(16*C136)/(2000+C136)+(IFERROR(C156+1, 1)-1))*C195*(1-C192),"")</f>
        <v>764.09695979290427</v>
      </c>
      <c r="D202" s="7">
        <f t="shared" si="926"/>
        <v>764.09695979290427</v>
      </c>
      <c r="E202" s="7">
        <f t="shared" ref="E202" si="928">IFERROR(1.2*(1+(16*E136)/(2000+E136)+(IFERROR(E156+1, 1)-1))*E195*(1-E192),"")</f>
        <v>764.09695979290427</v>
      </c>
      <c r="F202" s="7">
        <f t="shared" ref="F202:L202" si="929">IFERROR(1.2*(1+(16*F136)/(2000+F136)+(IFERROR(F156+1, 1)-1))*F195*(1-F192),"")</f>
        <v>764.09695979290427</v>
      </c>
      <c r="G202" s="7">
        <f t="shared" si="929"/>
        <v>764.09695979290427</v>
      </c>
      <c r="H202" s="7">
        <f t="shared" si="929"/>
        <v>764.09695979290427</v>
      </c>
      <c r="I202" s="7">
        <f t="shared" si="929"/>
        <v>764.09695979290427</v>
      </c>
      <c r="J202" s="7">
        <f t="shared" si="929"/>
        <v>2387.3376266339751</v>
      </c>
      <c r="K202" s="7">
        <f t="shared" si="929"/>
        <v>2387.3376266339751</v>
      </c>
      <c r="L202" s="7">
        <f t="shared" si="929"/>
        <v>2387.3376266339751</v>
      </c>
      <c r="M202" s="7">
        <f t="shared" ref="M202:AG202" ca="1" si="930">IFERROR(1.2*(1+(16*M136)/(2000+M136)+(IFERROR(M156+1, 1)-1))*M195*(1-M192),"")</f>
        <v>2524.5286231805185</v>
      </c>
      <c r="N202" s="7">
        <f t="shared" ref="N202:O202" ca="1" si="931">IFERROR(1.2*(1+(16*N136)/(2000+N136)+(IFERROR(N156+1, 1)-1))*N195*(1-N192),"")</f>
        <v>2524.5286231805185</v>
      </c>
      <c r="O202" s="7">
        <f t="shared" ca="1" si="931"/>
        <v>2524.5286231805185</v>
      </c>
      <c r="P202" s="7">
        <f t="shared" ca="1" si="930"/>
        <v>2524.5286231805185</v>
      </c>
      <c r="Q202" s="7">
        <f t="shared" ca="1" si="930"/>
        <v>2524.5286231805185</v>
      </c>
      <c r="R202" s="7">
        <f t="shared" ca="1" si="930"/>
        <v>2524.5286231805185</v>
      </c>
      <c r="S202" s="7">
        <f t="shared" ca="1" si="930"/>
        <v>2524.5286231805185</v>
      </c>
      <c r="T202" s="7">
        <f t="shared" ref="T202:U202" ca="1" si="932">IFERROR(1.2*(1+(16*T136)/(2000+T136)+(IFERROR(T156+1, 1)-1))*T195*(1-T192),"")</f>
        <v>2524.5286231805185</v>
      </c>
      <c r="U202" s="7">
        <f t="shared" ca="1" si="932"/>
        <v>2524.5286231805185</v>
      </c>
      <c r="V202" s="7">
        <f t="shared" ca="1" si="930"/>
        <v>2524.5286231805185</v>
      </c>
      <c r="W202" s="7">
        <f t="shared" ca="1" si="930"/>
        <v>2524.5286231805185</v>
      </c>
      <c r="X202" s="7">
        <f t="shared" si="930"/>
        <v>764.09695979290427</v>
      </c>
      <c r="Y202" s="7">
        <f t="shared" si="930"/>
        <v>764.09695979290427</v>
      </c>
      <c r="Z202" s="7">
        <f t="shared" si="930"/>
        <v>764.09695979290427</v>
      </c>
      <c r="AA202" s="7">
        <f t="shared" ref="AA202:AC202" si="933">IFERROR(1.2*(1+(16*AA136)/(2000+AA136)+(IFERROR(AA156+1, 1)-1))*AA195*(1-AA192),"")</f>
        <v>764.09695979290427</v>
      </c>
      <c r="AB202" s="7">
        <f t="shared" si="933"/>
        <v>764.09695979290427</v>
      </c>
      <c r="AC202" s="7">
        <f t="shared" si="933"/>
        <v>764.09695979290427</v>
      </c>
      <c r="AD202" s="7">
        <f t="shared" ref="AD202" si="934">IFERROR(1.2*(1+(16*AD136)/(2000+AD136)+(IFERROR(AD156+1, 1)-1))*AD195*(1-AD192),"")</f>
        <v>764.09695979290427</v>
      </c>
      <c r="AE202" s="7">
        <f t="shared" ref="AE202:AF202" si="935">IFERROR(1.2*(1+(16*AE136)/(2000+AE136)+(IFERROR(AE156+1, 1)-1))*AE195*(1-AE192),"")</f>
        <v>764.09695979290427</v>
      </c>
      <c r="AF202" s="7">
        <f t="shared" si="935"/>
        <v>764.09695979290427</v>
      </c>
      <c r="AG202" s="7">
        <f t="shared" ca="1" si="930"/>
        <v>2524.5286231805185</v>
      </c>
      <c r="AH202" s="7">
        <f t="shared" ref="AH202:AI202" ca="1" si="936">IFERROR(1.2*(1+(16*AH136)/(2000+AH136)+(IFERROR(AH156+1, 1)-1))*AH195*(1-AH192),"")</f>
        <v>2524.5286231805185</v>
      </c>
      <c r="AI202" s="7">
        <f t="shared" si="936"/>
        <v>2387.3376266339751</v>
      </c>
      <c r="AJ202" s="7">
        <f t="shared" ref="AJ202" si="937">IFERROR(1.2*(1+(16*AJ136)/(2000+AJ136)+(IFERROR(AJ156+1, 1)-1))*AJ195*(1-AJ192),"")</f>
        <v>2387.3376266339751</v>
      </c>
    </row>
    <row r="203" spans="1:72" hidden="1" outlineLevel="1" x14ac:dyDescent="0.25">
      <c r="A203" s="112" t="s">
        <v>397</v>
      </c>
      <c r="B203" s="7">
        <f t="shared" ref="B203:D203" si="938">IFERROR(1.2*(1+(16*B136)/(2000+B136)+(IFERROR(B156+1, 1)-1))*B195*(1-B193),"")</f>
        <v>764.09695979290427</v>
      </c>
      <c r="C203" s="7">
        <f t="shared" ref="C203" si="939">IFERROR(1.2*(1+(16*C136)/(2000+C136)+(IFERROR(C156+1, 1)-1))*C195*(1-C193),"")</f>
        <v>764.09695979290427</v>
      </c>
      <c r="D203" s="7">
        <f t="shared" si="938"/>
        <v>764.09695979290427</v>
      </c>
      <c r="E203" s="7">
        <f t="shared" ref="E203" si="940">IFERROR(1.2*(1+(16*E136)/(2000+E136)+(IFERROR(E156+1, 1)-1))*E195*(1-E193),"")</f>
        <v>764.09695979290427</v>
      </c>
      <c r="F203" s="7">
        <f t="shared" ref="F203:L203" si="941">IFERROR(1.2*(1+(16*F136)/(2000+F136)+(IFERROR(F156+1, 1)-1))*F195*(1-F193),"")</f>
        <v>764.09695979290427</v>
      </c>
      <c r="G203" s="7">
        <f t="shared" si="941"/>
        <v>764.09695979290427</v>
      </c>
      <c r="H203" s="7">
        <f t="shared" si="941"/>
        <v>764.09695979290427</v>
      </c>
      <c r="I203" s="7">
        <f t="shared" si="941"/>
        <v>764.09695979290427</v>
      </c>
      <c r="J203" s="7">
        <f t="shared" si="941"/>
        <v>2387.3376266339751</v>
      </c>
      <c r="K203" s="7">
        <f t="shared" si="941"/>
        <v>2387.3376266339751</v>
      </c>
      <c r="L203" s="7">
        <f t="shared" si="941"/>
        <v>2387.3376266339751</v>
      </c>
      <c r="M203" s="7">
        <f t="shared" ref="M203:AG203" ca="1" si="942">IFERROR(1.2*(1+(16*M136)/(2000+M136)+(IFERROR(M156+1, 1)-1))*M195*(1-M193),"")</f>
        <v>2524.5286231805185</v>
      </c>
      <c r="N203" s="7">
        <f t="shared" ref="N203:O203" ca="1" si="943">IFERROR(1.2*(1+(16*N136)/(2000+N136)+(IFERROR(N156+1, 1)-1))*N195*(1-N193),"")</f>
        <v>2524.5286231805185</v>
      </c>
      <c r="O203" s="7">
        <f t="shared" ca="1" si="943"/>
        <v>2524.5286231805185</v>
      </c>
      <c r="P203" s="7">
        <f t="shared" ca="1" si="942"/>
        <v>2524.5286231805185</v>
      </c>
      <c r="Q203" s="7">
        <f t="shared" ca="1" si="942"/>
        <v>2524.5286231805185</v>
      </c>
      <c r="R203" s="7">
        <f t="shared" ca="1" si="942"/>
        <v>2524.5286231805185</v>
      </c>
      <c r="S203" s="7">
        <f t="shared" ca="1" si="942"/>
        <v>2524.5286231805185</v>
      </c>
      <c r="T203" s="7">
        <f t="shared" ref="T203:U203" ca="1" si="944">IFERROR(1.2*(1+(16*T136)/(2000+T136)+(IFERROR(T156+1, 1)-1))*T195*(1-T193),"")</f>
        <v>2524.5286231805185</v>
      </c>
      <c r="U203" s="7">
        <f t="shared" ca="1" si="944"/>
        <v>2524.5286231805185</v>
      </c>
      <c r="V203" s="7">
        <f t="shared" ca="1" si="942"/>
        <v>2524.5286231805185</v>
      </c>
      <c r="W203" s="7">
        <f t="shared" ca="1" si="942"/>
        <v>2524.5286231805185</v>
      </c>
      <c r="X203" s="7">
        <f t="shared" si="942"/>
        <v>764.09695979290427</v>
      </c>
      <c r="Y203" s="7">
        <f t="shared" si="942"/>
        <v>764.09695979290427</v>
      </c>
      <c r="Z203" s="7">
        <f t="shared" si="942"/>
        <v>764.09695979290427</v>
      </c>
      <c r="AA203" s="7">
        <f t="shared" ref="AA203:AC203" si="945">IFERROR(1.2*(1+(16*AA136)/(2000+AA136)+(IFERROR(AA156+1, 1)-1))*AA195*(1-AA193),"")</f>
        <v>764.09695979290427</v>
      </c>
      <c r="AB203" s="7">
        <f t="shared" si="945"/>
        <v>764.09695979290427</v>
      </c>
      <c r="AC203" s="7">
        <f t="shared" si="945"/>
        <v>764.09695979290427</v>
      </c>
      <c r="AD203" s="7">
        <f t="shared" ref="AD203" si="946">IFERROR(1.2*(1+(16*AD136)/(2000+AD136)+(IFERROR(AD156+1, 1)-1))*AD195*(1-AD193),"")</f>
        <v>764.09695979290427</v>
      </c>
      <c r="AE203" s="7">
        <f t="shared" ref="AE203:AF203" si="947">IFERROR(1.2*(1+(16*AE136)/(2000+AE136)+(IFERROR(AE156+1, 1)-1))*AE195*(1-AE193),"")</f>
        <v>764.09695979290427</v>
      </c>
      <c r="AF203" s="7">
        <f t="shared" si="947"/>
        <v>764.09695979290427</v>
      </c>
      <c r="AG203" s="7">
        <f t="shared" ca="1" si="942"/>
        <v>2524.5286231805185</v>
      </c>
      <c r="AH203" s="7">
        <f t="shared" ref="AH203:AI203" ca="1" si="948">IFERROR(1.2*(1+(16*AH136)/(2000+AH136)+(IFERROR(AH156+1, 1)-1))*AH195*(1-AH193),"")</f>
        <v>2524.5286231805185</v>
      </c>
      <c r="AI203" s="7">
        <f t="shared" si="948"/>
        <v>2387.3376266339751</v>
      </c>
      <c r="AJ203" s="7">
        <f t="shared" ref="AJ203" si="949">IFERROR(1.2*(1+(16*AJ136)/(2000+AJ136)+(IFERROR(AJ156+1, 1)-1))*AJ195*(1-AJ193),"")</f>
        <v>2387.3376266339751</v>
      </c>
    </row>
    <row r="204" spans="1:72" s="121" customFormat="1" hidden="1" outlineLevel="1" x14ac:dyDescent="0.25">
      <c r="A204" s="114" t="s">
        <v>671</v>
      </c>
    </row>
    <row r="205" spans="1:72" hidden="1" outlineLevel="1" x14ac:dyDescent="0.25">
      <c r="A205" s="112" t="s">
        <v>6</v>
      </c>
      <c r="B205" s="7" t="str">
        <f>INDEX('Data Val'!$O$1:$X$5, MATCH('Rotation Assembler'!B$21, 'Data Val'!$O$1:$O$5, 0), MATCH('Rotation Assembler'!$A205, 'Data Val'!$O$1:$X$1, 0))</f>
        <v>Electro</v>
      </c>
      <c r="C205" s="7" t="str">
        <f>INDEX('Data Val'!$O$1:$X$5, MATCH('Rotation Assembler'!C$21, 'Data Val'!$O$1:$O$5, 0), MATCH('Rotation Assembler'!$A205, 'Data Val'!$O$1:$X$1, 0))</f>
        <v>Electro</v>
      </c>
      <c r="D205" s="7" t="str">
        <f>INDEX('Data Val'!$O$1:$X$5, MATCH('Rotation Assembler'!D$21, 'Data Val'!$O$1:$O$5, 0), MATCH('Rotation Assembler'!$A205, 'Data Val'!$O$1:$X$1, 0))</f>
        <v>Electro</v>
      </c>
      <c r="E205" s="7" t="str">
        <f>INDEX('Data Val'!$O$1:$X$5, MATCH('Rotation Assembler'!E$21, 'Data Val'!$O$1:$O$5, 0), MATCH('Rotation Assembler'!$A205, 'Data Val'!$O$1:$X$1, 0))</f>
        <v>Electro</v>
      </c>
      <c r="F205" s="7" t="str">
        <f>INDEX('Data Val'!$O$1:$X$5, MATCH('Rotation Assembler'!F$21, 'Data Val'!$O$1:$O$5, 0), MATCH('Rotation Assembler'!$A205, 'Data Val'!$O$1:$X$1, 0))</f>
        <v>Phys</v>
      </c>
      <c r="G205" s="7" t="str">
        <f>INDEX('Data Val'!$O$1:$X$5, MATCH('Rotation Assembler'!G$21, 'Data Val'!$O$1:$O$5, 0), MATCH('Rotation Assembler'!$A205, 'Data Val'!$O$1:$X$1, 0))</f>
        <v>Phys</v>
      </c>
      <c r="H205" s="7" t="str">
        <f>INDEX('Data Val'!$O$1:$X$5, MATCH('Rotation Assembler'!H$21, 'Data Val'!$O$1:$O$5, 0), MATCH('Rotation Assembler'!$A205, 'Data Val'!$O$1:$X$1, 0))</f>
        <v>Phys</v>
      </c>
      <c r="I205" s="7" t="str">
        <f>INDEX('Data Val'!$O$1:$X$5, MATCH('Rotation Assembler'!I$21, 'Data Val'!$O$1:$O$5, 0), MATCH('Rotation Assembler'!$A205, 'Data Val'!$O$1:$X$1, 0))</f>
        <v>Phys</v>
      </c>
      <c r="J205" s="7" t="str">
        <f>INDEX('Data Val'!$O$1:$X$5, MATCH('Rotation Assembler'!J$21, 'Data Val'!$O$1:$O$5, 0), MATCH('Rotation Assembler'!$A205, 'Data Val'!$O$1:$X$1, 0))</f>
        <v>Phys</v>
      </c>
      <c r="K205" s="7" t="str">
        <f>INDEX('Data Val'!$O$1:$X$5, MATCH('Rotation Assembler'!K$21, 'Data Val'!$O$1:$O$5, 0), MATCH('Rotation Assembler'!$A205, 'Data Val'!$O$1:$X$1, 0))</f>
        <v>Phys</v>
      </c>
      <c r="L205" s="7" t="str">
        <f>INDEX('Data Val'!$O$1:$X$5, MATCH('Rotation Assembler'!L$21, 'Data Val'!$O$1:$O$5, 0), MATCH('Rotation Assembler'!$A205, 'Data Val'!$O$1:$X$1, 0))</f>
        <v>Phys</v>
      </c>
      <c r="M205" s="7" t="str">
        <f>INDEX('Data Val'!$O$1:$X$5, MATCH('Rotation Assembler'!M$21, 'Data Val'!$O$1:$O$5, 0), MATCH('Rotation Assembler'!$A205, 'Data Val'!$O$1:$X$1, 0))</f>
        <v>Pyro</v>
      </c>
      <c r="N205" s="7" t="str">
        <f>INDEX('Data Val'!$O$1:$X$5, MATCH('Rotation Assembler'!N$21, 'Data Val'!$O$1:$O$5, 0), MATCH('Rotation Assembler'!$A205, 'Data Val'!$O$1:$X$1, 0))</f>
        <v>Pyro</v>
      </c>
      <c r="O205" s="7" t="str">
        <f>INDEX('Data Val'!$O$1:$X$5, MATCH('Rotation Assembler'!O$21, 'Data Val'!$O$1:$O$5, 0), MATCH('Rotation Assembler'!$A205, 'Data Val'!$O$1:$X$1, 0))</f>
        <v>Pyro</v>
      </c>
      <c r="P205" s="7" t="str">
        <f>INDEX('Data Val'!$O$1:$X$5, MATCH('Rotation Assembler'!P$21, 'Data Val'!$O$1:$O$5, 0), MATCH('Rotation Assembler'!$A205, 'Data Val'!$O$1:$X$1, 0))</f>
        <v>Pyro</v>
      </c>
      <c r="Q205" s="7" t="str">
        <f>INDEX('Data Val'!$O$1:$X$5, MATCH('Rotation Assembler'!Q$21, 'Data Val'!$O$1:$O$5, 0), MATCH('Rotation Assembler'!$A205, 'Data Val'!$O$1:$X$1, 0))</f>
        <v>Pyro</v>
      </c>
      <c r="R205" s="7" t="str">
        <f>INDEX('Data Val'!$O$1:$X$5, MATCH('Rotation Assembler'!R$21, 'Data Val'!$O$1:$O$5, 0), MATCH('Rotation Assembler'!$A205, 'Data Val'!$O$1:$X$1, 0))</f>
        <v>Pyro</v>
      </c>
      <c r="S205" s="7" t="str">
        <f>INDEX('Data Val'!$O$1:$X$5, MATCH('Rotation Assembler'!S$21, 'Data Val'!$O$1:$O$5, 0), MATCH('Rotation Assembler'!$A205, 'Data Val'!$O$1:$X$1, 0))</f>
        <v>Pyro</v>
      </c>
      <c r="T205" s="7" t="str">
        <f>INDEX('Data Val'!$O$1:$X$5, MATCH('Rotation Assembler'!T$21, 'Data Val'!$O$1:$O$5, 0), MATCH('Rotation Assembler'!$A205, 'Data Val'!$O$1:$X$1, 0))</f>
        <v>Pyro</v>
      </c>
      <c r="U205" s="7" t="str">
        <f>INDEX('Data Val'!$O$1:$X$5, MATCH('Rotation Assembler'!U$21, 'Data Val'!$O$1:$O$5, 0), MATCH('Rotation Assembler'!$A205, 'Data Val'!$O$1:$X$1, 0))</f>
        <v>Pyro</v>
      </c>
      <c r="V205" s="7" t="str">
        <f>INDEX('Data Val'!$O$1:$X$5, MATCH('Rotation Assembler'!V$21, 'Data Val'!$O$1:$O$5, 0), MATCH('Rotation Assembler'!$A205, 'Data Val'!$O$1:$X$1, 0))</f>
        <v>Pyro</v>
      </c>
      <c r="W205" s="7" t="str">
        <f>INDEX('Data Val'!$O$1:$X$5, MATCH('Rotation Assembler'!W$21, 'Data Val'!$O$1:$O$5, 0), MATCH('Rotation Assembler'!$A205, 'Data Val'!$O$1:$X$1, 0))</f>
        <v>Pyro</v>
      </c>
      <c r="X205" s="7" t="str">
        <f>INDEX('Data Val'!$O$1:$X$5, MATCH('Rotation Assembler'!X$21, 'Data Val'!$O$1:$O$5, 0), MATCH('Rotation Assembler'!$A205, 'Data Val'!$O$1:$X$1, 0))</f>
        <v>Electro</v>
      </c>
      <c r="Y205" s="7" t="str">
        <f>INDEX('Data Val'!$O$1:$X$5, MATCH('Rotation Assembler'!Y$21, 'Data Val'!$O$1:$O$5, 0), MATCH('Rotation Assembler'!$A205, 'Data Val'!$O$1:$X$1, 0))</f>
        <v>Electro</v>
      </c>
      <c r="Z205" s="7" t="str">
        <f>INDEX('Data Val'!$O$1:$X$5, MATCH('Rotation Assembler'!Z$21, 'Data Val'!$O$1:$O$5, 0), MATCH('Rotation Assembler'!$A205, 'Data Val'!$O$1:$X$1, 0))</f>
        <v>Electro</v>
      </c>
      <c r="AA205" s="7" t="str">
        <f>INDEX('Data Val'!$O$1:$X$5, MATCH('Rotation Assembler'!AA$21, 'Data Val'!$O$1:$O$5, 0), MATCH('Rotation Assembler'!$A205, 'Data Val'!$O$1:$X$1, 0))</f>
        <v>Electro</v>
      </c>
      <c r="AB205" s="7" t="str">
        <f>INDEX('Data Val'!$O$1:$X$5, MATCH('Rotation Assembler'!AB$21, 'Data Val'!$O$1:$O$5, 0), MATCH('Rotation Assembler'!$A205, 'Data Val'!$O$1:$X$1, 0))</f>
        <v>Electro</v>
      </c>
      <c r="AC205" s="7" t="str">
        <f>INDEX('Data Val'!$O$1:$X$5, MATCH('Rotation Assembler'!AC$21, 'Data Val'!$O$1:$O$5, 0), MATCH('Rotation Assembler'!$A205, 'Data Val'!$O$1:$X$1, 0))</f>
        <v>Electro</v>
      </c>
      <c r="AD205" s="7" t="str">
        <f>INDEX('Data Val'!$O$1:$X$5, MATCH('Rotation Assembler'!AD$21, 'Data Val'!$O$1:$O$5, 0), MATCH('Rotation Assembler'!$A205, 'Data Val'!$O$1:$X$1, 0))</f>
        <v>Electro</v>
      </c>
      <c r="AE205" s="7" t="str">
        <f>INDEX('Data Val'!$O$1:$X$5, MATCH('Rotation Assembler'!AE$21, 'Data Val'!$O$1:$O$5, 0), MATCH('Rotation Assembler'!$A205, 'Data Val'!$O$1:$X$1, 0))</f>
        <v>Electro</v>
      </c>
      <c r="AF205" s="7" t="str">
        <f>INDEX('Data Val'!$O$1:$X$5, MATCH('Rotation Assembler'!AF$21, 'Data Val'!$O$1:$O$5, 0), MATCH('Rotation Assembler'!$A205, 'Data Val'!$O$1:$X$1, 0))</f>
        <v>Electro</v>
      </c>
      <c r="AG205" s="7" t="str">
        <f>INDEX('Data Val'!$O$1:$X$5, MATCH('Rotation Assembler'!AG$21, 'Data Val'!$O$1:$O$5, 0), MATCH('Rotation Assembler'!$A205, 'Data Val'!$O$1:$X$1, 0))</f>
        <v>Pyro</v>
      </c>
      <c r="AH205" s="7" t="str">
        <f>INDEX('Data Val'!$O$1:$X$5, MATCH('Rotation Assembler'!AH$21, 'Data Val'!$O$1:$O$5, 0), MATCH('Rotation Assembler'!$A205, 'Data Val'!$O$1:$X$1, 0))</f>
        <v>Pyro</v>
      </c>
      <c r="AI205" s="7" t="str">
        <f>INDEX('Data Val'!$O$1:$X$5, MATCH('Rotation Assembler'!AI$21, 'Data Val'!$O$1:$O$5, 0), MATCH('Rotation Assembler'!$A205, 'Data Val'!$O$1:$X$1, 0))</f>
        <v>Phys</v>
      </c>
      <c r="AJ205" s="7" t="str">
        <f>INDEX('Data Val'!$O$1:$X$5, MATCH('Rotation Assembler'!AJ$21, 'Data Val'!$O$1:$O$5, 0), MATCH('Rotation Assembler'!$A205, 'Data Val'!$O$1:$X$1, 0))</f>
        <v>Phys</v>
      </c>
    </row>
    <row r="206" spans="1:72" hidden="1" outlineLevel="1" x14ac:dyDescent="0.25">
      <c r="A206" s="112" t="s">
        <v>5</v>
      </c>
      <c r="B206" s="7" t="str">
        <f>INDEX('Data Val'!$O$1:$X$5, MATCH('Rotation Assembler'!B$21, 'Data Val'!$O$1:$O$5, 0), MATCH('Rotation Assembler'!$A206, 'Data Val'!$O$1:$X$1, 0))</f>
        <v>Electro</v>
      </c>
      <c r="C206" s="7" t="str">
        <f>INDEX('Data Val'!$O$1:$X$5, MATCH('Rotation Assembler'!C$21, 'Data Val'!$O$1:$O$5, 0), MATCH('Rotation Assembler'!$A206, 'Data Val'!$O$1:$X$1, 0))</f>
        <v>Electro</v>
      </c>
      <c r="D206" s="7" t="str">
        <f>INDEX('Data Val'!$O$1:$X$5, MATCH('Rotation Assembler'!D$21, 'Data Val'!$O$1:$O$5, 0), MATCH('Rotation Assembler'!$A206, 'Data Val'!$O$1:$X$1, 0))</f>
        <v>Electro</v>
      </c>
      <c r="E206" s="7" t="str">
        <f>INDEX('Data Val'!$O$1:$X$5, MATCH('Rotation Assembler'!E$21, 'Data Val'!$O$1:$O$5, 0), MATCH('Rotation Assembler'!$A206, 'Data Val'!$O$1:$X$1, 0))</f>
        <v>Electro</v>
      </c>
      <c r="F206" s="7" t="str">
        <f>INDEX('Data Val'!$O$1:$X$5, MATCH('Rotation Assembler'!F$21, 'Data Val'!$O$1:$O$5, 0), MATCH('Rotation Assembler'!$A206, 'Data Val'!$O$1:$X$1, 0))</f>
        <v>Phys</v>
      </c>
      <c r="G206" s="7" t="str">
        <f>INDEX('Data Val'!$O$1:$X$5, MATCH('Rotation Assembler'!G$21, 'Data Val'!$O$1:$O$5, 0), MATCH('Rotation Assembler'!$A206, 'Data Val'!$O$1:$X$1, 0))</f>
        <v>Phys</v>
      </c>
      <c r="H206" s="7" t="str">
        <f>INDEX('Data Val'!$O$1:$X$5, MATCH('Rotation Assembler'!H$21, 'Data Val'!$O$1:$O$5, 0), MATCH('Rotation Assembler'!$A206, 'Data Val'!$O$1:$X$1, 0))</f>
        <v>Phys</v>
      </c>
      <c r="I206" s="7" t="str">
        <f>INDEX('Data Val'!$O$1:$X$5, MATCH('Rotation Assembler'!I$21, 'Data Val'!$O$1:$O$5, 0), MATCH('Rotation Assembler'!$A206, 'Data Val'!$O$1:$X$1, 0))</f>
        <v>Phys</v>
      </c>
      <c r="J206" s="7" t="str">
        <f>INDEX('Data Val'!$O$1:$X$5, MATCH('Rotation Assembler'!J$21, 'Data Val'!$O$1:$O$5, 0), MATCH('Rotation Assembler'!$A206, 'Data Val'!$O$1:$X$1, 0))</f>
        <v>Phys</v>
      </c>
      <c r="K206" s="7" t="str">
        <f>INDEX('Data Val'!$O$1:$X$5, MATCH('Rotation Assembler'!K$21, 'Data Val'!$O$1:$O$5, 0), MATCH('Rotation Assembler'!$A206, 'Data Val'!$O$1:$X$1, 0))</f>
        <v>Phys</v>
      </c>
      <c r="L206" s="7" t="str">
        <f>INDEX('Data Val'!$O$1:$X$5, MATCH('Rotation Assembler'!L$21, 'Data Val'!$O$1:$O$5, 0), MATCH('Rotation Assembler'!$A206, 'Data Val'!$O$1:$X$1, 0))</f>
        <v>Phys</v>
      </c>
      <c r="M206" s="7" t="str">
        <f>INDEX('Data Val'!$O$1:$X$5, MATCH('Rotation Assembler'!M$21, 'Data Val'!$O$1:$O$5, 0), MATCH('Rotation Assembler'!$A206, 'Data Val'!$O$1:$X$1, 0))</f>
        <v>Phys</v>
      </c>
      <c r="N206" s="7" t="str">
        <f>INDEX('Data Val'!$O$1:$X$5, MATCH('Rotation Assembler'!N$21, 'Data Val'!$O$1:$O$5, 0), MATCH('Rotation Assembler'!$A206, 'Data Val'!$O$1:$X$1, 0))</f>
        <v>Phys</v>
      </c>
      <c r="O206" s="7" t="str">
        <f>INDEX('Data Val'!$O$1:$X$5, MATCH('Rotation Assembler'!O$21, 'Data Val'!$O$1:$O$5, 0), MATCH('Rotation Assembler'!$A206, 'Data Val'!$O$1:$X$1, 0))</f>
        <v>Phys</v>
      </c>
      <c r="P206" s="7" t="str">
        <f>INDEX('Data Val'!$O$1:$X$5, MATCH('Rotation Assembler'!P$21, 'Data Val'!$O$1:$O$5, 0), MATCH('Rotation Assembler'!$A206, 'Data Val'!$O$1:$X$1, 0))</f>
        <v>Phys</v>
      </c>
      <c r="Q206" s="7" t="str">
        <f>INDEX('Data Val'!$O$1:$X$5, MATCH('Rotation Assembler'!Q$21, 'Data Val'!$O$1:$O$5, 0), MATCH('Rotation Assembler'!$A206, 'Data Val'!$O$1:$X$1, 0))</f>
        <v>Phys</v>
      </c>
      <c r="R206" s="7" t="str">
        <f>INDEX('Data Val'!$O$1:$X$5, MATCH('Rotation Assembler'!R$21, 'Data Val'!$O$1:$O$5, 0), MATCH('Rotation Assembler'!$A206, 'Data Val'!$O$1:$X$1, 0))</f>
        <v>Phys</v>
      </c>
      <c r="S206" s="7" t="str">
        <f>INDEX('Data Val'!$O$1:$X$5, MATCH('Rotation Assembler'!S$21, 'Data Val'!$O$1:$O$5, 0), MATCH('Rotation Assembler'!$A206, 'Data Val'!$O$1:$X$1, 0))</f>
        <v>Phys</v>
      </c>
      <c r="T206" s="7" t="str">
        <f>INDEX('Data Val'!$O$1:$X$5, MATCH('Rotation Assembler'!T$21, 'Data Val'!$O$1:$O$5, 0), MATCH('Rotation Assembler'!$A206, 'Data Val'!$O$1:$X$1, 0))</f>
        <v>Phys</v>
      </c>
      <c r="U206" s="7" t="str">
        <f>INDEX('Data Val'!$O$1:$X$5, MATCH('Rotation Assembler'!U$21, 'Data Val'!$O$1:$O$5, 0), MATCH('Rotation Assembler'!$A206, 'Data Val'!$O$1:$X$1, 0))</f>
        <v>Phys</v>
      </c>
      <c r="V206" s="7" t="str">
        <f>INDEX('Data Val'!$O$1:$X$5, MATCH('Rotation Assembler'!V$21, 'Data Val'!$O$1:$O$5, 0), MATCH('Rotation Assembler'!$A206, 'Data Val'!$O$1:$X$1, 0))</f>
        <v>Phys</v>
      </c>
      <c r="W206" s="7" t="str">
        <f>INDEX('Data Val'!$O$1:$X$5, MATCH('Rotation Assembler'!W$21, 'Data Val'!$O$1:$O$5, 0), MATCH('Rotation Assembler'!$A206, 'Data Val'!$O$1:$X$1, 0))</f>
        <v>Phys</v>
      </c>
      <c r="X206" s="7" t="str">
        <f>INDEX('Data Val'!$O$1:$X$5, MATCH('Rotation Assembler'!X$21, 'Data Val'!$O$1:$O$5, 0), MATCH('Rotation Assembler'!$A206, 'Data Val'!$O$1:$X$1, 0))</f>
        <v>Electro</v>
      </c>
      <c r="Y206" s="7" t="str">
        <f>INDEX('Data Val'!$O$1:$X$5, MATCH('Rotation Assembler'!Y$21, 'Data Val'!$O$1:$O$5, 0), MATCH('Rotation Assembler'!$A206, 'Data Val'!$O$1:$X$1, 0))</f>
        <v>Electro</v>
      </c>
      <c r="Z206" s="7" t="str">
        <f>INDEX('Data Val'!$O$1:$X$5, MATCH('Rotation Assembler'!Z$21, 'Data Val'!$O$1:$O$5, 0), MATCH('Rotation Assembler'!$A206, 'Data Val'!$O$1:$X$1, 0))</f>
        <v>Electro</v>
      </c>
      <c r="AA206" s="7" t="str">
        <f>INDEX('Data Val'!$O$1:$X$5, MATCH('Rotation Assembler'!AA$21, 'Data Val'!$O$1:$O$5, 0), MATCH('Rotation Assembler'!$A206, 'Data Val'!$O$1:$X$1, 0))</f>
        <v>Electro</v>
      </c>
      <c r="AB206" s="7" t="str">
        <f>INDEX('Data Val'!$O$1:$X$5, MATCH('Rotation Assembler'!AB$21, 'Data Val'!$O$1:$O$5, 0), MATCH('Rotation Assembler'!$A206, 'Data Val'!$O$1:$X$1, 0))</f>
        <v>Electro</v>
      </c>
      <c r="AC206" s="7" t="str">
        <f>INDEX('Data Val'!$O$1:$X$5, MATCH('Rotation Assembler'!AC$21, 'Data Val'!$O$1:$O$5, 0), MATCH('Rotation Assembler'!$A206, 'Data Val'!$O$1:$X$1, 0))</f>
        <v>Electro</v>
      </c>
      <c r="AD206" s="7" t="str">
        <f>INDEX('Data Val'!$O$1:$X$5, MATCH('Rotation Assembler'!AD$21, 'Data Val'!$O$1:$O$5, 0), MATCH('Rotation Assembler'!$A206, 'Data Val'!$O$1:$X$1, 0))</f>
        <v>Electro</v>
      </c>
      <c r="AE206" s="7" t="str">
        <f>INDEX('Data Val'!$O$1:$X$5, MATCH('Rotation Assembler'!AE$21, 'Data Val'!$O$1:$O$5, 0), MATCH('Rotation Assembler'!$A206, 'Data Val'!$O$1:$X$1, 0))</f>
        <v>Electro</v>
      </c>
      <c r="AF206" s="7" t="str">
        <f>INDEX('Data Val'!$O$1:$X$5, MATCH('Rotation Assembler'!AF$21, 'Data Val'!$O$1:$O$5, 0), MATCH('Rotation Assembler'!$A206, 'Data Val'!$O$1:$X$1, 0))</f>
        <v>Electro</v>
      </c>
      <c r="AG206" s="7" t="str">
        <f>INDEX('Data Val'!$O$1:$X$5, MATCH('Rotation Assembler'!AG$21, 'Data Val'!$O$1:$O$5, 0), MATCH('Rotation Assembler'!$A206, 'Data Val'!$O$1:$X$1, 0))</f>
        <v>Phys</v>
      </c>
      <c r="AH206" s="7" t="str">
        <f>INDEX('Data Val'!$O$1:$X$5, MATCH('Rotation Assembler'!AH$21, 'Data Val'!$O$1:$O$5, 0), MATCH('Rotation Assembler'!$A206, 'Data Val'!$O$1:$X$1, 0))</f>
        <v>Phys</v>
      </c>
      <c r="AI206" s="7" t="str">
        <f>INDEX('Data Val'!$O$1:$X$5, MATCH('Rotation Assembler'!AI$21, 'Data Val'!$O$1:$O$5, 0), MATCH('Rotation Assembler'!$A206, 'Data Val'!$O$1:$X$1, 0))</f>
        <v>Phys</v>
      </c>
      <c r="AJ206" s="7" t="str">
        <f>INDEX('Data Val'!$O$1:$X$5, MATCH('Rotation Assembler'!AJ$21, 'Data Val'!$O$1:$O$5, 0), MATCH('Rotation Assembler'!$A206, 'Data Val'!$O$1:$X$1, 0))</f>
        <v>Phys</v>
      </c>
    </row>
    <row r="207" spans="1:72" hidden="1" outlineLevel="1" x14ac:dyDescent="0.25">
      <c r="A207" s="112" t="s">
        <v>3</v>
      </c>
      <c r="B207" s="7" t="str">
        <f>INDEX('Data Val'!$O$1:$X$5, MATCH('Rotation Assembler'!B$21, 'Data Val'!$O$1:$O$5, 0), MATCH('Rotation Assembler'!$A207, 'Data Val'!$O$1:$X$1, 0))</f>
        <v>Electro</v>
      </c>
      <c r="C207" s="7" t="str">
        <f>INDEX('Data Val'!$O$1:$X$5, MATCH('Rotation Assembler'!C$21, 'Data Val'!$O$1:$O$5, 0), MATCH('Rotation Assembler'!$A207, 'Data Val'!$O$1:$X$1, 0))</f>
        <v>Electro</v>
      </c>
      <c r="D207" s="7" t="str">
        <f>INDEX('Data Val'!$O$1:$X$5, MATCH('Rotation Assembler'!D$21, 'Data Val'!$O$1:$O$5, 0), MATCH('Rotation Assembler'!$A207, 'Data Val'!$O$1:$X$1, 0))</f>
        <v>Electro</v>
      </c>
      <c r="E207" s="7" t="str">
        <f>INDEX('Data Val'!$O$1:$X$5, MATCH('Rotation Assembler'!E$21, 'Data Val'!$O$1:$O$5, 0), MATCH('Rotation Assembler'!$A207, 'Data Val'!$O$1:$X$1, 0))</f>
        <v>Electro</v>
      </c>
      <c r="F207" s="7" t="str">
        <f>INDEX('Data Val'!$O$1:$X$5, MATCH('Rotation Assembler'!F$21, 'Data Val'!$O$1:$O$5, 0), MATCH('Rotation Assembler'!$A207, 'Data Val'!$O$1:$X$1, 0))</f>
        <v>Phys</v>
      </c>
      <c r="G207" s="7" t="str">
        <f>INDEX('Data Val'!$O$1:$X$5, MATCH('Rotation Assembler'!G$21, 'Data Val'!$O$1:$O$5, 0), MATCH('Rotation Assembler'!$A207, 'Data Val'!$O$1:$X$1, 0))</f>
        <v>Phys</v>
      </c>
      <c r="H207" s="7" t="str">
        <f>INDEX('Data Val'!$O$1:$X$5, MATCH('Rotation Assembler'!H$21, 'Data Val'!$O$1:$O$5, 0), MATCH('Rotation Assembler'!$A207, 'Data Val'!$O$1:$X$1, 0))</f>
        <v>Phys</v>
      </c>
      <c r="I207" s="7" t="str">
        <f>INDEX('Data Val'!$O$1:$X$5, MATCH('Rotation Assembler'!I$21, 'Data Val'!$O$1:$O$5, 0), MATCH('Rotation Assembler'!$A207, 'Data Val'!$O$1:$X$1, 0))</f>
        <v>Phys</v>
      </c>
      <c r="J207" s="7" t="str">
        <f>INDEX('Data Val'!$O$1:$X$5, MATCH('Rotation Assembler'!J$21, 'Data Val'!$O$1:$O$5, 0), MATCH('Rotation Assembler'!$A207, 'Data Val'!$O$1:$X$1, 0))</f>
        <v>Phys</v>
      </c>
      <c r="K207" s="7" t="str">
        <f>INDEX('Data Val'!$O$1:$X$5, MATCH('Rotation Assembler'!K$21, 'Data Val'!$O$1:$O$5, 0), MATCH('Rotation Assembler'!$A207, 'Data Val'!$O$1:$X$1, 0))</f>
        <v>Phys</v>
      </c>
      <c r="L207" s="7" t="str">
        <f>INDEX('Data Val'!$O$1:$X$5, MATCH('Rotation Assembler'!L$21, 'Data Val'!$O$1:$O$5, 0), MATCH('Rotation Assembler'!$A207, 'Data Val'!$O$1:$X$1, 0))</f>
        <v>Phys</v>
      </c>
      <c r="M207" s="7" t="str">
        <f>INDEX('Data Val'!$O$1:$X$5, MATCH('Rotation Assembler'!M$21, 'Data Val'!$O$1:$O$5, 0), MATCH('Rotation Assembler'!$A207, 'Data Val'!$O$1:$X$1, 0))</f>
        <v>Phys</v>
      </c>
      <c r="N207" s="7" t="str">
        <f>INDEX('Data Val'!$O$1:$X$5, MATCH('Rotation Assembler'!N$21, 'Data Val'!$O$1:$O$5, 0), MATCH('Rotation Assembler'!$A207, 'Data Val'!$O$1:$X$1, 0))</f>
        <v>Phys</v>
      </c>
      <c r="O207" s="7" t="str">
        <f>INDEX('Data Val'!$O$1:$X$5, MATCH('Rotation Assembler'!O$21, 'Data Val'!$O$1:$O$5, 0), MATCH('Rotation Assembler'!$A207, 'Data Val'!$O$1:$X$1, 0))</f>
        <v>Phys</v>
      </c>
      <c r="P207" s="7" t="str">
        <f>INDEX('Data Val'!$O$1:$X$5, MATCH('Rotation Assembler'!P$21, 'Data Val'!$O$1:$O$5, 0), MATCH('Rotation Assembler'!$A207, 'Data Val'!$O$1:$X$1, 0))</f>
        <v>Phys</v>
      </c>
      <c r="Q207" s="7" t="str">
        <f>INDEX('Data Val'!$O$1:$X$5, MATCH('Rotation Assembler'!Q$21, 'Data Val'!$O$1:$O$5, 0), MATCH('Rotation Assembler'!$A207, 'Data Val'!$O$1:$X$1, 0))</f>
        <v>Phys</v>
      </c>
      <c r="R207" s="7" t="str">
        <f>INDEX('Data Val'!$O$1:$X$5, MATCH('Rotation Assembler'!R$21, 'Data Val'!$O$1:$O$5, 0), MATCH('Rotation Assembler'!$A207, 'Data Val'!$O$1:$X$1, 0))</f>
        <v>Phys</v>
      </c>
      <c r="S207" s="7" t="str">
        <f>INDEX('Data Val'!$O$1:$X$5, MATCH('Rotation Assembler'!S$21, 'Data Val'!$O$1:$O$5, 0), MATCH('Rotation Assembler'!$A207, 'Data Val'!$O$1:$X$1, 0))</f>
        <v>Phys</v>
      </c>
      <c r="T207" s="7" t="str">
        <f>INDEX('Data Val'!$O$1:$X$5, MATCH('Rotation Assembler'!T$21, 'Data Val'!$O$1:$O$5, 0), MATCH('Rotation Assembler'!$A207, 'Data Val'!$O$1:$X$1, 0))</f>
        <v>Phys</v>
      </c>
      <c r="U207" s="7" t="str">
        <f>INDEX('Data Val'!$O$1:$X$5, MATCH('Rotation Assembler'!U$21, 'Data Val'!$O$1:$O$5, 0), MATCH('Rotation Assembler'!$A207, 'Data Val'!$O$1:$X$1, 0))</f>
        <v>Phys</v>
      </c>
      <c r="V207" s="7" t="str">
        <f>INDEX('Data Val'!$O$1:$X$5, MATCH('Rotation Assembler'!V$21, 'Data Val'!$O$1:$O$5, 0), MATCH('Rotation Assembler'!$A207, 'Data Val'!$O$1:$X$1, 0))</f>
        <v>Phys</v>
      </c>
      <c r="W207" s="7" t="str">
        <f>INDEX('Data Val'!$O$1:$X$5, MATCH('Rotation Assembler'!W$21, 'Data Val'!$O$1:$O$5, 0), MATCH('Rotation Assembler'!$A207, 'Data Val'!$O$1:$X$1, 0))</f>
        <v>Phys</v>
      </c>
      <c r="X207" s="7" t="str">
        <f>INDEX('Data Val'!$O$1:$X$5, MATCH('Rotation Assembler'!X$21, 'Data Val'!$O$1:$O$5, 0), MATCH('Rotation Assembler'!$A207, 'Data Val'!$O$1:$X$1, 0))</f>
        <v>Electro</v>
      </c>
      <c r="Y207" s="7" t="str">
        <f>INDEX('Data Val'!$O$1:$X$5, MATCH('Rotation Assembler'!Y$21, 'Data Val'!$O$1:$O$5, 0), MATCH('Rotation Assembler'!$A207, 'Data Val'!$O$1:$X$1, 0))</f>
        <v>Electro</v>
      </c>
      <c r="Z207" s="7" t="str">
        <f>INDEX('Data Val'!$O$1:$X$5, MATCH('Rotation Assembler'!Z$21, 'Data Val'!$O$1:$O$5, 0), MATCH('Rotation Assembler'!$A207, 'Data Val'!$O$1:$X$1, 0))</f>
        <v>Electro</v>
      </c>
      <c r="AA207" s="7" t="str">
        <f>INDEX('Data Val'!$O$1:$X$5, MATCH('Rotation Assembler'!AA$21, 'Data Val'!$O$1:$O$5, 0), MATCH('Rotation Assembler'!$A207, 'Data Val'!$O$1:$X$1, 0))</f>
        <v>Electro</v>
      </c>
      <c r="AB207" s="7" t="str">
        <f>INDEX('Data Val'!$O$1:$X$5, MATCH('Rotation Assembler'!AB$21, 'Data Val'!$O$1:$O$5, 0), MATCH('Rotation Assembler'!$A207, 'Data Val'!$O$1:$X$1, 0))</f>
        <v>Electro</v>
      </c>
      <c r="AC207" s="7" t="str">
        <f>INDEX('Data Val'!$O$1:$X$5, MATCH('Rotation Assembler'!AC$21, 'Data Val'!$O$1:$O$5, 0), MATCH('Rotation Assembler'!$A207, 'Data Val'!$O$1:$X$1, 0))</f>
        <v>Electro</v>
      </c>
      <c r="AD207" s="7" t="str">
        <f>INDEX('Data Val'!$O$1:$X$5, MATCH('Rotation Assembler'!AD$21, 'Data Val'!$O$1:$O$5, 0), MATCH('Rotation Assembler'!$A207, 'Data Val'!$O$1:$X$1, 0))</f>
        <v>Electro</v>
      </c>
      <c r="AE207" s="7" t="str">
        <f>INDEX('Data Val'!$O$1:$X$5, MATCH('Rotation Assembler'!AE$21, 'Data Val'!$O$1:$O$5, 0), MATCH('Rotation Assembler'!$A207, 'Data Val'!$O$1:$X$1, 0))</f>
        <v>Electro</v>
      </c>
      <c r="AF207" s="7" t="str">
        <f>INDEX('Data Val'!$O$1:$X$5, MATCH('Rotation Assembler'!AF$21, 'Data Val'!$O$1:$O$5, 0), MATCH('Rotation Assembler'!$A207, 'Data Val'!$O$1:$X$1, 0))</f>
        <v>Electro</v>
      </c>
      <c r="AG207" s="7" t="str">
        <f>INDEX('Data Val'!$O$1:$X$5, MATCH('Rotation Assembler'!AG$21, 'Data Val'!$O$1:$O$5, 0), MATCH('Rotation Assembler'!$A207, 'Data Val'!$O$1:$X$1, 0))</f>
        <v>Phys</v>
      </c>
      <c r="AH207" s="7" t="str">
        <f>INDEX('Data Val'!$O$1:$X$5, MATCH('Rotation Assembler'!AH$21, 'Data Val'!$O$1:$O$5, 0), MATCH('Rotation Assembler'!$A207, 'Data Val'!$O$1:$X$1, 0))</f>
        <v>Phys</v>
      </c>
      <c r="AI207" s="7" t="str">
        <f>INDEX('Data Val'!$O$1:$X$5, MATCH('Rotation Assembler'!AI$21, 'Data Val'!$O$1:$O$5, 0), MATCH('Rotation Assembler'!$A207, 'Data Val'!$O$1:$X$1, 0))</f>
        <v>Phys</v>
      </c>
      <c r="AJ207" s="7" t="str">
        <f>INDEX('Data Val'!$O$1:$X$5, MATCH('Rotation Assembler'!AJ$21, 'Data Val'!$O$1:$O$5, 0), MATCH('Rotation Assembler'!$A207, 'Data Val'!$O$1:$X$1, 0))</f>
        <v>Phys</v>
      </c>
    </row>
    <row r="208" spans="1:72" hidden="1" outlineLevel="1" x14ac:dyDescent="0.25">
      <c r="A208" s="112" t="s">
        <v>19</v>
      </c>
      <c r="B208" s="7" t="str">
        <f>INDEX('Data Val'!$O$1:$X$5, MATCH('Rotation Assembler'!B$21, 'Data Val'!$O$1:$O$5, 0), MATCH('Rotation Assembler'!$A208, 'Data Val'!$O$1:$X$1, 0))</f>
        <v>Electro</v>
      </c>
      <c r="C208" s="7" t="str">
        <f>INDEX('Data Val'!$O$1:$X$5, MATCH('Rotation Assembler'!C$21, 'Data Val'!$O$1:$O$5, 0), MATCH('Rotation Assembler'!$A208, 'Data Val'!$O$1:$X$1, 0))</f>
        <v>Electro</v>
      </c>
      <c r="D208" s="7" t="str">
        <f>INDEX('Data Val'!$O$1:$X$5, MATCH('Rotation Assembler'!D$21, 'Data Val'!$O$1:$O$5, 0), MATCH('Rotation Assembler'!$A208, 'Data Val'!$O$1:$X$1, 0))</f>
        <v>Electro</v>
      </c>
      <c r="E208" s="7" t="str">
        <f>INDEX('Data Val'!$O$1:$X$5, MATCH('Rotation Assembler'!E$21, 'Data Val'!$O$1:$O$5, 0), MATCH('Rotation Assembler'!$A208, 'Data Val'!$O$1:$X$1, 0))</f>
        <v>Electro</v>
      </c>
      <c r="F208" s="7" t="str">
        <f>INDEX('Data Val'!$O$1:$X$5, MATCH('Rotation Assembler'!F$21, 'Data Val'!$O$1:$O$5, 0), MATCH('Rotation Assembler'!$A208, 'Data Val'!$O$1:$X$1, 0))</f>
        <v>Hydro</v>
      </c>
      <c r="G208" s="7" t="str">
        <f>INDEX('Data Val'!$O$1:$X$5, MATCH('Rotation Assembler'!G$21, 'Data Val'!$O$1:$O$5, 0), MATCH('Rotation Assembler'!$A208, 'Data Val'!$O$1:$X$1, 0))</f>
        <v>Hydro</v>
      </c>
      <c r="H208" s="7" t="str">
        <f>INDEX('Data Val'!$O$1:$X$5, MATCH('Rotation Assembler'!H$21, 'Data Val'!$O$1:$O$5, 0), MATCH('Rotation Assembler'!$A208, 'Data Val'!$O$1:$X$1, 0))</f>
        <v>Hydro</v>
      </c>
      <c r="I208" s="7" t="str">
        <f>INDEX('Data Val'!$O$1:$X$5, MATCH('Rotation Assembler'!I$21, 'Data Val'!$O$1:$O$5, 0), MATCH('Rotation Assembler'!$A208, 'Data Val'!$O$1:$X$1, 0))</f>
        <v>Hydro</v>
      </c>
      <c r="J208" s="7" t="str">
        <f>INDEX('Data Val'!$O$1:$X$5, MATCH('Rotation Assembler'!J$21, 'Data Val'!$O$1:$O$5, 0), MATCH('Rotation Assembler'!$A208, 'Data Val'!$O$1:$X$1, 0))</f>
        <v>Pyro</v>
      </c>
      <c r="K208" s="7" t="str">
        <f>INDEX('Data Val'!$O$1:$X$5, MATCH('Rotation Assembler'!K$21, 'Data Val'!$O$1:$O$5, 0), MATCH('Rotation Assembler'!$A208, 'Data Val'!$O$1:$X$1, 0))</f>
        <v>Pyro</v>
      </c>
      <c r="L208" s="7" t="str">
        <f>INDEX('Data Val'!$O$1:$X$5, MATCH('Rotation Assembler'!L$21, 'Data Val'!$O$1:$O$5, 0), MATCH('Rotation Assembler'!$A208, 'Data Val'!$O$1:$X$1, 0))</f>
        <v>Pyro</v>
      </c>
      <c r="M208" s="7" t="str">
        <f>INDEX('Data Val'!$O$1:$X$5, MATCH('Rotation Assembler'!M$21, 'Data Val'!$O$1:$O$5, 0), MATCH('Rotation Assembler'!$A208, 'Data Val'!$O$1:$X$1, 0))</f>
        <v>Pyro</v>
      </c>
      <c r="N208" s="7" t="str">
        <f>INDEX('Data Val'!$O$1:$X$5, MATCH('Rotation Assembler'!N$21, 'Data Val'!$O$1:$O$5, 0), MATCH('Rotation Assembler'!$A208, 'Data Val'!$O$1:$X$1, 0))</f>
        <v>Pyro</v>
      </c>
      <c r="O208" s="7" t="str">
        <f>INDEX('Data Val'!$O$1:$X$5, MATCH('Rotation Assembler'!O$21, 'Data Val'!$O$1:$O$5, 0), MATCH('Rotation Assembler'!$A208, 'Data Val'!$O$1:$X$1, 0))</f>
        <v>Pyro</v>
      </c>
      <c r="P208" s="7" t="str">
        <f>INDEX('Data Val'!$O$1:$X$5, MATCH('Rotation Assembler'!P$21, 'Data Val'!$O$1:$O$5, 0), MATCH('Rotation Assembler'!$A208, 'Data Val'!$O$1:$X$1, 0))</f>
        <v>Pyro</v>
      </c>
      <c r="Q208" s="7" t="str">
        <f>INDEX('Data Val'!$O$1:$X$5, MATCH('Rotation Assembler'!Q$21, 'Data Val'!$O$1:$O$5, 0), MATCH('Rotation Assembler'!$A208, 'Data Val'!$O$1:$X$1, 0))</f>
        <v>Pyro</v>
      </c>
      <c r="R208" s="7" t="str">
        <f>INDEX('Data Val'!$O$1:$X$5, MATCH('Rotation Assembler'!R$21, 'Data Val'!$O$1:$O$5, 0), MATCH('Rotation Assembler'!$A208, 'Data Val'!$O$1:$X$1, 0))</f>
        <v>Pyro</v>
      </c>
      <c r="S208" s="7" t="str">
        <f>INDEX('Data Val'!$O$1:$X$5, MATCH('Rotation Assembler'!S$21, 'Data Val'!$O$1:$O$5, 0), MATCH('Rotation Assembler'!$A208, 'Data Val'!$O$1:$X$1, 0))</f>
        <v>Pyro</v>
      </c>
      <c r="T208" s="7" t="str">
        <f>INDEX('Data Val'!$O$1:$X$5, MATCH('Rotation Assembler'!T$21, 'Data Val'!$O$1:$O$5, 0), MATCH('Rotation Assembler'!$A208, 'Data Val'!$O$1:$X$1, 0))</f>
        <v>Pyro</v>
      </c>
      <c r="U208" s="7" t="str">
        <f>INDEX('Data Val'!$O$1:$X$5, MATCH('Rotation Assembler'!U$21, 'Data Val'!$O$1:$O$5, 0), MATCH('Rotation Assembler'!$A208, 'Data Val'!$O$1:$X$1, 0))</f>
        <v>Pyro</v>
      </c>
      <c r="V208" s="7" t="str">
        <f>INDEX('Data Val'!$O$1:$X$5, MATCH('Rotation Assembler'!V$21, 'Data Val'!$O$1:$O$5, 0), MATCH('Rotation Assembler'!$A208, 'Data Val'!$O$1:$X$1, 0))</f>
        <v>Pyro</v>
      </c>
      <c r="W208" s="7" t="str">
        <f>INDEX('Data Val'!$O$1:$X$5, MATCH('Rotation Assembler'!W$21, 'Data Val'!$O$1:$O$5, 0), MATCH('Rotation Assembler'!$A208, 'Data Val'!$O$1:$X$1, 0))</f>
        <v>Pyro</v>
      </c>
      <c r="X208" s="7" t="str">
        <f>INDEX('Data Val'!$O$1:$X$5, MATCH('Rotation Assembler'!X$21, 'Data Val'!$O$1:$O$5, 0), MATCH('Rotation Assembler'!$A208, 'Data Val'!$O$1:$X$1, 0))</f>
        <v>Electro</v>
      </c>
      <c r="Y208" s="7" t="str">
        <f>INDEX('Data Val'!$O$1:$X$5, MATCH('Rotation Assembler'!Y$21, 'Data Val'!$O$1:$O$5, 0), MATCH('Rotation Assembler'!$A208, 'Data Val'!$O$1:$X$1, 0))</f>
        <v>Electro</v>
      </c>
      <c r="Z208" s="7" t="str">
        <f>INDEX('Data Val'!$O$1:$X$5, MATCH('Rotation Assembler'!Z$21, 'Data Val'!$O$1:$O$5, 0), MATCH('Rotation Assembler'!$A208, 'Data Val'!$O$1:$X$1, 0))</f>
        <v>Electro</v>
      </c>
      <c r="AA208" s="7" t="str">
        <f>INDEX('Data Val'!$O$1:$X$5, MATCH('Rotation Assembler'!AA$21, 'Data Val'!$O$1:$O$5, 0), MATCH('Rotation Assembler'!$A208, 'Data Val'!$O$1:$X$1, 0))</f>
        <v>Electro</v>
      </c>
      <c r="AB208" s="7" t="str">
        <f>INDEX('Data Val'!$O$1:$X$5, MATCH('Rotation Assembler'!AB$21, 'Data Val'!$O$1:$O$5, 0), MATCH('Rotation Assembler'!$A208, 'Data Val'!$O$1:$X$1, 0))</f>
        <v>Electro</v>
      </c>
      <c r="AC208" s="7" t="str">
        <f>INDEX('Data Val'!$O$1:$X$5, MATCH('Rotation Assembler'!AC$21, 'Data Val'!$O$1:$O$5, 0), MATCH('Rotation Assembler'!$A208, 'Data Val'!$O$1:$X$1, 0))</f>
        <v>Electro</v>
      </c>
      <c r="AD208" s="7" t="str">
        <f>INDEX('Data Val'!$O$1:$X$5, MATCH('Rotation Assembler'!AD$21, 'Data Val'!$O$1:$O$5, 0), MATCH('Rotation Assembler'!$A208, 'Data Val'!$O$1:$X$1, 0))</f>
        <v>Electro</v>
      </c>
      <c r="AE208" s="7" t="str">
        <f>INDEX('Data Val'!$O$1:$X$5, MATCH('Rotation Assembler'!AE$21, 'Data Val'!$O$1:$O$5, 0), MATCH('Rotation Assembler'!$A208, 'Data Val'!$O$1:$X$1, 0))</f>
        <v>Electro</v>
      </c>
      <c r="AF208" s="7" t="str">
        <f>INDEX('Data Val'!$O$1:$X$5, MATCH('Rotation Assembler'!AF$21, 'Data Val'!$O$1:$O$5, 0), MATCH('Rotation Assembler'!$A208, 'Data Val'!$O$1:$X$1, 0))</f>
        <v>Electro</v>
      </c>
      <c r="AG208" s="7" t="str">
        <f>INDEX('Data Val'!$O$1:$X$5, MATCH('Rotation Assembler'!AG$21, 'Data Val'!$O$1:$O$5, 0), MATCH('Rotation Assembler'!$A208, 'Data Val'!$O$1:$X$1, 0))</f>
        <v>Pyro</v>
      </c>
      <c r="AH208" s="7" t="str">
        <f>INDEX('Data Val'!$O$1:$X$5, MATCH('Rotation Assembler'!AH$21, 'Data Val'!$O$1:$O$5, 0), MATCH('Rotation Assembler'!$A208, 'Data Val'!$O$1:$X$1, 0))</f>
        <v>Pyro</v>
      </c>
      <c r="AI208" s="7" t="str">
        <f>INDEX('Data Val'!$O$1:$X$5, MATCH('Rotation Assembler'!AI$21, 'Data Val'!$O$1:$O$5, 0), MATCH('Rotation Assembler'!$A208, 'Data Val'!$O$1:$X$1, 0))</f>
        <v>Pyro</v>
      </c>
      <c r="AJ208" s="7" t="str">
        <f>INDEX('Data Val'!$O$1:$X$5, MATCH('Rotation Assembler'!AJ$21, 'Data Val'!$O$1:$O$5, 0), MATCH('Rotation Assembler'!$A208, 'Data Val'!$O$1:$X$1, 0))</f>
        <v>Pyro</v>
      </c>
    </row>
    <row r="209" spans="1:72" hidden="1" outlineLevel="1" x14ac:dyDescent="0.25">
      <c r="A209" s="112" t="s">
        <v>23</v>
      </c>
      <c r="B209" s="7" t="str">
        <f>INDEX('Data Val'!$O$1:$X$5, MATCH('Rotation Assembler'!B$21, 'Data Val'!$O$1:$O$5, 0), MATCH('Rotation Assembler'!$A209, 'Data Val'!$O$1:$X$1, 0))</f>
        <v>Electro</v>
      </c>
      <c r="C209" s="7" t="str">
        <f>INDEX('Data Val'!$O$1:$X$5, MATCH('Rotation Assembler'!C$21, 'Data Val'!$O$1:$O$5, 0), MATCH('Rotation Assembler'!$A209, 'Data Val'!$O$1:$X$1, 0))</f>
        <v>Electro</v>
      </c>
      <c r="D209" s="7" t="str">
        <f>INDEX('Data Val'!$O$1:$X$5, MATCH('Rotation Assembler'!D$21, 'Data Val'!$O$1:$O$5, 0), MATCH('Rotation Assembler'!$A209, 'Data Val'!$O$1:$X$1, 0))</f>
        <v>Electro</v>
      </c>
      <c r="E209" s="7" t="str">
        <f>INDEX('Data Val'!$O$1:$X$5, MATCH('Rotation Assembler'!E$21, 'Data Val'!$O$1:$O$5, 0), MATCH('Rotation Assembler'!$A209, 'Data Val'!$O$1:$X$1, 0))</f>
        <v>Electro</v>
      </c>
      <c r="F209" s="7" t="str">
        <f>INDEX('Data Val'!$O$1:$X$5, MATCH('Rotation Assembler'!F$21, 'Data Val'!$O$1:$O$5, 0), MATCH('Rotation Assembler'!$A209, 'Data Val'!$O$1:$X$1, 0))</f>
        <v>Hydro</v>
      </c>
      <c r="G209" s="7" t="str">
        <f>INDEX('Data Val'!$O$1:$X$5, MATCH('Rotation Assembler'!G$21, 'Data Val'!$O$1:$O$5, 0), MATCH('Rotation Assembler'!$A209, 'Data Val'!$O$1:$X$1, 0))</f>
        <v>Hydro</v>
      </c>
      <c r="H209" s="7" t="str">
        <f>INDEX('Data Val'!$O$1:$X$5, MATCH('Rotation Assembler'!H$21, 'Data Val'!$O$1:$O$5, 0), MATCH('Rotation Assembler'!$A209, 'Data Val'!$O$1:$X$1, 0))</f>
        <v>Hydro</v>
      </c>
      <c r="I209" s="7" t="str">
        <f>INDEX('Data Val'!$O$1:$X$5, MATCH('Rotation Assembler'!I$21, 'Data Val'!$O$1:$O$5, 0), MATCH('Rotation Assembler'!$A209, 'Data Val'!$O$1:$X$1, 0))</f>
        <v>Hydro</v>
      </c>
      <c r="J209" s="7" t="str">
        <f>INDEX('Data Val'!$O$1:$X$5, MATCH('Rotation Assembler'!J$21, 'Data Val'!$O$1:$O$5, 0), MATCH('Rotation Assembler'!$A209, 'Data Val'!$O$1:$X$1, 0))</f>
        <v>Pyro</v>
      </c>
      <c r="K209" s="7" t="str">
        <f>INDEX('Data Val'!$O$1:$X$5, MATCH('Rotation Assembler'!K$21, 'Data Val'!$O$1:$O$5, 0), MATCH('Rotation Assembler'!$A209, 'Data Val'!$O$1:$X$1, 0))</f>
        <v>Pyro</v>
      </c>
      <c r="L209" s="7" t="str">
        <f>INDEX('Data Val'!$O$1:$X$5, MATCH('Rotation Assembler'!L$21, 'Data Val'!$O$1:$O$5, 0), MATCH('Rotation Assembler'!$A209, 'Data Val'!$O$1:$X$1, 0))</f>
        <v>Pyro</v>
      </c>
      <c r="M209" s="7" t="str">
        <f>INDEX('Data Val'!$O$1:$X$5, MATCH('Rotation Assembler'!M$21, 'Data Val'!$O$1:$O$5, 0), MATCH('Rotation Assembler'!$A209, 'Data Val'!$O$1:$X$1, 0))</f>
        <v>Pyro</v>
      </c>
      <c r="N209" s="7" t="str">
        <f>INDEX('Data Val'!$O$1:$X$5, MATCH('Rotation Assembler'!N$21, 'Data Val'!$O$1:$O$5, 0), MATCH('Rotation Assembler'!$A209, 'Data Val'!$O$1:$X$1, 0))</f>
        <v>Pyro</v>
      </c>
      <c r="O209" s="7" t="str">
        <f>INDEX('Data Val'!$O$1:$X$5, MATCH('Rotation Assembler'!O$21, 'Data Val'!$O$1:$O$5, 0), MATCH('Rotation Assembler'!$A209, 'Data Val'!$O$1:$X$1, 0))</f>
        <v>Pyro</v>
      </c>
      <c r="P209" s="7" t="str">
        <f>INDEX('Data Val'!$O$1:$X$5, MATCH('Rotation Assembler'!P$21, 'Data Val'!$O$1:$O$5, 0), MATCH('Rotation Assembler'!$A209, 'Data Val'!$O$1:$X$1, 0))</f>
        <v>Pyro</v>
      </c>
      <c r="Q209" s="7" t="str">
        <f>INDEX('Data Val'!$O$1:$X$5, MATCH('Rotation Assembler'!Q$21, 'Data Val'!$O$1:$O$5, 0), MATCH('Rotation Assembler'!$A209, 'Data Val'!$O$1:$X$1, 0))</f>
        <v>Pyro</v>
      </c>
      <c r="R209" s="7" t="str">
        <f>INDEX('Data Val'!$O$1:$X$5, MATCH('Rotation Assembler'!R$21, 'Data Val'!$O$1:$O$5, 0), MATCH('Rotation Assembler'!$A209, 'Data Val'!$O$1:$X$1, 0))</f>
        <v>Pyro</v>
      </c>
      <c r="S209" s="7" t="str">
        <f>INDEX('Data Val'!$O$1:$X$5, MATCH('Rotation Assembler'!S$21, 'Data Val'!$O$1:$O$5, 0), MATCH('Rotation Assembler'!$A209, 'Data Val'!$O$1:$X$1, 0))</f>
        <v>Pyro</v>
      </c>
      <c r="T209" s="7" t="str">
        <f>INDEX('Data Val'!$O$1:$X$5, MATCH('Rotation Assembler'!T$21, 'Data Val'!$O$1:$O$5, 0), MATCH('Rotation Assembler'!$A209, 'Data Val'!$O$1:$X$1, 0))</f>
        <v>Pyro</v>
      </c>
      <c r="U209" s="7" t="str">
        <f>INDEX('Data Val'!$O$1:$X$5, MATCH('Rotation Assembler'!U$21, 'Data Val'!$O$1:$O$5, 0), MATCH('Rotation Assembler'!$A209, 'Data Val'!$O$1:$X$1, 0))</f>
        <v>Pyro</v>
      </c>
      <c r="V209" s="7" t="str">
        <f>INDEX('Data Val'!$O$1:$X$5, MATCH('Rotation Assembler'!V$21, 'Data Val'!$O$1:$O$5, 0), MATCH('Rotation Assembler'!$A209, 'Data Val'!$O$1:$X$1, 0))</f>
        <v>Pyro</v>
      </c>
      <c r="W209" s="7" t="str">
        <f>INDEX('Data Val'!$O$1:$X$5, MATCH('Rotation Assembler'!W$21, 'Data Val'!$O$1:$O$5, 0), MATCH('Rotation Assembler'!$A209, 'Data Val'!$O$1:$X$1, 0))</f>
        <v>Pyro</v>
      </c>
      <c r="X209" s="7" t="str">
        <f>INDEX('Data Val'!$O$1:$X$5, MATCH('Rotation Assembler'!X$21, 'Data Val'!$O$1:$O$5, 0), MATCH('Rotation Assembler'!$A209, 'Data Val'!$O$1:$X$1, 0))</f>
        <v>Electro</v>
      </c>
      <c r="Y209" s="7" t="str">
        <f>INDEX('Data Val'!$O$1:$X$5, MATCH('Rotation Assembler'!Y$21, 'Data Val'!$O$1:$O$5, 0), MATCH('Rotation Assembler'!$A209, 'Data Val'!$O$1:$X$1, 0))</f>
        <v>Electro</v>
      </c>
      <c r="Z209" s="7" t="str">
        <f>INDEX('Data Val'!$O$1:$X$5, MATCH('Rotation Assembler'!Z$21, 'Data Val'!$O$1:$O$5, 0), MATCH('Rotation Assembler'!$A209, 'Data Val'!$O$1:$X$1, 0))</f>
        <v>Electro</v>
      </c>
      <c r="AA209" s="7" t="str">
        <f>INDEX('Data Val'!$O$1:$X$5, MATCH('Rotation Assembler'!AA$21, 'Data Val'!$O$1:$O$5, 0), MATCH('Rotation Assembler'!$A209, 'Data Val'!$O$1:$X$1, 0))</f>
        <v>Electro</v>
      </c>
      <c r="AB209" s="7" t="str">
        <f>INDEX('Data Val'!$O$1:$X$5, MATCH('Rotation Assembler'!AB$21, 'Data Val'!$O$1:$O$5, 0), MATCH('Rotation Assembler'!$A209, 'Data Val'!$O$1:$X$1, 0))</f>
        <v>Electro</v>
      </c>
      <c r="AC209" s="7" t="str">
        <f>INDEX('Data Val'!$O$1:$X$5, MATCH('Rotation Assembler'!AC$21, 'Data Val'!$O$1:$O$5, 0), MATCH('Rotation Assembler'!$A209, 'Data Val'!$O$1:$X$1, 0))</f>
        <v>Electro</v>
      </c>
      <c r="AD209" s="7" t="str">
        <f>INDEX('Data Val'!$O$1:$X$5, MATCH('Rotation Assembler'!AD$21, 'Data Val'!$O$1:$O$5, 0), MATCH('Rotation Assembler'!$A209, 'Data Val'!$O$1:$X$1, 0))</f>
        <v>Electro</v>
      </c>
      <c r="AE209" s="7" t="str">
        <f>INDEX('Data Val'!$O$1:$X$5, MATCH('Rotation Assembler'!AE$21, 'Data Val'!$O$1:$O$5, 0), MATCH('Rotation Assembler'!$A209, 'Data Val'!$O$1:$X$1, 0))</f>
        <v>Electro</v>
      </c>
      <c r="AF209" s="7" t="str">
        <f>INDEX('Data Val'!$O$1:$X$5, MATCH('Rotation Assembler'!AF$21, 'Data Val'!$O$1:$O$5, 0), MATCH('Rotation Assembler'!$A209, 'Data Val'!$O$1:$X$1, 0))</f>
        <v>Electro</v>
      </c>
      <c r="AG209" s="7" t="str">
        <f>INDEX('Data Val'!$O$1:$X$5, MATCH('Rotation Assembler'!AG$21, 'Data Val'!$O$1:$O$5, 0), MATCH('Rotation Assembler'!$A209, 'Data Val'!$O$1:$X$1, 0))</f>
        <v>Pyro</v>
      </c>
      <c r="AH209" s="7" t="str">
        <f>INDEX('Data Val'!$O$1:$X$5, MATCH('Rotation Assembler'!AH$21, 'Data Val'!$O$1:$O$5, 0), MATCH('Rotation Assembler'!$A209, 'Data Val'!$O$1:$X$1, 0))</f>
        <v>Pyro</v>
      </c>
      <c r="AI209" s="7" t="str">
        <f>INDEX('Data Val'!$O$1:$X$5, MATCH('Rotation Assembler'!AI$21, 'Data Val'!$O$1:$O$5, 0), MATCH('Rotation Assembler'!$A209, 'Data Val'!$O$1:$X$1, 0))</f>
        <v>Pyro</v>
      </c>
      <c r="AJ209" s="7" t="str">
        <f>INDEX('Data Val'!$O$1:$X$5, MATCH('Rotation Assembler'!AJ$21, 'Data Val'!$O$1:$O$5, 0), MATCH('Rotation Assembler'!$A209, 'Data Val'!$O$1:$X$1, 0))</f>
        <v>Pyro</v>
      </c>
    </row>
    <row r="210" spans="1:72" hidden="1" outlineLevel="1" x14ac:dyDescent="0.25">
      <c r="A210" s="112" t="s">
        <v>0</v>
      </c>
      <c r="B210" s="7" t="str">
        <f>INDEX('Data Val'!$O$1:$X$5, MATCH('Rotation Assembler'!B$21, 'Data Val'!$O$1:$O$5, 0), MATCH('Rotation Assembler'!$A210, 'Data Val'!$O$1:$X$1, 0))</f>
        <v>Electro</v>
      </c>
      <c r="C210" s="7" t="str">
        <f>INDEX('Data Val'!$O$1:$X$5, MATCH('Rotation Assembler'!C$21, 'Data Val'!$O$1:$O$5, 0), MATCH('Rotation Assembler'!$A210, 'Data Val'!$O$1:$X$1, 0))</f>
        <v>Electro</v>
      </c>
      <c r="D210" s="7" t="str">
        <f>INDEX('Data Val'!$O$1:$X$5, MATCH('Rotation Assembler'!D$21, 'Data Val'!$O$1:$O$5, 0), MATCH('Rotation Assembler'!$A210, 'Data Val'!$O$1:$X$1, 0))</f>
        <v>Electro</v>
      </c>
      <c r="E210" s="7" t="str">
        <f>INDEX('Data Val'!$O$1:$X$5, MATCH('Rotation Assembler'!E$21, 'Data Val'!$O$1:$O$5, 0), MATCH('Rotation Assembler'!$A210, 'Data Val'!$O$1:$X$1, 0))</f>
        <v>Electro</v>
      </c>
      <c r="F210" s="7" t="str">
        <f>INDEX('Data Val'!$O$1:$X$5, MATCH('Rotation Assembler'!F$21, 'Data Val'!$O$1:$O$5, 0), MATCH('Rotation Assembler'!$A210, 'Data Val'!$O$1:$X$1, 0))</f>
        <v>Hydro</v>
      </c>
      <c r="G210" s="7" t="str">
        <f>INDEX('Data Val'!$O$1:$X$5, MATCH('Rotation Assembler'!G$21, 'Data Val'!$O$1:$O$5, 0), MATCH('Rotation Assembler'!$A210, 'Data Val'!$O$1:$X$1, 0))</f>
        <v>Hydro</v>
      </c>
      <c r="H210" s="7" t="str">
        <f>INDEX('Data Val'!$O$1:$X$5, MATCH('Rotation Assembler'!H$21, 'Data Val'!$O$1:$O$5, 0), MATCH('Rotation Assembler'!$A210, 'Data Val'!$O$1:$X$1, 0))</f>
        <v>Hydro</v>
      </c>
      <c r="I210" s="7" t="str">
        <f>INDEX('Data Val'!$O$1:$X$5, MATCH('Rotation Assembler'!I$21, 'Data Val'!$O$1:$O$5, 0), MATCH('Rotation Assembler'!$A210, 'Data Val'!$O$1:$X$1, 0))</f>
        <v>Hydro</v>
      </c>
      <c r="J210" s="7" t="str">
        <f>INDEX('Data Val'!$O$1:$X$5, MATCH('Rotation Assembler'!J$21, 'Data Val'!$O$1:$O$5, 0), MATCH('Rotation Assembler'!$A210, 'Data Val'!$O$1:$X$1, 0))</f>
        <v>Pyro</v>
      </c>
      <c r="K210" s="7" t="str">
        <f>INDEX('Data Val'!$O$1:$X$5, MATCH('Rotation Assembler'!K$21, 'Data Val'!$O$1:$O$5, 0), MATCH('Rotation Assembler'!$A210, 'Data Val'!$O$1:$X$1, 0))</f>
        <v>Pyro</v>
      </c>
      <c r="L210" s="7" t="str">
        <f>INDEX('Data Val'!$O$1:$X$5, MATCH('Rotation Assembler'!L$21, 'Data Val'!$O$1:$O$5, 0), MATCH('Rotation Assembler'!$A210, 'Data Val'!$O$1:$X$1, 0))</f>
        <v>Pyro</v>
      </c>
      <c r="M210" s="7" t="str">
        <f>INDEX('Data Val'!$O$1:$X$5, MATCH('Rotation Assembler'!M$21, 'Data Val'!$O$1:$O$5, 0), MATCH('Rotation Assembler'!$A210, 'Data Val'!$O$1:$X$1, 0))</f>
        <v>Pyro</v>
      </c>
      <c r="N210" s="7" t="str">
        <f>INDEX('Data Val'!$O$1:$X$5, MATCH('Rotation Assembler'!N$21, 'Data Val'!$O$1:$O$5, 0), MATCH('Rotation Assembler'!$A210, 'Data Val'!$O$1:$X$1, 0))</f>
        <v>Pyro</v>
      </c>
      <c r="O210" s="7" t="str">
        <f>INDEX('Data Val'!$O$1:$X$5, MATCH('Rotation Assembler'!O$21, 'Data Val'!$O$1:$O$5, 0), MATCH('Rotation Assembler'!$A210, 'Data Val'!$O$1:$X$1, 0))</f>
        <v>Pyro</v>
      </c>
      <c r="P210" s="7" t="str">
        <f>INDEX('Data Val'!$O$1:$X$5, MATCH('Rotation Assembler'!P$21, 'Data Val'!$O$1:$O$5, 0), MATCH('Rotation Assembler'!$A210, 'Data Val'!$O$1:$X$1, 0))</f>
        <v>Pyro</v>
      </c>
      <c r="Q210" s="7" t="str">
        <f>INDEX('Data Val'!$O$1:$X$5, MATCH('Rotation Assembler'!Q$21, 'Data Val'!$O$1:$O$5, 0), MATCH('Rotation Assembler'!$A210, 'Data Val'!$O$1:$X$1, 0))</f>
        <v>Pyro</v>
      </c>
      <c r="R210" s="7" t="str">
        <f>INDEX('Data Val'!$O$1:$X$5, MATCH('Rotation Assembler'!R$21, 'Data Val'!$O$1:$O$5, 0), MATCH('Rotation Assembler'!$A210, 'Data Val'!$O$1:$X$1, 0))</f>
        <v>Pyro</v>
      </c>
      <c r="S210" s="7" t="str">
        <f>INDEX('Data Val'!$O$1:$X$5, MATCH('Rotation Assembler'!S$21, 'Data Val'!$O$1:$O$5, 0), MATCH('Rotation Assembler'!$A210, 'Data Val'!$O$1:$X$1, 0))</f>
        <v>Pyro</v>
      </c>
      <c r="T210" s="7" t="str">
        <f>INDEX('Data Val'!$O$1:$X$5, MATCH('Rotation Assembler'!T$21, 'Data Val'!$O$1:$O$5, 0), MATCH('Rotation Assembler'!$A210, 'Data Val'!$O$1:$X$1, 0))</f>
        <v>Pyro</v>
      </c>
      <c r="U210" s="7" t="str">
        <f>INDEX('Data Val'!$O$1:$X$5, MATCH('Rotation Assembler'!U$21, 'Data Val'!$O$1:$O$5, 0), MATCH('Rotation Assembler'!$A210, 'Data Val'!$O$1:$X$1, 0))</f>
        <v>Pyro</v>
      </c>
      <c r="V210" s="7" t="str">
        <f>INDEX('Data Val'!$O$1:$X$5, MATCH('Rotation Assembler'!V$21, 'Data Val'!$O$1:$O$5, 0), MATCH('Rotation Assembler'!$A210, 'Data Val'!$O$1:$X$1, 0))</f>
        <v>Pyro</v>
      </c>
      <c r="W210" s="7" t="str">
        <f>INDEX('Data Val'!$O$1:$X$5, MATCH('Rotation Assembler'!W$21, 'Data Val'!$O$1:$O$5, 0), MATCH('Rotation Assembler'!$A210, 'Data Val'!$O$1:$X$1, 0))</f>
        <v>Pyro</v>
      </c>
      <c r="X210" s="7" t="str">
        <f>INDEX('Data Val'!$O$1:$X$5, MATCH('Rotation Assembler'!X$21, 'Data Val'!$O$1:$O$5, 0), MATCH('Rotation Assembler'!$A210, 'Data Val'!$O$1:$X$1, 0))</f>
        <v>Electro</v>
      </c>
      <c r="Y210" s="7" t="str">
        <f>INDEX('Data Val'!$O$1:$X$5, MATCH('Rotation Assembler'!Y$21, 'Data Val'!$O$1:$O$5, 0), MATCH('Rotation Assembler'!$A210, 'Data Val'!$O$1:$X$1, 0))</f>
        <v>Electro</v>
      </c>
      <c r="Z210" s="7" t="str">
        <f>INDEX('Data Val'!$O$1:$X$5, MATCH('Rotation Assembler'!Z$21, 'Data Val'!$O$1:$O$5, 0), MATCH('Rotation Assembler'!$A210, 'Data Val'!$O$1:$X$1, 0))</f>
        <v>Electro</v>
      </c>
      <c r="AA210" s="7" t="str">
        <f>INDEX('Data Val'!$O$1:$X$5, MATCH('Rotation Assembler'!AA$21, 'Data Val'!$O$1:$O$5, 0), MATCH('Rotation Assembler'!$A210, 'Data Val'!$O$1:$X$1, 0))</f>
        <v>Electro</v>
      </c>
      <c r="AB210" s="7" t="str">
        <f>INDEX('Data Val'!$O$1:$X$5, MATCH('Rotation Assembler'!AB$21, 'Data Val'!$O$1:$O$5, 0), MATCH('Rotation Assembler'!$A210, 'Data Val'!$O$1:$X$1, 0))</f>
        <v>Electro</v>
      </c>
      <c r="AC210" s="7" t="str">
        <f>INDEX('Data Val'!$O$1:$X$5, MATCH('Rotation Assembler'!AC$21, 'Data Val'!$O$1:$O$5, 0), MATCH('Rotation Assembler'!$A210, 'Data Val'!$O$1:$X$1, 0))</f>
        <v>Electro</v>
      </c>
      <c r="AD210" s="7" t="str">
        <f>INDEX('Data Val'!$O$1:$X$5, MATCH('Rotation Assembler'!AD$21, 'Data Val'!$O$1:$O$5, 0), MATCH('Rotation Assembler'!$A210, 'Data Val'!$O$1:$X$1, 0))</f>
        <v>Electro</v>
      </c>
      <c r="AE210" s="7" t="str">
        <f>INDEX('Data Val'!$O$1:$X$5, MATCH('Rotation Assembler'!AE$21, 'Data Val'!$O$1:$O$5, 0), MATCH('Rotation Assembler'!$A210, 'Data Val'!$O$1:$X$1, 0))</f>
        <v>Electro</v>
      </c>
      <c r="AF210" s="7" t="str">
        <f>INDEX('Data Val'!$O$1:$X$5, MATCH('Rotation Assembler'!AF$21, 'Data Val'!$O$1:$O$5, 0), MATCH('Rotation Assembler'!$A210, 'Data Val'!$O$1:$X$1, 0))</f>
        <v>Electro</v>
      </c>
      <c r="AG210" s="7" t="str">
        <f>INDEX('Data Val'!$O$1:$X$5, MATCH('Rotation Assembler'!AG$21, 'Data Val'!$O$1:$O$5, 0), MATCH('Rotation Assembler'!$A210, 'Data Val'!$O$1:$X$1, 0))</f>
        <v>Pyro</v>
      </c>
      <c r="AH210" s="7" t="str">
        <f>INDEX('Data Val'!$O$1:$X$5, MATCH('Rotation Assembler'!AH$21, 'Data Val'!$O$1:$O$5, 0), MATCH('Rotation Assembler'!$A210, 'Data Val'!$O$1:$X$1, 0))</f>
        <v>Pyro</v>
      </c>
      <c r="AI210" s="7" t="str">
        <f>INDEX('Data Val'!$O$1:$X$5, MATCH('Rotation Assembler'!AI$21, 'Data Val'!$O$1:$O$5, 0), MATCH('Rotation Assembler'!$A210, 'Data Val'!$O$1:$X$1, 0))</f>
        <v>Pyro</v>
      </c>
      <c r="AJ210" s="7" t="str">
        <f>INDEX('Data Val'!$O$1:$X$5, MATCH('Rotation Assembler'!AJ$21, 'Data Val'!$O$1:$O$5, 0), MATCH('Rotation Assembler'!$A210, 'Data Val'!$O$1:$X$1, 0))</f>
        <v>Pyro</v>
      </c>
    </row>
    <row r="211" spans="1:72" ht="15" hidden="1" customHeight="1" outlineLevel="1" x14ac:dyDescent="0.25">
      <c r="A211" s="112" t="s">
        <v>24</v>
      </c>
      <c r="B211" s="7" t="str">
        <f>INDEX('Data Val'!$O$1:$X$5, MATCH('Rotation Assembler'!B$21, 'Data Val'!$O$1:$O$5, 0), MATCH('Rotation Assembler'!$A211, 'Data Val'!$O$1:$X$1, 0))</f>
        <v>Electro</v>
      </c>
      <c r="C211" s="7" t="str">
        <f>INDEX('Data Val'!$O$1:$X$5, MATCH('Rotation Assembler'!C$21, 'Data Val'!$O$1:$O$5, 0), MATCH('Rotation Assembler'!$A211, 'Data Val'!$O$1:$X$1, 0))</f>
        <v>Electro</v>
      </c>
      <c r="D211" s="7" t="str">
        <f>INDEX('Data Val'!$O$1:$X$5, MATCH('Rotation Assembler'!D$21, 'Data Val'!$O$1:$O$5, 0), MATCH('Rotation Assembler'!$A211, 'Data Val'!$O$1:$X$1, 0))</f>
        <v>Electro</v>
      </c>
      <c r="E211" s="7" t="str">
        <f>INDEX('Data Val'!$O$1:$X$5, MATCH('Rotation Assembler'!E$21, 'Data Val'!$O$1:$O$5, 0), MATCH('Rotation Assembler'!$A211, 'Data Val'!$O$1:$X$1, 0))</f>
        <v>Electro</v>
      </c>
      <c r="F211" s="7" t="str">
        <f>INDEX('Data Val'!$O$1:$X$5, MATCH('Rotation Assembler'!F$21, 'Data Val'!$O$1:$O$5, 0), MATCH('Rotation Assembler'!$A211, 'Data Val'!$O$1:$X$1, 0))</f>
        <v>Hydro</v>
      </c>
      <c r="G211" s="7" t="str">
        <f>INDEX('Data Val'!$O$1:$X$5, MATCH('Rotation Assembler'!G$21, 'Data Val'!$O$1:$O$5, 0), MATCH('Rotation Assembler'!$A211, 'Data Val'!$O$1:$X$1, 0))</f>
        <v>Hydro</v>
      </c>
      <c r="H211" s="7" t="str">
        <f>INDEX('Data Val'!$O$1:$X$5, MATCH('Rotation Assembler'!H$21, 'Data Val'!$O$1:$O$5, 0), MATCH('Rotation Assembler'!$A211, 'Data Val'!$O$1:$X$1, 0))</f>
        <v>Hydro</v>
      </c>
      <c r="I211" s="7" t="str">
        <f>INDEX('Data Val'!$O$1:$X$5, MATCH('Rotation Assembler'!I$21, 'Data Val'!$O$1:$O$5, 0), MATCH('Rotation Assembler'!$A211, 'Data Val'!$O$1:$X$1, 0))</f>
        <v>Hydro</v>
      </c>
      <c r="J211" s="7" t="str">
        <f>INDEX('Data Val'!$O$1:$X$5, MATCH('Rotation Assembler'!J$21, 'Data Val'!$O$1:$O$5, 0), MATCH('Rotation Assembler'!$A211, 'Data Val'!$O$1:$X$1, 0))</f>
        <v>Pyro</v>
      </c>
      <c r="K211" s="7" t="str">
        <f>INDEX('Data Val'!$O$1:$X$5, MATCH('Rotation Assembler'!K$21, 'Data Val'!$O$1:$O$5, 0), MATCH('Rotation Assembler'!$A211, 'Data Val'!$O$1:$X$1, 0))</f>
        <v>Pyro</v>
      </c>
      <c r="L211" s="7" t="str">
        <f>INDEX('Data Val'!$O$1:$X$5, MATCH('Rotation Assembler'!L$21, 'Data Val'!$O$1:$O$5, 0), MATCH('Rotation Assembler'!$A211, 'Data Val'!$O$1:$X$1, 0))</f>
        <v>Pyro</v>
      </c>
      <c r="M211" s="7" t="str">
        <f>INDEX('Data Val'!$O$1:$X$5, MATCH('Rotation Assembler'!M$21, 'Data Val'!$O$1:$O$5, 0), MATCH('Rotation Assembler'!$A211, 'Data Val'!$O$1:$X$1, 0))</f>
        <v>Pyro</v>
      </c>
      <c r="N211" s="7" t="str">
        <f>INDEX('Data Val'!$O$1:$X$5, MATCH('Rotation Assembler'!N$21, 'Data Val'!$O$1:$O$5, 0), MATCH('Rotation Assembler'!$A211, 'Data Val'!$O$1:$X$1, 0))</f>
        <v>Pyro</v>
      </c>
      <c r="O211" s="7" t="str">
        <f>INDEX('Data Val'!$O$1:$X$5, MATCH('Rotation Assembler'!O$21, 'Data Val'!$O$1:$O$5, 0), MATCH('Rotation Assembler'!$A211, 'Data Val'!$O$1:$X$1, 0))</f>
        <v>Pyro</v>
      </c>
      <c r="P211" s="7" t="str">
        <f>INDEX('Data Val'!$O$1:$X$5, MATCH('Rotation Assembler'!P$21, 'Data Val'!$O$1:$O$5, 0), MATCH('Rotation Assembler'!$A211, 'Data Val'!$O$1:$X$1, 0))</f>
        <v>Pyro</v>
      </c>
      <c r="Q211" s="7" t="str">
        <f>INDEX('Data Val'!$O$1:$X$5, MATCH('Rotation Assembler'!Q$21, 'Data Val'!$O$1:$O$5, 0), MATCH('Rotation Assembler'!$A211, 'Data Val'!$O$1:$X$1, 0))</f>
        <v>Pyro</v>
      </c>
      <c r="R211" s="7" t="str">
        <f>INDEX('Data Val'!$O$1:$X$5, MATCH('Rotation Assembler'!R$21, 'Data Val'!$O$1:$O$5, 0), MATCH('Rotation Assembler'!$A211, 'Data Val'!$O$1:$X$1, 0))</f>
        <v>Pyro</v>
      </c>
      <c r="S211" s="7" t="str">
        <f>INDEX('Data Val'!$O$1:$X$5, MATCH('Rotation Assembler'!S$21, 'Data Val'!$O$1:$O$5, 0), MATCH('Rotation Assembler'!$A211, 'Data Val'!$O$1:$X$1, 0))</f>
        <v>Pyro</v>
      </c>
      <c r="T211" s="7" t="str">
        <f>INDEX('Data Val'!$O$1:$X$5, MATCH('Rotation Assembler'!T$21, 'Data Val'!$O$1:$O$5, 0), MATCH('Rotation Assembler'!$A211, 'Data Val'!$O$1:$X$1, 0))</f>
        <v>Pyro</v>
      </c>
      <c r="U211" s="7" t="str">
        <f>INDEX('Data Val'!$O$1:$X$5, MATCH('Rotation Assembler'!U$21, 'Data Val'!$O$1:$O$5, 0), MATCH('Rotation Assembler'!$A211, 'Data Val'!$O$1:$X$1, 0))</f>
        <v>Pyro</v>
      </c>
      <c r="V211" s="7" t="str">
        <f>INDEX('Data Val'!$O$1:$X$5, MATCH('Rotation Assembler'!V$21, 'Data Val'!$O$1:$O$5, 0), MATCH('Rotation Assembler'!$A211, 'Data Val'!$O$1:$X$1, 0))</f>
        <v>Pyro</v>
      </c>
      <c r="W211" s="7" t="str">
        <f>INDEX('Data Val'!$O$1:$X$5, MATCH('Rotation Assembler'!W$21, 'Data Val'!$O$1:$O$5, 0), MATCH('Rotation Assembler'!$A211, 'Data Val'!$O$1:$X$1, 0))</f>
        <v>Pyro</v>
      </c>
      <c r="X211" s="7" t="str">
        <f>INDEX('Data Val'!$O$1:$X$5, MATCH('Rotation Assembler'!X$21, 'Data Val'!$O$1:$O$5, 0), MATCH('Rotation Assembler'!$A211, 'Data Val'!$O$1:$X$1, 0))</f>
        <v>Electro</v>
      </c>
      <c r="Y211" s="7" t="str">
        <f>INDEX('Data Val'!$O$1:$X$5, MATCH('Rotation Assembler'!Y$21, 'Data Val'!$O$1:$O$5, 0), MATCH('Rotation Assembler'!$A211, 'Data Val'!$O$1:$X$1, 0))</f>
        <v>Electro</v>
      </c>
      <c r="Z211" s="7" t="str">
        <f>INDEX('Data Val'!$O$1:$X$5, MATCH('Rotation Assembler'!Z$21, 'Data Val'!$O$1:$O$5, 0), MATCH('Rotation Assembler'!$A211, 'Data Val'!$O$1:$X$1, 0))</f>
        <v>Electro</v>
      </c>
      <c r="AA211" s="7" t="str">
        <f>INDEX('Data Val'!$O$1:$X$5, MATCH('Rotation Assembler'!AA$21, 'Data Val'!$O$1:$O$5, 0), MATCH('Rotation Assembler'!$A211, 'Data Val'!$O$1:$X$1, 0))</f>
        <v>Electro</v>
      </c>
      <c r="AB211" s="7" t="str">
        <f>INDEX('Data Val'!$O$1:$X$5, MATCH('Rotation Assembler'!AB$21, 'Data Val'!$O$1:$O$5, 0), MATCH('Rotation Assembler'!$A211, 'Data Val'!$O$1:$X$1, 0))</f>
        <v>Electro</v>
      </c>
      <c r="AC211" s="7" t="str">
        <f>INDEX('Data Val'!$O$1:$X$5, MATCH('Rotation Assembler'!AC$21, 'Data Val'!$O$1:$O$5, 0), MATCH('Rotation Assembler'!$A211, 'Data Val'!$O$1:$X$1, 0))</f>
        <v>Electro</v>
      </c>
      <c r="AD211" s="7" t="str">
        <f>INDEX('Data Val'!$O$1:$X$5, MATCH('Rotation Assembler'!AD$21, 'Data Val'!$O$1:$O$5, 0), MATCH('Rotation Assembler'!$A211, 'Data Val'!$O$1:$X$1, 0))</f>
        <v>Electro</v>
      </c>
      <c r="AE211" s="7" t="str">
        <f>INDEX('Data Val'!$O$1:$X$5, MATCH('Rotation Assembler'!AE$21, 'Data Val'!$O$1:$O$5, 0), MATCH('Rotation Assembler'!$A211, 'Data Val'!$O$1:$X$1, 0))</f>
        <v>Electro</v>
      </c>
      <c r="AF211" s="7" t="str">
        <f>INDEX('Data Val'!$O$1:$X$5, MATCH('Rotation Assembler'!AF$21, 'Data Val'!$O$1:$O$5, 0), MATCH('Rotation Assembler'!$A211, 'Data Val'!$O$1:$X$1, 0))</f>
        <v>Electro</v>
      </c>
      <c r="AG211" s="7" t="str">
        <f>INDEX('Data Val'!$O$1:$X$5, MATCH('Rotation Assembler'!AG$21, 'Data Val'!$O$1:$O$5, 0), MATCH('Rotation Assembler'!$A211, 'Data Val'!$O$1:$X$1, 0))</f>
        <v>Pyro</v>
      </c>
      <c r="AH211" s="7" t="str">
        <f>INDEX('Data Val'!$O$1:$X$5, MATCH('Rotation Assembler'!AH$21, 'Data Val'!$O$1:$O$5, 0), MATCH('Rotation Assembler'!$A211, 'Data Val'!$O$1:$X$1, 0))</f>
        <v>Pyro</v>
      </c>
      <c r="AI211" s="7" t="str">
        <f>INDEX('Data Val'!$O$1:$X$5, MATCH('Rotation Assembler'!AI$21, 'Data Val'!$O$1:$O$5, 0), MATCH('Rotation Assembler'!$A211, 'Data Val'!$O$1:$X$1, 0))</f>
        <v>Pyro</v>
      </c>
      <c r="AJ211" s="7" t="str">
        <f>INDEX('Data Val'!$O$1:$X$5, MATCH('Rotation Assembler'!AJ$21, 'Data Val'!$O$1:$O$5, 0), MATCH('Rotation Assembler'!$A211, 'Data Val'!$O$1:$X$1, 0))</f>
        <v>Pyro</v>
      </c>
    </row>
    <row r="212" spans="1:72" s="121" customFormat="1" hidden="1" outlineLevel="1" x14ac:dyDescent="0.25">
      <c r="A212" s="114" t="s">
        <v>672</v>
      </c>
    </row>
    <row r="213" spans="1:72" ht="15" hidden="1" customHeight="1" outlineLevel="1" x14ac:dyDescent="0.25">
      <c r="A213" s="112" t="s">
        <v>6</v>
      </c>
      <c r="B213" s="105">
        <f t="shared" ref="B213:L219" si="950">IFERROR(INDEX(B$187:B$193, MATCH("Effective "&amp;B205&amp;" Res", $A$187:$A$193, 0), 1),"")</f>
        <v>0.1</v>
      </c>
      <c r="C213" s="105">
        <f t="shared" ref="C213" si="951">IFERROR(INDEX(C$187:C$193, MATCH("Effective "&amp;C205&amp;" Res", $A$187:$A$193, 0), 1),"")</f>
        <v>0.1</v>
      </c>
      <c r="D213" s="105">
        <f t="shared" ref="D213:E213" si="952">IFERROR(INDEX(D$187:D$193, MATCH("Effective "&amp;D205&amp;" Res", $A$187:$A$193, 0), 1),"")</f>
        <v>0.1</v>
      </c>
      <c r="E213" s="105">
        <f t="shared" si="952"/>
        <v>0.1</v>
      </c>
      <c r="F213" s="105">
        <f t="shared" si="950"/>
        <v>0.1</v>
      </c>
      <c r="G213" s="105">
        <f t="shared" si="950"/>
        <v>0.1</v>
      </c>
      <c r="H213" s="105">
        <f t="shared" ref="H213" si="953">IFERROR(INDEX(H$187:H$193, MATCH("Effective "&amp;H205&amp;" Res", $A$187:$A$193, 0), 1),"")</f>
        <v>0.1</v>
      </c>
      <c r="I213" s="105">
        <f t="shared" ref="I213" si="954">IFERROR(INDEX(I$187:I$193, MATCH("Effective "&amp;I205&amp;" Res", $A$187:$A$193, 0), 1),"")</f>
        <v>0.1</v>
      </c>
      <c r="J213" s="105">
        <f t="shared" si="950"/>
        <v>0.1</v>
      </c>
      <c r="K213" s="105">
        <f t="shared" ref="K213" si="955">IFERROR(INDEX(K$187:K$193, MATCH("Effective "&amp;K205&amp;" Res", $A$187:$A$193, 0), 1),"")</f>
        <v>0.1</v>
      </c>
      <c r="L213" s="105">
        <f t="shared" si="950"/>
        <v>0.1</v>
      </c>
      <c r="M213" s="105">
        <f t="shared" ref="M213:M219" si="956">IFERROR(INDEX(M$187:M$193, MATCH("Effective "&amp;M205&amp;" Res", $A$187:$A$193, 0), 1),"")</f>
        <v>-2.4999999999999994E-2</v>
      </c>
      <c r="N213" s="105">
        <f t="shared" ref="N213:O213" si="957">IFERROR(INDEX(N$187:N$193, MATCH("Effective "&amp;N205&amp;" Res", $A$187:$A$193, 0), 1),"")</f>
        <v>-2.4999999999999994E-2</v>
      </c>
      <c r="O213" s="105">
        <f t="shared" si="957"/>
        <v>-2.4999999999999994E-2</v>
      </c>
      <c r="P213" s="105">
        <f t="shared" ref="P213:S219" si="958">IFERROR(INDEX(P$187:P$193, MATCH("Effective "&amp;P205&amp;" Res", $A$187:$A$193, 0), 1),"")</f>
        <v>0.1</v>
      </c>
      <c r="Q213" s="105">
        <f t="shared" si="958"/>
        <v>0.1</v>
      </c>
      <c r="R213" s="105">
        <f t="shared" si="958"/>
        <v>0.1</v>
      </c>
      <c r="S213" s="105">
        <f t="shared" si="958"/>
        <v>0.1</v>
      </c>
      <c r="T213" s="105">
        <f t="shared" ref="T213:U213" si="959">IFERROR(INDEX(T$187:T$193, MATCH("Effective "&amp;T205&amp;" Res", $A$187:$A$193, 0), 1),"")</f>
        <v>0.1</v>
      </c>
      <c r="U213" s="105">
        <f t="shared" si="959"/>
        <v>-2.4999999999999994E-2</v>
      </c>
      <c r="V213" s="105">
        <f t="shared" ref="V213:AC219" si="960">IFERROR(INDEX(V$187:V$193, MATCH("Effective "&amp;V205&amp;" Res", $A$187:$A$193, 0), 1),"")</f>
        <v>-2.4999999999999994E-2</v>
      </c>
      <c r="W213" s="105">
        <f t="shared" si="960"/>
        <v>-2.4999999999999994E-2</v>
      </c>
      <c r="X213" s="105">
        <f t="shared" si="960"/>
        <v>0.1</v>
      </c>
      <c r="Y213" s="105">
        <f t="shared" si="960"/>
        <v>0.1</v>
      </c>
      <c r="Z213" s="105">
        <f t="shared" si="960"/>
        <v>0.1</v>
      </c>
      <c r="AA213" s="105">
        <f t="shared" si="960"/>
        <v>0.1</v>
      </c>
      <c r="AB213" s="105">
        <f t="shared" si="960"/>
        <v>0.1</v>
      </c>
      <c r="AC213" s="105">
        <f t="shared" si="960"/>
        <v>0.1</v>
      </c>
      <c r="AD213" s="105">
        <f t="shared" ref="AD213" si="961">IFERROR(INDEX(AD$187:AD$193, MATCH("Effective "&amp;AD205&amp;" Res", $A$187:$A$193, 0), 1),"")</f>
        <v>0.1</v>
      </c>
      <c r="AE213" s="105">
        <f t="shared" ref="AE213:AF213" si="962">IFERROR(INDEX(AE$187:AE$193, MATCH("Effective "&amp;AE205&amp;" Res", $A$187:$A$193, 0), 1),"")</f>
        <v>0.1</v>
      </c>
      <c r="AF213" s="105">
        <f t="shared" si="962"/>
        <v>0.1</v>
      </c>
      <c r="AG213" s="105">
        <f t="shared" ref="AG213:AG219" si="963">IFERROR(INDEX(AG$187:AG$193, MATCH("Effective "&amp;AG205&amp;" Res", $A$187:$A$193, 0), 1),"")</f>
        <v>0.1</v>
      </c>
      <c r="AH213" s="105">
        <f t="shared" ref="AH213:AI213" si="964">IFERROR(INDEX(AH$187:AH$193, MATCH("Effective "&amp;AH205&amp;" Res", $A$187:$A$193, 0), 1),"")</f>
        <v>0.1</v>
      </c>
      <c r="AI213" s="105">
        <f t="shared" si="964"/>
        <v>0.1</v>
      </c>
      <c r="AJ213" s="105">
        <f t="shared" ref="AJ213" si="965">IFERROR(INDEX(AJ$187:AJ$193, MATCH("Effective "&amp;AJ205&amp;" Res", $A$187:$A$193, 0), 1),"")</f>
        <v>0.1</v>
      </c>
      <c r="AK213" s="105"/>
      <c r="AL213" s="105"/>
      <c r="AM213" s="105"/>
      <c r="AN213" s="105"/>
      <c r="AO213" s="105"/>
      <c r="AP213" s="105"/>
      <c r="AQ213" s="105"/>
      <c r="AR213" s="105"/>
      <c r="AS213" s="105"/>
      <c r="AT213" s="105"/>
      <c r="AU213" s="105"/>
      <c r="AV213" s="105"/>
      <c r="AW213" s="105"/>
      <c r="AX213" s="105"/>
      <c r="AY213" s="105"/>
      <c r="AZ213" s="105"/>
      <c r="BA213" s="105"/>
      <c r="BB213" s="105"/>
      <c r="BC213" s="105"/>
      <c r="BD213" s="105"/>
      <c r="BE213" s="105"/>
      <c r="BF213" s="105"/>
      <c r="BG213" s="105"/>
      <c r="BH213" s="105"/>
      <c r="BI213" s="105"/>
      <c r="BJ213" s="105"/>
      <c r="BK213" s="105"/>
      <c r="BL213" s="105"/>
      <c r="BM213" s="105"/>
      <c r="BN213" s="105"/>
      <c r="BO213" s="105"/>
      <c r="BP213" s="105"/>
      <c r="BQ213" s="105"/>
      <c r="BR213" s="105"/>
      <c r="BS213" s="105"/>
      <c r="BT213" s="105"/>
    </row>
    <row r="214" spans="1:72" ht="15" hidden="1" customHeight="1" outlineLevel="1" x14ac:dyDescent="0.25">
      <c r="A214" s="112" t="s">
        <v>5</v>
      </c>
      <c r="B214" s="105">
        <f t="shared" si="950"/>
        <v>0.1</v>
      </c>
      <c r="C214" s="105">
        <f t="shared" ref="C214" si="966">IFERROR(INDEX(C$187:C$193, MATCH("Effective "&amp;C206&amp;" Res", $A$187:$A$193, 0), 1),"")</f>
        <v>0.1</v>
      </c>
      <c r="D214" s="105">
        <f t="shared" ref="D214:E214" si="967">IFERROR(INDEX(D$187:D$193, MATCH("Effective "&amp;D206&amp;" Res", $A$187:$A$193, 0), 1),"")</f>
        <v>0.1</v>
      </c>
      <c r="E214" s="105">
        <f t="shared" si="967"/>
        <v>0.1</v>
      </c>
      <c r="F214" s="105">
        <f t="shared" si="950"/>
        <v>0.1</v>
      </c>
      <c r="G214" s="105">
        <f t="shared" si="950"/>
        <v>0.1</v>
      </c>
      <c r="H214" s="105">
        <f t="shared" ref="H214" si="968">IFERROR(INDEX(H$187:H$193, MATCH("Effective "&amp;H206&amp;" Res", $A$187:$A$193, 0), 1),"")</f>
        <v>0.1</v>
      </c>
      <c r="I214" s="105">
        <f t="shared" ref="I214" si="969">IFERROR(INDEX(I$187:I$193, MATCH("Effective "&amp;I206&amp;" Res", $A$187:$A$193, 0), 1),"")</f>
        <v>0.1</v>
      </c>
      <c r="J214" s="105">
        <f t="shared" si="950"/>
        <v>0.1</v>
      </c>
      <c r="K214" s="105">
        <f t="shared" ref="K214" si="970">IFERROR(INDEX(K$187:K$193, MATCH("Effective "&amp;K206&amp;" Res", $A$187:$A$193, 0), 1),"")</f>
        <v>0.1</v>
      </c>
      <c r="L214" s="105">
        <f t="shared" si="950"/>
        <v>0.1</v>
      </c>
      <c r="M214" s="105">
        <f t="shared" si="956"/>
        <v>0.1</v>
      </c>
      <c r="N214" s="105">
        <f t="shared" ref="N214:O214" si="971">IFERROR(INDEX(N$187:N$193, MATCH("Effective "&amp;N206&amp;" Res", $A$187:$A$193, 0), 1),"")</f>
        <v>0.1</v>
      </c>
      <c r="O214" s="105">
        <f t="shared" si="971"/>
        <v>0.1</v>
      </c>
      <c r="P214" s="105">
        <f t="shared" si="958"/>
        <v>0.1</v>
      </c>
      <c r="Q214" s="105">
        <f t="shared" si="958"/>
        <v>0.1</v>
      </c>
      <c r="R214" s="105">
        <f t="shared" si="958"/>
        <v>0.1</v>
      </c>
      <c r="S214" s="105">
        <f t="shared" si="958"/>
        <v>0.1</v>
      </c>
      <c r="T214" s="105">
        <f t="shared" ref="T214:U214" si="972">IFERROR(INDEX(T$187:T$193, MATCH("Effective "&amp;T206&amp;" Res", $A$187:$A$193, 0), 1),"")</f>
        <v>0.1</v>
      </c>
      <c r="U214" s="105">
        <f t="shared" si="972"/>
        <v>0.1</v>
      </c>
      <c r="V214" s="105">
        <f t="shared" si="960"/>
        <v>0.1</v>
      </c>
      <c r="W214" s="105">
        <f t="shared" si="960"/>
        <v>0.1</v>
      </c>
      <c r="X214" s="105">
        <f t="shared" si="960"/>
        <v>0.1</v>
      </c>
      <c r="Y214" s="105">
        <f t="shared" si="960"/>
        <v>0.1</v>
      </c>
      <c r="Z214" s="105">
        <f t="shared" si="960"/>
        <v>0.1</v>
      </c>
      <c r="AA214" s="105">
        <f t="shared" si="960"/>
        <v>0.1</v>
      </c>
      <c r="AB214" s="105">
        <f t="shared" si="960"/>
        <v>0.1</v>
      </c>
      <c r="AC214" s="105">
        <f t="shared" si="960"/>
        <v>0.1</v>
      </c>
      <c r="AD214" s="105">
        <f t="shared" ref="AD214" si="973">IFERROR(INDEX(AD$187:AD$193, MATCH("Effective "&amp;AD206&amp;" Res", $A$187:$A$193, 0), 1),"")</f>
        <v>0.1</v>
      </c>
      <c r="AE214" s="105">
        <f t="shared" ref="AE214:AF214" si="974">IFERROR(INDEX(AE$187:AE$193, MATCH("Effective "&amp;AE206&amp;" Res", $A$187:$A$193, 0), 1),"")</f>
        <v>0.1</v>
      </c>
      <c r="AF214" s="105">
        <f t="shared" si="974"/>
        <v>0.1</v>
      </c>
      <c r="AG214" s="105">
        <f t="shared" si="963"/>
        <v>0.1</v>
      </c>
      <c r="AH214" s="105">
        <f t="shared" ref="AH214:AI214" si="975">IFERROR(INDEX(AH$187:AH$193, MATCH("Effective "&amp;AH206&amp;" Res", $A$187:$A$193, 0), 1),"")</f>
        <v>0.1</v>
      </c>
      <c r="AI214" s="105">
        <f t="shared" si="975"/>
        <v>0.1</v>
      </c>
      <c r="AJ214" s="105">
        <f t="shared" ref="AJ214" si="976">IFERROR(INDEX(AJ$187:AJ$193, MATCH("Effective "&amp;AJ206&amp;" Res", $A$187:$A$193, 0), 1),"")</f>
        <v>0.1</v>
      </c>
      <c r="AK214" s="105"/>
      <c r="AL214" s="105"/>
      <c r="AM214" s="105"/>
      <c r="AN214" s="105"/>
      <c r="AO214" s="105"/>
      <c r="AP214" s="105"/>
      <c r="AQ214" s="105"/>
      <c r="AR214" s="105"/>
      <c r="AS214" s="105"/>
      <c r="AT214" s="105"/>
      <c r="AU214" s="105"/>
      <c r="AV214" s="105"/>
      <c r="AW214" s="105"/>
      <c r="AX214" s="105"/>
      <c r="AY214" s="105"/>
      <c r="AZ214" s="105"/>
      <c r="BA214" s="105"/>
      <c r="BB214" s="105"/>
      <c r="BC214" s="105"/>
      <c r="BD214" s="105"/>
      <c r="BE214" s="105"/>
      <c r="BF214" s="105"/>
      <c r="BG214" s="105"/>
      <c r="BH214" s="105"/>
      <c r="BI214" s="105"/>
      <c r="BJ214" s="105"/>
      <c r="BK214" s="105"/>
      <c r="BL214" s="105"/>
      <c r="BM214" s="105"/>
      <c r="BN214" s="105"/>
      <c r="BO214" s="105"/>
      <c r="BP214" s="105"/>
      <c r="BQ214" s="105"/>
      <c r="BR214" s="105"/>
      <c r="BS214" s="105"/>
      <c r="BT214" s="105"/>
    </row>
    <row r="215" spans="1:72" ht="15" hidden="1" customHeight="1" outlineLevel="1" x14ac:dyDescent="0.25">
      <c r="A215" s="112" t="s">
        <v>3</v>
      </c>
      <c r="B215" s="105">
        <f t="shared" si="950"/>
        <v>0.1</v>
      </c>
      <c r="C215" s="105">
        <f t="shared" ref="C215" si="977">IFERROR(INDEX(C$187:C$193, MATCH("Effective "&amp;C207&amp;" Res", $A$187:$A$193, 0), 1),"")</f>
        <v>0.1</v>
      </c>
      <c r="D215" s="105">
        <f t="shared" ref="D215:E215" si="978">IFERROR(INDEX(D$187:D$193, MATCH("Effective "&amp;D207&amp;" Res", $A$187:$A$193, 0), 1),"")</f>
        <v>0.1</v>
      </c>
      <c r="E215" s="105">
        <f t="shared" si="978"/>
        <v>0.1</v>
      </c>
      <c r="F215" s="105">
        <f t="shared" si="950"/>
        <v>0.1</v>
      </c>
      <c r="G215" s="105">
        <f t="shared" si="950"/>
        <v>0.1</v>
      </c>
      <c r="H215" s="105">
        <f t="shared" ref="H215" si="979">IFERROR(INDEX(H$187:H$193, MATCH("Effective "&amp;H207&amp;" Res", $A$187:$A$193, 0), 1),"")</f>
        <v>0.1</v>
      </c>
      <c r="I215" s="105">
        <f t="shared" ref="I215" si="980">IFERROR(INDEX(I$187:I$193, MATCH("Effective "&amp;I207&amp;" Res", $A$187:$A$193, 0), 1),"")</f>
        <v>0.1</v>
      </c>
      <c r="J215" s="105">
        <f t="shared" si="950"/>
        <v>0.1</v>
      </c>
      <c r="K215" s="105">
        <f t="shared" ref="K215" si="981">IFERROR(INDEX(K$187:K$193, MATCH("Effective "&amp;K207&amp;" Res", $A$187:$A$193, 0), 1),"")</f>
        <v>0.1</v>
      </c>
      <c r="L215" s="105">
        <f t="shared" si="950"/>
        <v>0.1</v>
      </c>
      <c r="M215" s="105">
        <f t="shared" si="956"/>
        <v>0.1</v>
      </c>
      <c r="N215" s="105">
        <f t="shared" ref="N215:O215" si="982">IFERROR(INDEX(N$187:N$193, MATCH("Effective "&amp;N207&amp;" Res", $A$187:$A$193, 0), 1),"")</f>
        <v>0.1</v>
      </c>
      <c r="O215" s="105">
        <f t="shared" si="982"/>
        <v>0.1</v>
      </c>
      <c r="P215" s="105">
        <f t="shared" si="958"/>
        <v>0.1</v>
      </c>
      <c r="Q215" s="105">
        <f t="shared" si="958"/>
        <v>0.1</v>
      </c>
      <c r="R215" s="105">
        <f t="shared" si="958"/>
        <v>0.1</v>
      </c>
      <c r="S215" s="105">
        <f t="shared" si="958"/>
        <v>0.1</v>
      </c>
      <c r="T215" s="105">
        <f t="shared" ref="T215:U215" si="983">IFERROR(INDEX(T$187:T$193, MATCH("Effective "&amp;T207&amp;" Res", $A$187:$A$193, 0), 1),"")</f>
        <v>0.1</v>
      </c>
      <c r="U215" s="105">
        <f t="shared" si="983"/>
        <v>0.1</v>
      </c>
      <c r="V215" s="105">
        <f t="shared" si="960"/>
        <v>0.1</v>
      </c>
      <c r="W215" s="105">
        <f t="shared" si="960"/>
        <v>0.1</v>
      </c>
      <c r="X215" s="105">
        <f t="shared" si="960"/>
        <v>0.1</v>
      </c>
      <c r="Y215" s="105">
        <f t="shared" si="960"/>
        <v>0.1</v>
      </c>
      <c r="Z215" s="105">
        <f t="shared" si="960"/>
        <v>0.1</v>
      </c>
      <c r="AA215" s="105">
        <f t="shared" si="960"/>
        <v>0.1</v>
      </c>
      <c r="AB215" s="105">
        <f t="shared" si="960"/>
        <v>0.1</v>
      </c>
      <c r="AC215" s="105">
        <f t="shared" si="960"/>
        <v>0.1</v>
      </c>
      <c r="AD215" s="105">
        <f t="shared" ref="AD215" si="984">IFERROR(INDEX(AD$187:AD$193, MATCH("Effective "&amp;AD207&amp;" Res", $A$187:$A$193, 0), 1),"")</f>
        <v>0.1</v>
      </c>
      <c r="AE215" s="105">
        <f t="shared" ref="AE215:AF215" si="985">IFERROR(INDEX(AE$187:AE$193, MATCH("Effective "&amp;AE207&amp;" Res", $A$187:$A$193, 0), 1),"")</f>
        <v>0.1</v>
      </c>
      <c r="AF215" s="105">
        <f t="shared" si="985"/>
        <v>0.1</v>
      </c>
      <c r="AG215" s="105">
        <f t="shared" si="963"/>
        <v>0.1</v>
      </c>
      <c r="AH215" s="105">
        <f t="shared" ref="AH215:AI215" si="986">IFERROR(INDEX(AH$187:AH$193, MATCH("Effective "&amp;AH207&amp;" Res", $A$187:$A$193, 0), 1),"")</f>
        <v>0.1</v>
      </c>
      <c r="AI215" s="105">
        <f t="shared" si="986"/>
        <v>0.1</v>
      </c>
      <c r="AJ215" s="105">
        <f t="shared" ref="AJ215" si="987">IFERROR(INDEX(AJ$187:AJ$193, MATCH("Effective "&amp;AJ207&amp;" Res", $A$187:$A$193, 0), 1),"")</f>
        <v>0.1</v>
      </c>
      <c r="AK215" s="105"/>
      <c r="AL215" s="105"/>
      <c r="AM215" s="105"/>
      <c r="AN215" s="105"/>
      <c r="AO215" s="105"/>
      <c r="AP215" s="105"/>
      <c r="AQ215" s="105"/>
      <c r="AR215" s="105"/>
      <c r="AS215" s="105"/>
      <c r="AT215" s="105"/>
      <c r="AU215" s="105"/>
      <c r="AV215" s="105"/>
      <c r="AW215" s="105"/>
      <c r="AX215" s="105"/>
      <c r="AY215" s="105"/>
      <c r="AZ215" s="105"/>
      <c r="BA215" s="105"/>
      <c r="BB215" s="105"/>
      <c r="BC215" s="105"/>
      <c r="BD215" s="105"/>
      <c r="BE215" s="105"/>
      <c r="BF215" s="105"/>
      <c r="BG215" s="105"/>
      <c r="BH215" s="105"/>
      <c r="BI215" s="105"/>
      <c r="BJ215" s="105"/>
      <c r="BK215" s="105"/>
      <c r="BL215" s="105"/>
      <c r="BM215" s="105"/>
      <c r="BN215" s="105"/>
      <c r="BO215" s="105"/>
      <c r="BP215" s="105"/>
      <c r="BQ215" s="105"/>
      <c r="BR215" s="105"/>
      <c r="BS215" s="105"/>
      <c r="BT215" s="105"/>
    </row>
    <row r="216" spans="1:72" hidden="1" outlineLevel="1" x14ac:dyDescent="0.25">
      <c r="A216" s="112" t="s">
        <v>19</v>
      </c>
      <c r="B216" s="105">
        <f t="shared" si="950"/>
        <v>0.1</v>
      </c>
      <c r="C216" s="105">
        <f t="shared" ref="C216" si="988">IFERROR(INDEX(C$187:C$193, MATCH("Effective "&amp;C208&amp;" Res", $A$187:$A$193, 0), 1),"")</f>
        <v>0.1</v>
      </c>
      <c r="D216" s="105">
        <f t="shared" ref="D216:E216" si="989">IFERROR(INDEX(D$187:D$193, MATCH("Effective "&amp;D208&amp;" Res", $A$187:$A$193, 0), 1),"")</f>
        <v>0.1</v>
      </c>
      <c r="E216" s="105">
        <f t="shared" si="989"/>
        <v>0.1</v>
      </c>
      <c r="F216" s="105">
        <f t="shared" si="950"/>
        <v>0.1</v>
      </c>
      <c r="G216" s="105">
        <f t="shared" si="950"/>
        <v>0.1</v>
      </c>
      <c r="H216" s="105">
        <f t="shared" ref="H216" si="990">IFERROR(INDEX(H$187:H$193, MATCH("Effective "&amp;H208&amp;" Res", $A$187:$A$193, 0), 1),"")</f>
        <v>-2.4999999999999994E-2</v>
      </c>
      <c r="I216" s="105">
        <f t="shared" ref="I216" si="991">IFERROR(INDEX(I$187:I$193, MATCH("Effective "&amp;I208&amp;" Res", $A$187:$A$193, 0), 1),"")</f>
        <v>0.1</v>
      </c>
      <c r="J216" s="105">
        <f t="shared" si="950"/>
        <v>0.1</v>
      </c>
      <c r="K216" s="105">
        <f t="shared" ref="K216" si="992">IFERROR(INDEX(K$187:K$193, MATCH("Effective "&amp;K208&amp;" Res", $A$187:$A$193, 0), 1),"")</f>
        <v>0.1</v>
      </c>
      <c r="L216" s="105">
        <f t="shared" si="950"/>
        <v>0.1</v>
      </c>
      <c r="M216" s="105">
        <f t="shared" si="956"/>
        <v>-2.4999999999999994E-2</v>
      </c>
      <c r="N216" s="105">
        <f t="shared" ref="N216:O216" si="993">IFERROR(INDEX(N$187:N$193, MATCH("Effective "&amp;N208&amp;" Res", $A$187:$A$193, 0), 1),"")</f>
        <v>-2.4999999999999994E-2</v>
      </c>
      <c r="O216" s="105">
        <f t="shared" si="993"/>
        <v>-2.4999999999999994E-2</v>
      </c>
      <c r="P216" s="105">
        <f t="shared" si="958"/>
        <v>0.1</v>
      </c>
      <c r="Q216" s="105">
        <f t="shared" si="958"/>
        <v>0.1</v>
      </c>
      <c r="R216" s="105">
        <f t="shared" si="958"/>
        <v>0.1</v>
      </c>
      <c r="S216" s="105">
        <f t="shared" si="958"/>
        <v>0.1</v>
      </c>
      <c r="T216" s="105">
        <f t="shared" ref="T216:U216" si="994">IFERROR(INDEX(T$187:T$193, MATCH("Effective "&amp;T208&amp;" Res", $A$187:$A$193, 0), 1),"")</f>
        <v>0.1</v>
      </c>
      <c r="U216" s="105">
        <f t="shared" si="994"/>
        <v>-2.4999999999999994E-2</v>
      </c>
      <c r="V216" s="105">
        <f t="shared" si="960"/>
        <v>-2.4999999999999994E-2</v>
      </c>
      <c r="W216" s="105">
        <f t="shared" si="960"/>
        <v>-2.4999999999999994E-2</v>
      </c>
      <c r="X216" s="105">
        <f t="shared" si="960"/>
        <v>0.1</v>
      </c>
      <c r="Y216" s="105">
        <f t="shared" si="960"/>
        <v>0.1</v>
      </c>
      <c r="Z216" s="105">
        <f t="shared" si="960"/>
        <v>0.1</v>
      </c>
      <c r="AA216" s="105">
        <f t="shared" si="960"/>
        <v>0.1</v>
      </c>
      <c r="AB216" s="105">
        <f t="shared" si="960"/>
        <v>0.1</v>
      </c>
      <c r="AC216" s="105">
        <f t="shared" si="960"/>
        <v>0.1</v>
      </c>
      <c r="AD216" s="105">
        <f t="shared" ref="AD216" si="995">IFERROR(INDEX(AD$187:AD$193, MATCH("Effective "&amp;AD208&amp;" Res", $A$187:$A$193, 0), 1),"")</f>
        <v>0.1</v>
      </c>
      <c r="AE216" s="105">
        <f t="shared" ref="AE216:AF216" si="996">IFERROR(INDEX(AE$187:AE$193, MATCH("Effective "&amp;AE208&amp;" Res", $A$187:$A$193, 0), 1),"")</f>
        <v>0.1</v>
      </c>
      <c r="AF216" s="105">
        <f t="shared" si="996"/>
        <v>0.1</v>
      </c>
      <c r="AG216" s="105">
        <f t="shared" si="963"/>
        <v>0.1</v>
      </c>
      <c r="AH216" s="105">
        <f t="shared" ref="AH216:AI216" si="997">IFERROR(INDEX(AH$187:AH$193, MATCH("Effective "&amp;AH208&amp;" Res", $A$187:$A$193, 0), 1),"")</f>
        <v>0.1</v>
      </c>
      <c r="AI216" s="105">
        <f t="shared" si="997"/>
        <v>0.1</v>
      </c>
      <c r="AJ216" s="105">
        <f t="shared" ref="AJ216" si="998">IFERROR(INDEX(AJ$187:AJ$193, MATCH("Effective "&amp;AJ208&amp;" Res", $A$187:$A$193, 0), 1),"")</f>
        <v>0.1</v>
      </c>
      <c r="AK216" s="105"/>
      <c r="AL216" s="105"/>
      <c r="AM216" s="105"/>
      <c r="AN216" s="105"/>
      <c r="AO216" s="105"/>
      <c r="AP216" s="105"/>
      <c r="AQ216" s="105"/>
      <c r="AR216" s="105"/>
      <c r="AS216" s="105"/>
      <c r="AT216" s="105"/>
      <c r="AU216" s="105"/>
      <c r="AV216" s="105"/>
      <c r="AW216" s="105"/>
      <c r="AX216" s="105"/>
      <c r="AY216" s="105"/>
      <c r="AZ216" s="105"/>
      <c r="BA216" s="105"/>
      <c r="BB216" s="105"/>
      <c r="BC216" s="105"/>
      <c r="BD216" s="105"/>
      <c r="BE216" s="105"/>
      <c r="BF216" s="105"/>
      <c r="BG216" s="105"/>
      <c r="BH216" s="105"/>
      <c r="BI216" s="105"/>
      <c r="BJ216" s="105"/>
      <c r="BK216" s="105"/>
      <c r="BL216" s="105"/>
      <c r="BM216" s="105"/>
      <c r="BN216" s="105"/>
      <c r="BO216" s="105"/>
      <c r="BP216" s="105"/>
      <c r="BQ216" s="105"/>
      <c r="BR216" s="105"/>
      <c r="BS216" s="105"/>
      <c r="BT216" s="105"/>
    </row>
    <row r="217" spans="1:72" hidden="1" outlineLevel="1" x14ac:dyDescent="0.25">
      <c r="A217" s="112" t="s">
        <v>23</v>
      </c>
      <c r="B217" s="105">
        <f t="shared" si="950"/>
        <v>0.1</v>
      </c>
      <c r="C217" s="105">
        <f t="shared" ref="C217" si="999">IFERROR(INDEX(C$187:C$193, MATCH("Effective "&amp;C209&amp;" Res", $A$187:$A$193, 0), 1),"")</f>
        <v>0.1</v>
      </c>
      <c r="D217" s="105">
        <f t="shared" ref="D217:E217" si="1000">IFERROR(INDEX(D$187:D$193, MATCH("Effective "&amp;D209&amp;" Res", $A$187:$A$193, 0), 1),"")</f>
        <v>0.1</v>
      </c>
      <c r="E217" s="105">
        <f t="shared" si="1000"/>
        <v>0.1</v>
      </c>
      <c r="F217" s="105">
        <f t="shared" si="950"/>
        <v>0.1</v>
      </c>
      <c r="G217" s="105">
        <f t="shared" si="950"/>
        <v>0.1</v>
      </c>
      <c r="H217" s="105">
        <f t="shared" ref="H217" si="1001">IFERROR(INDEX(H$187:H$193, MATCH("Effective "&amp;H209&amp;" Res", $A$187:$A$193, 0), 1),"")</f>
        <v>-2.4999999999999994E-2</v>
      </c>
      <c r="I217" s="105">
        <f t="shared" ref="I217" si="1002">IFERROR(INDEX(I$187:I$193, MATCH("Effective "&amp;I209&amp;" Res", $A$187:$A$193, 0), 1),"")</f>
        <v>0.1</v>
      </c>
      <c r="J217" s="105">
        <f t="shared" si="950"/>
        <v>0.1</v>
      </c>
      <c r="K217" s="105">
        <f t="shared" ref="K217" si="1003">IFERROR(INDEX(K$187:K$193, MATCH("Effective "&amp;K209&amp;" Res", $A$187:$A$193, 0), 1),"")</f>
        <v>0.1</v>
      </c>
      <c r="L217" s="105">
        <f t="shared" si="950"/>
        <v>0.1</v>
      </c>
      <c r="M217" s="105">
        <f t="shared" si="956"/>
        <v>-2.4999999999999994E-2</v>
      </c>
      <c r="N217" s="105">
        <f t="shared" ref="N217:O217" si="1004">IFERROR(INDEX(N$187:N$193, MATCH("Effective "&amp;N209&amp;" Res", $A$187:$A$193, 0), 1),"")</f>
        <v>-2.4999999999999994E-2</v>
      </c>
      <c r="O217" s="105">
        <f t="shared" si="1004"/>
        <v>-2.4999999999999994E-2</v>
      </c>
      <c r="P217" s="105">
        <f t="shared" si="958"/>
        <v>0.1</v>
      </c>
      <c r="Q217" s="105">
        <f t="shared" si="958"/>
        <v>0.1</v>
      </c>
      <c r="R217" s="105">
        <f t="shared" si="958"/>
        <v>0.1</v>
      </c>
      <c r="S217" s="105">
        <f t="shared" si="958"/>
        <v>0.1</v>
      </c>
      <c r="T217" s="105">
        <f t="shared" ref="T217:U217" si="1005">IFERROR(INDEX(T$187:T$193, MATCH("Effective "&amp;T209&amp;" Res", $A$187:$A$193, 0), 1),"")</f>
        <v>0.1</v>
      </c>
      <c r="U217" s="105">
        <f t="shared" si="1005"/>
        <v>-2.4999999999999994E-2</v>
      </c>
      <c r="V217" s="105">
        <f t="shared" si="960"/>
        <v>-2.4999999999999994E-2</v>
      </c>
      <c r="W217" s="105">
        <f t="shared" si="960"/>
        <v>-2.4999999999999994E-2</v>
      </c>
      <c r="X217" s="105">
        <f t="shared" si="960"/>
        <v>0.1</v>
      </c>
      <c r="Y217" s="105">
        <f t="shared" si="960"/>
        <v>0.1</v>
      </c>
      <c r="Z217" s="105">
        <f t="shared" si="960"/>
        <v>0.1</v>
      </c>
      <c r="AA217" s="105">
        <f t="shared" si="960"/>
        <v>0.1</v>
      </c>
      <c r="AB217" s="105">
        <f t="shared" si="960"/>
        <v>0.1</v>
      </c>
      <c r="AC217" s="105">
        <f t="shared" si="960"/>
        <v>0.1</v>
      </c>
      <c r="AD217" s="105">
        <f t="shared" ref="AD217" si="1006">IFERROR(INDEX(AD$187:AD$193, MATCH("Effective "&amp;AD209&amp;" Res", $A$187:$A$193, 0), 1),"")</f>
        <v>0.1</v>
      </c>
      <c r="AE217" s="105">
        <f t="shared" ref="AE217:AF217" si="1007">IFERROR(INDEX(AE$187:AE$193, MATCH("Effective "&amp;AE209&amp;" Res", $A$187:$A$193, 0), 1),"")</f>
        <v>0.1</v>
      </c>
      <c r="AF217" s="105">
        <f t="shared" si="1007"/>
        <v>0.1</v>
      </c>
      <c r="AG217" s="105">
        <f t="shared" si="963"/>
        <v>0.1</v>
      </c>
      <c r="AH217" s="105">
        <f t="shared" ref="AH217:AI217" si="1008">IFERROR(INDEX(AH$187:AH$193, MATCH("Effective "&amp;AH209&amp;" Res", $A$187:$A$193, 0), 1),"")</f>
        <v>0.1</v>
      </c>
      <c r="AI217" s="105">
        <f t="shared" si="1008"/>
        <v>0.1</v>
      </c>
      <c r="AJ217" s="105">
        <f t="shared" ref="AJ217" si="1009">IFERROR(INDEX(AJ$187:AJ$193, MATCH("Effective "&amp;AJ209&amp;" Res", $A$187:$A$193, 0), 1),"")</f>
        <v>0.1</v>
      </c>
      <c r="AK217" s="105"/>
      <c r="AL217" s="105"/>
      <c r="AM217" s="105"/>
      <c r="AN217" s="105"/>
      <c r="AO217" s="105"/>
      <c r="AP217" s="105"/>
      <c r="AQ217" s="105"/>
      <c r="AR217" s="105"/>
      <c r="AS217" s="105"/>
      <c r="AT217" s="105"/>
      <c r="AU217" s="105"/>
      <c r="AV217" s="105"/>
      <c r="AW217" s="105"/>
      <c r="AX217" s="105"/>
      <c r="AY217" s="105"/>
      <c r="AZ217" s="105"/>
      <c r="BA217" s="105"/>
      <c r="BB217" s="105"/>
      <c r="BC217" s="105"/>
      <c r="BD217" s="105"/>
      <c r="BE217" s="105"/>
      <c r="BF217" s="105"/>
      <c r="BG217" s="105"/>
      <c r="BH217" s="105"/>
      <c r="BI217" s="105"/>
      <c r="BJ217" s="105"/>
      <c r="BK217" s="105"/>
      <c r="BL217" s="105"/>
      <c r="BM217" s="105"/>
      <c r="BN217" s="105"/>
      <c r="BO217" s="105"/>
      <c r="BP217" s="105"/>
      <c r="BQ217" s="105"/>
      <c r="BR217" s="105"/>
      <c r="BS217" s="105"/>
      <c r="BT217" s="105"/>
    </row>
    <row r="218" spans="1:72" hidden="1" outlineLevel="1" x14ac:dyDescent="0.25">
      <c r="A218" s="112" t="s">
        <v>0</v>
      </c>
      <c r="B218" s="105">
        <f t="shared" si="950"/>
        <v>0.1</v>
      </c>
      <c r="C218" s="105">
        <f t="shared" ref="C218" si="1010">IFERROR(INDEX(C$187:C$193, MATCH("Effective "&amp;C210&amp;" Res", $A$187:$A$193, 0), 1),"")</f>
        <v>0.1</v>
      </c>
      <c r="D218" s="105">
        <f t="shared" ref="D218:E218" si="1011">IFERROR(INDEX(D$187:D$193, MATCH("Effective "&amp;D210&amp;" Res", $A$187:$A$193, 0), 1),"")</f>
        <v>0.1</v>
      </c>
      <c r="E218" s="105">
        <f t="shared" si="1011"/>
        <v>0.1</v>
      </c>
      <c r="F218" s="105">
        <f t="shared" si="950"/>
        <v>0.1</v>
      </c>
      <c r="G218" s="105">
        <f t="shared" si="950"/>
        <v>0.1</v>
      </c>
      <c r="H218" s="105">
        <f t="shared" ref="H218" si="1012">IFERROR(INDEX(H$187:H$193, MATCH("Effective "&amp;H210&amp;" Res", $A$187:$A$193, 0), 1),"")</f>
        <v>-2.4999999999999994E-2</v>
      </c>
      <c r="I218" s="105">
        <f t="shared" ref="I218" si="1013">IFERROR(INDEX(I$187:I$193, MATCH("Effective "&amp;I210&amp;" Res", $A$187:$A$193, 0), 1),"")</f>
        <v>0.1</v>
      </c>
      <c r="J218" s="105">
        <f t="shared" si="950"/>
        <v>0.1</v>
      </c>
      <c r="K218" s="105">
        <f t="shared" ref="K218" si="1014">IFERROR(INDEX(K$187:K$193, MATCH("Effective "&amp;K210&amp;" Res", $A$187:$A$193, 0), 1),"")</f>
        <v>0.1</v>
      </c>
      <c r="L218" s="105">
        <f t="shared" si="950"/>
        <v>0.1</v>
      </c>
      <c r="M218" s="105">
        <f t="shared" si="956"/>
        <v>-2.4999999999999994E-2</v>
      </c>
      <c r="N218" s="105">
        <f t="shared" ref="N218:O218" si="1015">IFERROR(INDEX(N$187:N$193, MATCH("Effective "&amp;N210&amp;" Res", $A$187:$A$193, 0), 1),"")</f>
        <v>-2.4999999999999994E-2</v>
      </c>
      <c r="O218" s="105">
        <f t="shared" si="1015"/>
        <v>-2.4999999999999994E-2</v>
      </c>
      <c r="P218" s="105">
        <f t="shared" si="958"/>
        <v>0.1</v>
      </c>
      <c r="Q218" s="105">
        <f t="shared" si="958"/>
        <v>0.1</v>
      </c>
      <c r="R218" s="105">
        <f t="shared" si="958"/>
        <v>0.1</v>
      </c>
      <c r="S218" s="105">
        <f t="shared" si="958"/>
        <v>0.1</v>
      </c>
      <c r="T218" s="105">
        <f t="shared" ref="T218:U218" si="1016">IFERROR(INDEX(T$187:T$193, MATCH("Effective "&amp;T210&amp;" Res", $A$187:$A$193, 0), 1),"")</f>
        <v>0.1</v>
      </c>
      <c r="U218" s="105">
        <f t="shared" si="1016"/>
        <v>-2.4999999999999994E-2</v>
      </c>
      <c r="V218" s="105">
        <f t="shared" si="960"/>
        <v>-2.4999999999999994E-2</v>
      </c>
      <c r="W218" s="105">
        <f t="shared" si="960"/>
        <v>-2.4999999999999994E-2</v>
      </c>
      <c r="X218" s="105">
        <f t="shared" si="960"/>
        <v>0.1</v>
      </c>
      <c r="Y218" s="105">
        <f t="shared" si="960"/>
        <v>0.1</v>
      </c>
      <c r="Z218" s="105">
        <f t="shared" si="960"/>
        <v>0.1</v>
      </c>
      <c r="AA218" s="105">
        <f t="shared" si="960"/>
        <v>0.1</v>
      </c>
      <c r="AB218" s="105">
        <f t="shared" si="960"/>
        <v>0.1</v>
      </c>
      <c r="AC218" s="105">
        <f t="shared" si="960"/>
        <v>0.1</v>
      </c>
      <c r="AD218" s="105">
        <f t="shared" ref="AD218" si="1017">IFERROR(INDEX(AD$187:AD$193, MATCH("Effective "&amp;AD210&amp;" Res", $A$187:$A$193, 0), 1),"")</f>
        <v>0.1</v>
      </c>
      <c r="AE218" s="105">
        <f t="shared" ref="AE218:AF218" si="1018">IFERROR(INDEX(AE$187:AE$193, MATCH("Effective "&amp;AE210&amp;" Res", $A$187:$A$193, 0), 1),"")</f>
        <v>0.1</v>
      </c>
      <c r="AF218" s="105">
        <f t="shared" si="1018"/>
        <v>0.1</v>
      </c>
      <c r="AG218" s="105">
        <f t="shared" si="963"/>
        <v>0.1</v>
      </c>
      <c r="AH218" s="105">
        <f t="shared" ref="AH218:AI218" si="1019">IFERROR(INDEX(AH$187:AH$193, MATCH("Effective "&amp;AH210&amp;" Res", $A$187:$A$193, 0), 1),"")</f>
        <v>0.1</v>
      </c>
      <c r="AI218" s="105">
        <f t="shared" si="1019"/>
        <v>0.1</v>
      </c>
      <c r="AJ218" s="105">
        <f t="shared" ref="AJ218" si="1020">IFERROR(INDEX(AJ$187:AJ$193, MATCH("Effective "&amp;AJ210&amp;" Res", $A$187:$A$193, 0), 1),"")</f>
        <v>0.1</v>
      </c>
      <c r="AK218" s="105"/>
      <c r="AL218" s="105"/>
      <c r="AM218" s="105"/>
      <c r="AN218" s="105"/>
      <c r="AO218" s="105"/>
      <c r="AP218" s="105"/>
      <c r="AQ218" s="105"/>
      <c r="AR218" s="105"/>
      <c r="AS218" s="105"/>
      <c r="AT218" s="105"/>
      <c r="AU218" s="105"/>
      <c r="AV218" s="105"/>
      <c r="AW218" s="105"/>
      <c r="AX218" s="105"/>
      <c r="AY218" s="105"/>
      <c r="AZ218" s="105"/>
      <c r="BA218" s="105"/>
      <c r="BB218" s="105"/>
      <c r="BC218" s="105"/>
      <c r="BD218" s="105"/>
      <c r="BE218" s="105"/>
      <c r="BF218" s="105"/>
      <c r="BG218" s="105"/>
      <c r="BH218" s="105"/>
      <c r="BI218" s="105"/>
      <c r="BJ218" s="105"/>
      <c r="BK218" s="105"/>
      <c r="BL218" s="105"/>
      <c r="BM218" s="105"/>
      <c r="BN218" s="105"/>
      <c r="BO218" s="105"/>
      <c r="BP218" s="105"/>
      <c r="BQ218" s="105"/>
      <c r="BR218" s="105"/>
      <c r="BS218" s="105"/>
      <c r="BT218" s="105"/>
    </row>
    <row r="219" spans="1:72" hidden="1" outlineLevel="1" x14ac:dyDescent="0.25">
      <c r="A219" s="112" t="s">
        <v>24</v>
      </c>
      <c r="B219" s="105">
        <f t="shared" si="950"/>
        <v>0.1</v>
      </c>
      <c r="C219" s="105">
        <f t="shared" ref="C219" si="1021">IFERROR(INDEX(C$187:C$193, MATCH("Effective "&amp;C211&amp;" Res", $A$187:$A$193, 0), 1),"")</f>
        <v>0.1</v>
      </c>
      <c r="D219" s="105">
        <f t="shared" ref="D219:E219" si="1022">IFERROR(INDEX(D$187:D$193, MATCH("Effective "&amp;D211&amp;" Res", $A$187:$A$193, 0), 1),"")</f>
        <v>0.1</v>
      </c>
      <c r="E219" s="105">
        <f t="shared" si="1022"/>
        <v>0.1</v>
      </c>
      <c r="F219" s="105">
        <f t="shared" si="950"/>
        <v>0.1</v>
      </c>
      <c r="G219" s="105">
        <f t="shared" si="950"/>
        <v>0.1</v>
      </c>
      <c r="H219" s="105">
        <f t="shared" ref="H219" si="1023">IFERROR(INDEX(H$187:H$193, MATCH("Effective "&amp;H211&amp;" Res", $A$187:$A$193, 0), 1),"")</f>
        <v>-2.4999999999999994E-2</v>
      </c>
      <c r="I219" s="105">
        <f t="shared" ref="I219" si="1024">IFERROR(INDEX(I$187:I$193, MATCH("Effective "&amp;I211&amp;" Res", $A$187:$A$193, 0), 1),"")</f>
        <v>0.1</v>
      </c>
      <c r="J219" s="105">
        <f t="shared" si="950"/>
        <v>0.1</v>
      </c>
      <c r="K219" s="105">
        <f t="shared" ref="K219" si="1025">IFERROR(INDEX(K$187:K$193, MATCH("Effective "&amp;K211&amp;" Res", $A$187:$A$193, 0), 1),"")</f>
        <v>0.1</v>
      </c>
      <c r="L219" s="105">
        <f t="shared" si="950"/>
        <v>0.1</v>
      </c>
      <c r="M219" s="105">
        <f t="shared" si="956"/>
        <v>-2.4999999999999994E-2</v>
      </c>
      <c r="N219" s="105">
        <f t="shared" ref="N219:O219" si="1026">IFERROR(INDEX(N$187:N$193, MATCH("Effective "&amp;N211&amp;" Res", $A$187:$A$193, 0), 1),"")</f>
        <v>-2.4999999999999994E-2</v>
      </c>
      <c r="O219" s="105">
        <f t="shared" si="1026"/>
        <v>-2.4999999999999994E-2</v>
      </c>
      <c r="P219" s="105">
        <f t="shared" si="958"/>
        <v>0.1</v>
      </c>
      <c r="Q219" s="105">
        <f t="shared" si="958"/>
        <v>0.1</v>
      </c>
      <c r="R219" s="105">
        <f t="shared" si="958"/>
        <v>0.1</v>
      </c>
      <c r="S219" s="105">
        <f t="shared" si="958"/>
        <v>0.1</v>
      </c>
      <c r="T219" s="105">
        <f t="shared" ref="T219:U219" si="1027">IFERROR(INDEX(T$187:T$193, MATCH("Effective "&amp;T211&amp;" Res", $A$187:$A$193, 0), 1),"")</f>
        <v>0.1</v>
      </c>
      <c r="U219" s="105">
        <f t="shared" si="1027"/>
        <v>-2.4999999999999994E-2</v>
      </c>
      <c r="V219" s="105">
        <f t="shared" si="960"/>
        <v>-2.4999999999999994E-2</v>
      </c>
      <c r="W219" s="105">
        <f t="shared" si="960"/>
        <v>-2.4999999999999994E-2</v>
      </c>
      <c r="X219" s="105">
        <f t="shared" si="960"/>
        <v>0.1</v>
      </c>
      <c r="Y219" s="105">
        <f t="shared" si="960"/>
        <v>0.1</v>
      </c>
      <c r="Z219" s="105">
        <f t="shared" si="960"/>
        <v>0.1</v>
      </c>
      <c r="AA219" s="105">
        <f t="shared" si="960"/>
        <v>0.1</v>
      </c>
      <c r="AB219" s="105">
        <f t="shared" si="960"/>
        <v>0.1</v>
      </c>
      <c r="AC219" s="105">
        <f t="shared" si="960"/>
        <v>0.1</v>
      </c>
      <c r="AD219" s="105">
        <f t="shared" ref="AD219" si="1028">IFERROR(INDEX(AD$187:AD$193, MATCH("Effective "&amp;AD211&amp;" Res", $A$187:$A$193, 0), 1),"")</f>
        <v>0.1</v>
      </c>
      <c r="AE219" s="105">
        <f t="shared" ref="AE219:AF219" si="1029">IFERROR(INDEX(AE$187:AE$193, MATCH("Effective "&amp;AE211&amp;" Res", $A$187:$A$193, 0), 1),"")</f>
        <v>0.1</v>
      </c>
      <c r="AF219" s="105">
        <f t="shared" si="1029"/>
        <v>0.1</v>
      </c>
      <c r="AG219" s="105">
        <f t="shared" si="963"/>
        <v>0.1</v>
      </c>
      <c r="AH219" s="105">
        <f t="shared" ref="AH219:AI219" si="1030">IFERROR(INDEX(AH$187:AH$193, MATCH("Effective "&amp;AH211&amp;" Res", $A$187:$A$193, 0), 1),"")</f>
        <v>0.1</v>
      </c>
      <c r="AI219" s="105">
        <f t="shared" si="1030"/>
        <v>0.1</v>
      </c>
      <c r="AJ219" s="105">
        <f t="shared" ref="AJ219" si="1031">IFERROR(INDEX(AJ$187:AJ$193, MATCH("Effective "&amp;AJ211&amp;" Res", $A$187:$A$193, 0), 1),"")</f>
        <v>0.1</v>
      </c>
      <c r="AK219" s="105"/>
      <c r="AL219" s="105"/>
      <c r="AM219" s="105"/>
      <c r="AN219" s="105"/>
      <c r="AO219" s="105"/>
      <c r="AP219" s="105"/>
      <c r="AQ219" s="105"/>
      <c r="AR219" s="105"/>
      <c r="AS219" s="105"/>
      <c r="AT219" s="105"/>
      <c r="AU219" s="105"/>
      <c r="AV219" s="105"/>
      <c r="AW219" s="105"/>
      <c r="AX219" s="105"/>
      <c r="AY219" s="105"/>
      <c r="AZ219" s="105"/>
      <c r="BA219" s="105"/>
      <c r="BB219" s="105"/>
      <c r="BC219" s="105"/>
      <c r="BD219" s="105"/>
      <c r="BE219" s="105"/>
      <c r="BF219" s="105"/>
      <c r="BG219" s="105"/>
      <c r="BH219" s="105"/>
      <c r="BI219" s="105"/>
      <c r="BJ219" s="105"/>
      <c r="BK219" s="105"/>
      <c r="BL219" s="105"/>
      <c r="BM219" s="105"/>
      <c r="BN219" s="105"/>
      <c r="BO219" s="105"/>
      <c r="BP219" s="105"/>
      <c r="BQ219" s="105"/>
      <c r="BR219" s="105"/>
      <c r="BS219" s="105"/>
      <c r="BT219" s="105"/>
    </row>
    <row r="220" spans="1:72" s="115" customFormat="1" hidden="1" outlineLevel="1" x14ac:dyDescent="0.25">
      <c r="A220" s="114" t="s">
        <v>673</v>
      </c>
    </row>
    <row r="221" spans="1:72" hidden="1" outlineLevel="1" x14ac:dyDescent="0.25">
      <c r="A221" s="112" t="s">
        <v>674</v>
      </c>
      <c r="B221" s="105">
        <f t="shared" ref="B221:D221" si="1032">IF(B143="", 0, B143)</f>
        <v>0</v>
      </c>
      <c r="C221" s="105">
        <f t="shared" ref="C221" si="1033">IF(C143="", 0, C143)</f>
        <v>0</v>
      </c>
      <c r="D221" s="105">
        <f t="shared" si="1032"/>
        <v>0</v>
      </c>
      <c r="E221" s="105">
        <f t="shared" ref="E221" si="1034">IF(E143="", 0, E143)</f>
        <v>0</v>
      </c>
      <c r="F221" s="105">
        <f t="shared" ref="F221:L221" si="1035">IF(F143="", 0, F143)</f>
        <v>0.2</v>
      </c>
      <c r="G221" s="105">
        <f t="shared" si="1035"/>
        <v>0.2</v>
      </c>
      <c r="H221" s="105">
        <f t="shared" si="1035"/>
        <v>0.2</v>
      </c>
      <c r="I221" s="105">
        <f t="shared" si="1035"/>
        <v>0.2</v>
      </c>
      <c r="J221" s="105">
        <f t="shared" si="1035"/>
        <v>0.12</v>
      </c>
      <c r="K221" s="105">
        <f t="shared" si="1035"/>
        <v>0.12</v>
      </c>
      <c r="L221" s="105">
        <f t="shared" si="1035"/>
        <v>0.12</v>
      </c>
      <c r="M221" s="105">
        <f t="shared" ref="M221:AG221" si="1036">IF(M143="", 0, M143)</f>
        <v>0</v>
      </c>
      <c r="N221" s="105">
        <f t="shared" ref="N221:O221" si="1037">IF(N143="", 0, N143)</f>
        <v>0</v>
      </c>
      <c r="O221" s="105">
        <f t="shared" si="1037"/>
        <v>0</v>
      </c>
      <c r="P221" s="105">
        <f t="shared" si="1036"/>
        <v>0</v>
      </c>
      <c r="Q221" s="105">
        <f t="shared" si="1036"/>
        <v>0</v>
      </c>
      <c r="R221" s="105">
        <f t="shared" si="1036"/>
        <v>0</v>
      </c>
      <c r="S221" s="105">
        <f t="shared" si="1036"/>
        <v>0</v>
      </c>
      <c r="T221" s="105">
        <f t="shared" ref="T221:U221" si="1038">IF(T143="", 0, T143)</f>
        <v>0</v>
      </c>
      <c r="U221" s="105">
        <f t="shared" si="1038"/>
        <v>0</v>
      </c>
      <c r="V221" s="105">
        <f t="shared" si="1036"/>
        <v>0</v>
      </c>
      <c r="W221" s="105">
        <f t="shared" si="1036"/>
        <v>0</v>
      </c>
      <c r="X221" s="105">
        <f t="shared" si="1036"/>
        <v>0</v>
      </c>
      <c r="Y221" s="105">
        <f t="shared" si="1036"/>
        <v>0</v>
      </c>
      <c r="Z221" s="105">
        <f t="shared" si="1036"/>
        <v>0</v>
      </c>
      <c r="AA221" s="105">
        <f t="shared" ref="AA221:AC221" si="1039">IF(AA143="", 0, AA143)</f>
        <v>0</v>
      </c>
      <c r="AB221" s="105">
        <f t="shared" si="1039"/>
        <v>0</v>
      </c>
      <c r="AC221" s="105">
        <f t="shared" si="1039"/>
        <v>0</v>
      </c>
      <c r="AD221" s="105">
        <f t="shared" ref="AD221" si="1040">IF(AD143="", 0, AD143)</f>
        <v>0</v>
      </c>
      <c r="AE221" s="105">
        <f t="shared" ref="AE221:AF221" si="1041">IF(AE143="", 0, AE143)</f>
        <v>0</v>
      </c>
      <c r="AF221" s="105">
        <f t="shared" si="1041"/>
        <v>0</v>
      </c>
      <c r="AG221" s="105">
        <f t="shared" si="1036"/>
        <v>0</v>
      </c>
      <c r="AH221" s="105">
        <f t="shared" ref="AH221:AI221" si="1042">IF(AH143="", 0, AH143)</f>
        <v>0</v>
      </c>
      <c r="AI221" s="105">
        <f t="shared" si="1042"/>
        <v>0.12</v>
      </c>
      <c r="AJ221" s="105">
        <f t="shared" ref="AJ221" si="1043">IF(AJ143="", 0, AJ143)</f>
        <v>0.12</v>
      </c>
      <c r="AK221" s="105"/>
      <c r="AL221" s="105"/>
      <c r="AM221" s="105"/>
      <c r="AN221" s="105"/>
      <c r="AO221" s="105"/>
      <c r="AP221" s="105"/>
      <c r="AQ221" s="105"/>
      <c r="AR221" s="105"/>
      <c r="AS221" s="105"/>
      <c r="AT221" s="105"/>
      <c r="AU221" s="105"/>
      <c r="AV221" s="105"/>
      <c r="AW221" s="105"/>
      <c r="AX221" s="105"/>
      <c r="AY221" s="105"/>
      <c r="AZ221" s="105"/>
      <c r="BA221" s="105"/>
      <c r="BB221" s="105"/>
      <c r="BC221" s="105"/>
      <c r="BD221" s="105"/>
      <c r="BE221" s="105"/>
      <c r="BF221" s="105"/>
      <c r="BG221" s="105"/>
      <c r="BH221" s="105"/>
      <c r="BI221" s="105"/>
      <c r="BJ221" s="105"/>
      <c r="BK221" s="105"/>
      <c r="BL221" s="105"/>
      <c r="BM221" s="105"/>
      <c r="BN221" s="105"/>
      <c r="BO221" s="105"/>
      <c r="BP221" s="105"/>
      <c r="BQ221" s="105"/>
      <c r="BR221" s="105"/>
      <c r="BS221" s="105"/>
      <c r="BT221" s="105"/>
    </row>
    <row r="222" spans="1:72" hidden="1" outlineLevel="1" x14ac:dyDescent="0.25">
      <c r="A222" s="112" t="s">
        <v>77</v>
      </c>
      <c r="B222" s="105">
        <f t="shared" ref="B222:D222" si="1044">IF(B151="", 0, B151)</f>
        <v>0</v>
      </c>
      <c r="C222" s="105">
        <f t="shared" ref="C222" si="1045">IF(C151="", 0, C151)</f>
        <v>0</v>
      </c>
      <c r="D222" s="105">
        <f t="shared" si="1044"/>
        <v>0</v>
      </c>
      <c r="E222" s="105">
        <f t="shared" ref="E222" si="1046">IF(E151="", 0, E151)</f>
        <v>0</v>
      </c>
      <c r="F222" s="105">
        <f t="shared" ref="F222:L226" si="1047">IF(F151="", 0, F151)</f>
        <v>0</v>
      </c>
      <c r="G222" s="105">
        <f t="shared" si="1047"/>
        <v>0</v>
      </c>
      <c r="H222" s="105">
        <f t="shared" ref="H222" si="1048">IF(H151="", 0, H151)</f>
        <v>0</v>
      </c>
      <c r="I222" s="105">
        <f t="shared" ref="I222" si="1049">IF(I151="", 0, I151)</f>
        <v>0</v>
      </c>
      <c r="J222" s="105">
        <f t="shared" si="1047"/>
        <v>0</v>
      </c>
      <c r="K222" s="105">
        <f t="shared" ref="K222" si="1050">IF(K151="", 0, K151)</f>
        <v>0</v>
      </c>
      <c r="L222" s="105">
        <f t="shared" si="1047"/>
        <v>0</v>
      </c>
      <c r="M222" s="105">
        <f t="shared" ref="M222:AG222" si="1051">IF(M151="", 0, M151)</f>
        <v>0</v>
      </c>
      <c r="N222" s="105">
        <f t="shared" ref="N222:O222" si="1052">IF(N151="", 0, N151)</f>
        <v>0</v>
      </c>
      <c r="O222" s="105">
        <f t="shared" si="1052"/>
        <v>0</v>
      </c>
      <c r="P222" s="105">
        <f t="shared" si="1051"/>
        <v>0</v>
      </c>
      <c r="Q222" s="105">
        <f t="shared" si="1051"/>
        <v>0</v>
      </c>
      <c r="R222" s="105">
        <f t="shared" si="1051"/>
        <v>0</v>
      </c>
      <c r="S222" s="105">
        <f t="shared" si="1051"/>
        <v>0</v>
      </c>
      <c r="T222" s="105">
        <f t="shared" ref="T222:U222" si="1053">IF(T151="", 0, T151)</f>
        <v>0</v>
      </c>
      <c r="U222" s="105">
        <f t="shared" si="1053"/>
        <v>0</v>
      </c>
      <c r="V222" s="105">
        <f t="shared" si="1051"/>
        <v>0</v>
      </c>
      <c r="W222" s="105">
        <f t="shared" si="1051"/>
        <v>0</v>
      </c>
      <c r="X222" s="105">
        <f t="shared" si="1051"/>
        <v>0</v>
      </c>
      <c r="Y222" s="105">
        <f t="shared" si="1051"/>
        <v>0</v>
      </c>
      <c r="Z222" s="105">
        <f t="shared" si="1051"/>
        <v>0</v>
      </c>
      <c r="AA222" s="105">
        <f t="shared" ref="AA222:AC222" si="1054">IF(AA151="", 0, AA151)</f>
        <v>0</v>
      </c>
      <c r="AB222" s="105">
        <f t="shared" si="1054"/>
        <v>0</v>
      </c>
      <c r="AC222" s="105">
        <f t="shared" si="1054"/>
        <v>0</v>
      </c>
      <c r="AD222" s="105">
        <f t="shared" ref="AD222" si="1055">IF(AD151="", 0, AD151)</f>
        <v>0</v>
      </c>
      <c r="AE222" s="105">
        <f t="shared" ref="AE222:AF222" si="1056">IF(AE151="", 0, AE151)</f>
        <v>0</v>
      </c>
      <c r="AF222" s="105">
        <f t="shared" si="1056"/>
        <v>0</v>
      </c>
      <c r="AG222" s="105">
        <f t="shared" si="1051"/>
        <v>0</v>
      </c>
      <c r="AH222" s="105">
        <f t="shared" ref="AH222:AI222" si="1057">IF(AH151="", 0, AH151)</f>
        <v>0</v>
      </c>
      <c r="AI222" s="105">
        <f t="shared" si="1057"/>
        <v>0</v>
      </c>
      <c r="AJ222" s="105">
        <f t="shared" ref="AJ222" si="1058">IF(AJ151="", 0, AJ151)</f>
        <v>0</v>
      </c>
      <c r="AK222" s="105"/>
      <c r="AL222" s="105"/>
      <c r="AM222" s="105"/>
      <c r="AN222" s="105"/>
      <c r="AO222" s="105"/>
      <c r="AP222" s="105"/>
      <c r="AQ222" s="105"/>
      <c r="AR222" s="105"/>
      <c r="AS222" s="105"/>
      <c r="AT222" s="105"/>
      <c r="AU222" s="105"/>
      <c r="AV222" s="105"/>
      <c r="AW222" s="105"/>
      <c r="AX222" s="105"/>
      <c r="AY222" s="105"/>
      <c r="AZ222" s="105"/>
      <c r="BA222" s="105"/>
      <c r="BB222" s="105"/>
      <c r="BC222" s="105"/>
      <c r="BD222" s="105"/>
      <c r="BE222" s="105"/>
      <c r="BF222" s="105"/>
      <c r="BG222" s="105"/>
      <c r="BH222" s="105"/>
      <c r="BI222" s="105"/>
      <c r="BJ222" s="105"/>
      <c r="BK222" s="105"/>
      <c r="BL222" s="105"/>
      <c r="BM222" s="105"/>
      <c r="BN222" s="105"/>
      <c r="BO222" s="105"/>
      <c r="BP222" s="105"/>
      <c r="BQ222" s="105"/>
      <c r="BR222" s="105"/>
      <c r="BS222" s="105"/>
      <c r="BT222" s="105"/>
    </row>
    <row r="223" spans="1:72" hidden="1" outlineLevel="1" x14ac:dyDescent="0.25">
      <c r="A223" s="112" t="s">
        <v>78</v>
      </c>
      <c r="B223" s="105">
        <f t="shared" ref="B223:D223" si="1059">IF(B152="", 0, B152)</f>
        <v>0</v>
      </c>
      <c r="C223" s="105">
        <f t="shared" ref="C223" si="1060">IF(C152="", 0, C152)</f>
        <v>0</v>
      </c>
      <c r="D223" s="105">
        <f t="shared" si="1059"/>
        <v>0</v>
      </c>
      <c r="E223" s="105">
        <f t="shared" ref="E223" si="1061">IF(E152="", 0, E152)</f>
        <v>0</v>
      </c>
      <c r="F223" s="105">
        <f t="shared" si="1047"/>
        <v>0</v>
      </c>
      <c r="G223" s="105">
        <f t="shared" si="1047"/>
        <v>0</v>
      </c>
      <c r="H223" s="105">
        <f t="shared" ref="H223" si="1062">IF(H152="", 0, H152)</f>
        <v>0</v>
      </c>
      <c r="I223" s="105">
        <f t="shared" ref="I223" si="1063">IF(I152="", 0, I152)</f>
        <v>0</v>
      </c>
      <c r="J223" s="105">
        <f t="shared" si="1047"/>
        <v>0</v>
      </c>
      <c r="K223" s="105">
        <f t="shared" ref="K223" si="1064">IF(K152="", 0, K152)</f>
        <v>0</v>
      </c>
      <c r="L223" s="105">
        <f t="shared" si="1047"/>
        <v>0</v>
      </c>
      <c r="M223" s="105">
        <f t="shared" ref="M223:AG223" si="1065">IF(M152="", 0, M152)</f>
        <v>0</v>
      </c>
      <c r="N223" s="105">
        <f t="shared" ref="N223:O223" si="1066">IF(N152="", 0, N152)</f>
        <v>0</v>
      </c>
      <c r="O223" s="105">
        <f t="shared" si="1066"/>
        <v>0</v>
      </c>
      <c r="P223" s="105">
        <f t="shared" si="1065"/>
        <v>0</v>
      </c>
      <c r="Q223" s="105">
        <f t="shared" si="1065"/>
        <v>0</v>
      </c>
      <c r="R223" s="105">
        <f t="shared" si="1065"/>
        <v>0</v>
      </c>
      <c r="S223" s="105">
        <f t="shared" si="1065"/>
        <v>0</v>
      </c>
      <c r="T223" s="105">
        <f t="shared" ref="T223:U223" si="1067">IF(T152="", 0, T152)</f>
        <v>0</v>
      </c>
      <c r="U223" s="105">
        <f t="shared" si="1067"/>
        <v>0</v>
      </c>
      <c r="V223" s="105">
        <f t="shared" si="1065"/>
        <v>0</v>
      </c>
      <c r="W223" s="105">
        <f t="shared" si="1065"/>
        <v>0</v>
      </c>
      <c r="X223" s="105">
        <f t="shared" si="1065"/>
        <v>0</v>
      </c>
      <c r="Y223" s="105">
        <f t="shared" si="1065"/>
        <v>0</v>
      </c>
      <c r="Z223" s="105">
        <f t="shared" si="1065"/>
        <v>0</v>
      </c>
      <c r="AA223" s="105">
        <f t="shared" ref="AA223:AC223" si="1068">IF(AA152="", 0, AA152)</f>
        <v>0</v>
      </c>
      <c r="AB223" s="105">
        <f t="shared" si="1068"/>
        <v>0</v>
      </c>
      <c r="AC223" s="105">
        <f t="shared" si="1068"/>
        <v>0</v>
      </c>
      <c r="AD223" s="105">
        <f t="shared" ref="AD223" si="1069">IF(AD152="", 0, AD152)</f>
        <v>0</v>
      </c>
      <c r="AE223" s="105">
        <f t="shared" ref="AE223:AF223" si="1070">IF(AE152="", 0, AE152)</f>
        <v>0</v>
      </c>
      <c r="AF223" s="105">
        <f t="shared" si="1070"/>
        <v>0</v>
      </c>
      <c r="AG223" s="105">
        <f t="shared" si="1065"/>
        <v>0</v>
      </c>
      <c r="AH223" s="105">
        <f t="shared" ref="AH223:AI223" si="1071">IF(AH152="", 0, AH152)</f>
        <v>0</v>
      </c>
      <c r="AI223" s="105">
        <f t="shared" si="1071"/>
        <v>0</v>
      </c>
      <c r="AJ223" s="105">
        <f t="shared" ref="AJ223" si="1072">IF(AJ152="", 0, AJ152)</f>
        <v>0</v>
      </c>
      <c r="AK223" s="105"/>
      <c r="AL223" s="105"/>
      <c r="AM223" s="105"/>
      <c r="AN223" s="105"/>
      <c r="AO223" s="105"/>
      <c r="AP223" s="105"/>
      <c r="AQ223" s="105"/>
      <c r="AR223" s="105"/>
      <c r="AS223" s="105"/>
      <c r="AT223" s="105"/>
      <c r="AU223" s="105"/>
      <c r="AV223" s="105"/>
      <c r="AW223" s="105"/>
      <c r="AX223" s="105"/>
      <c r="AY223" s="105"/>
      <c r="AZ223" s="105"/>
      <c r="BA223" s="105"/>
      <c r="BB223" s="105"/>
      <c r="BC223" s="105"/>
      <c r="BD223" s="105"/>
      <c r="BE223" s="105"/>
      <c r="BF223" s="105"/>
      <c r="BG223" s="105"/>
      <c r="BH223" s="105"/>
      <c r="BI223" s="105"/>
      <c r="BJ223" s="105"/>
      <c r="BK223" s="105"/>
      <c r="BL223" s="105"/>
      <c r="BM223" s="105"/>
      <c r="BN223" s="105"/>
      <c r="BO223" s="105"/>
      <c r="BP223" s="105"/>
      <c r="BQ223" s="105"/>
      <c r="BR223" s="105"/>
      <c r="BS223" s="105"/>
      <c r="BT223" s="105"/>
    </row>
    <row r="224" spans="1:72" hidden="1" outlineLevel="1" x14ac:dyDescent="0.25">
      <c r="A224" s="112" t="s">
        <v>675</v>
      </c>
      <c r="B224" s="105">
        <f t="shared" ref="B224:D224" si="1073">IF(B153="", 0, B153)</f>
        <v>0</v>
      </c>
      <c r="C224" s="105">
        <f t="shared" ref="C224" si="1074">IF(C153="", 0, C153)</f>
        <v>0</v>
      </c>
      <c r="D224" s="105">
        <f t="shared" si="1073"/>
        <v>0</v>
      </c>
      <c r="E224" s="105">
        <f t="shared" ref="E224" si="1075">IF(E153="", 0, E153)</f>
        <v>0</v>
      </c>
      <c r="F224" s="105">
        <f t="shared" si="1047"/>
        <v>0</v>
      </c>
      <c r="G224" s="105">
        <f t="shared" si="1047"/>
        <v>0</v>
      </c>
      <c r="H224" s="105">
        <f t="shared" ref="H224" si="1076">IF(H153="", 0, H153)</f>
        <v>0</v>
      </c>
      <c r="I224" s="105">
        <f t="shared" ref="I224" si="1077">IF(I153="", 0, I153)</f>
        <v>0</v>
      </c>
      <c r="J224" s="105">
        <f t="shared" si="1047"/>
        <v>0</v>
      </c>
      <c r="K224" s="105">
        <f t="shared" ref="K224" si="1078">IF(K153="", 0, K153)</f>
        <v>0</v>
      </c>
      <c r="L224" s="105">
        <f t="shared" si="1047"/>
        <v>0</v>
      </c>
      <c r="M224" s="105">
        <f t="shared" ref="M224:AG224" si="1079">IF(M153="", 0, M153)</f>
        <v>0</v>
      </c>
      <c r="N224" s="105">
        <f t="shared" ref="N224:O224" si="1080">IF(N153="", 0, N153)</f>
        <v>0</v>
      </c>
      <c r="O224" s="105">
        <f t="shared" si="1080"/>
        <v>0</v>
      </c>
      <c r="P224" s="105">
        <f t="shared" si="1079"/>
        <v>0</v>
      </c>
      <c r="Q224" s="105">
        <f t="shared" si="1079"/>
        <v>0</v>
      </c>
      <c r="R224" s="105">
        <f t="shared" si="1079"/>
        <v>0</v>
      </c>
      <c r="S224" s="105">
        <f t="shared" si="1079"/>
        <v>0</v>
      </c>
      <c r="T224" s="105">
        <f t="shared" ref="T224:U224" si="1081">IF(T153="", 0, T153)</f>
        <v>0</v>
      </c>
      <c r="U224" s="105">
        <f t="shared" si="1081"/>
        <v>0</v>
      </c>
      <c r="V224" s="105">
        <f t="shared" si="1079"/>
        <v>0</v>
      </c>
      <c r="W224" s="105">
        <f t="shared" si="1079"/>
        <v>0</v>
      </c>
      <c r="X224" s="105">
        <f t="shared" si="1079"/>
        <v>0</v>
      </c>
      <c r="Y224" s="105">
        <f t="shared" si="1079"/>
        <v>0</v>
      </c>
      <c r="Z224" s="105">
        <f t="shared" si="1079"/>
        <v>0</v>
      </c>
      <c r="AA224" s="105">
        <f t="shared" ref="AA224:AC224" si="1082">IF(AA153="", 0, AA153)</f>
        <v>0</v>
      </c>
      <c r="AB224" s="105">
        <f t="shared" si="1082"/>
        <v>0</v>
      </c>
      <c r="AC224" s="105">
        <f t="shared" si="1082"/>
        <v>0</v>
      </c>
      <c r="AD224" s="105">
        <f t="shared" ref="AD224" si="1083">IF(AD153="", 0, AD153)</f>
        <v>0</v>
      </c>
      <c r="AE224" s="105">
        <f t="shared" ref="AE224:AF224" si="1084">IF(AE153="", 0, AE153)</f>
        <v>0</v>
      </c>
      <c r="AF224" s="105">
        <f t="shared" si="1084"/>
        <v>0</v>
      </c>
      <c r="AG224" s="105">
        <f t="shared" si="1079"/>
        <v>0</v>
      </c>
      <c r="AH224" s="105">
        <f t="shared" ref="AH224:AI224" si="1085">IF(AH153="", 0, AH153)</f>
        <v>0</v>
      </c>
      <c r="AI224" s="105">
        <f t="shared" si="1085"/>
        <v>0</v>
      </c>
      <c r="AJ224" s="105">
        <f t="shared" ref="AJ224" si="1086">IF(AJ153="", 0, AJ153)</f>
        <v>0</v>
      </c>
      <c r="AK224" s="105"/>
      <c r="AL224" s="105"/>
      <c r="AM224" s="105"/>
      <c r="AN224" s="105"/>
      <c r="AO224" s="105"/>
      <c r="AP224" s="105"/>
      <c r="AQ224" s="105"/>
      <c r="AR224" s="105"/>
      <c r="AS224" s="105"/>
      <c r="AT224" s="105"/>
      <c r="AU224" s="105"/>
      <c r="AV224" s="105"/>
      <c r="AW224" s="105"/>
      <c r="AX224" s="105"/>
      <c r="AY224" s="105"/>
      <c r="AZ224" s="105"/>
      <c r="BA224" s="105"/>
      <c r="BB224" s="105"/>
      <c r="BC224" s="105"/>
      <c r="BD224" s="105"/>
      <c r="BE224" s="105"/>
      <c r="BF224" s="105"/>
      <c r="BG224" s="105"/>
      <c r="BH224" s="105"/>
      <c r="BI224" s="105"/>
      <c r="BJ224" s="105"/>
      <c r="BK224" s="105"/>
      <c r="BL224" s="105"/>
      <c r="BM224" s="105"/>
      <c r="BN224" s="105"/>
      <c r="BO224" s="105"/>
      <c r="BP224" s="105"/>
      <c r="BQ224" s="105"/>
      <c r="BR224" s="105"/>
      <c r="BS224" s="105"/>
      <c r="BT224" s="105"/>
    </row>
    <row r="225" spans="1:72" hidden="1" outlineLevel="1" x14ac:dyDescent="0.25">
      <c r="A225" s="112" t="s">
        <v>80</v>
      </c>
      <c r="B225" s="105">
        <f t="shared" ref="B225:D225" si="1087">IF(B154="", 0, B154)</f>
        <v>0</v>
      </c>
      <c r="C225" s="105">
        <f t="shared" ref="C225" si="1088">IF(C154="", 0, C154)</f>
        <v>0</v>
      </c>
      <c r="D225" s="105">
        <f t="shared" si="1087"/>
        <v>0</v>
      </c>
      <c r="E225" s="105">
        <f t="shared" ref="E225" si="1089">IF(E154="", 0, E154)</f>
        <v>0</v>
      </c>
      <c r="F225" s="105">
        <f t="shared" si="1047"/>
        <v>0</v>
      </c>
      <c r="G225" s="105">
        <f t="shared" si="1047"/>
        <v>0</v>
      </c>
      <c r="H225" s="105">
        <f t="shared" ref="H225" si="1090">IF(H154="", 0, H154)</f>
        <v>0</v>
      </c>
      <c r="I225" s="105">
        <f t="shared" ref="I225" si="1091">IF(I154="", 0, I154)</f>
        <v>0</v>
      </c>
      <c r="J225" s="105">
        <f t="shared" si="1047"/>
        <v>0</v>
      </c>
      <c r="K225" s="105">
        <f t="shared" ref="K225" si="1092">IF(K154="", 0, K154)</f>
        <v>0</v>
      </c>
      <c r="L225" s="105">
        <f t="shared" si="1047"/>
        <v>0</v>
      </c>
      <c r="M225" s="105">
        <f t="shared" ref="M225:AG225" si="1093">IF(M154="", 0, M154)</f>
        <v>0</v>
      </c>
      <c r="N225" s="105">
        <f t="shared" ref="N225:O225" si="1094">IF(N154="", 0, N154)</f>
        <v>0</v>
      </c>
      <c r="O225" s="105">
        <f t="shared" si="1094"/>
        <v>0</v>
      </c>
      <c r="P225" s="105">
        <f t="shared" si="1093"/>
        <v>0</v>
      </c>
      <c r="Q225" s="105">
        <f t="shared" si="1093"/>
        <v>0</v>
      </c>
      <c r="R225" s="105">
        <f t="shared" si="1093"/>
        <v>0</v>
      </c>
      <c r="S225" s="105">
        <f t="shared" si="1093"/>
        <v>0</v>
      </c>
      <c r="T225" s="105">
        <f t="shared" ref="T225:U225" si="1095">IF(T154="", 0, T154)</f>
        <v>0</v>
      </c>
      <c r="U225" s="105">
        <f t="shared" si="1095"/>
        <v>0</v>
      </c>
      <c r="V225" s="105">
        <f t="shared" si="1093"/>
        <v>0</v>
      </c>
      <c r="W225" s="105">
        <f t="shared" si="1093"/>
        <v>0</v>
      </c>
      <c r="X225" s="105">
        <f t="shared" si="1093"/>
        <v>0</v>
      </c>
      <c r="Y225" s="105">
        <f t="shared" si="1093"/>
        <v>0</v>
      </c>
      <c r="Z225" s="105">
        <f t="shared" si="1093"/>
        <v>0</v>
      </c>
      <c r="AA225" s="105">
        <f t="shared" ref="AA225:AC225" si="1096">IF(AA154="", 0, AA154)</f>
        <v>0</v>
      </c>
      <c r="AB225" s="105">
        <f t="shared" si="1096"/>
        <v>0</v>
      </c>
      <c r="AC225" s="105">
        <f t="shared" si="1096"/>
        <v>0</v>
      </c>
      <c r="AD225" s="105">
        <f t="shared" ref="AD225" si="1097">IF(AD154="", 0, AD154)</f>
        <v>0</v>
      </c>
      <c r="AE225" s="105">
        <f t="shared" ref="AE225:AF225" si="1098">IF(AE154="", 0, AE154)</f>
        <v>0</v>
      </c>
      <c r="AF225" s="105">
        <f t="shared" si="1098"/>
        <v>0</v>
      </c>
      <c r="AG225" s="105">
        <f t="shared" si="1093"/>
        <v>0</v>
      </c>
      <c r="AH225" s="105">
        <f t="shared" ref="AH225:AI225" si="1099">IF(AH154="", 0, AH154)</f>
        <v>0</v>
      </c>
      <c r="AI225" s="105">
        <f t="shared" si="1099"/>
        <v>0</v>
      </c>
      <c r="AJ225" s="105">
        <f t="shared" ref="AJ225" si="1100">IF(AJ154="", 0, AJ154)</f>
        <v>0</v>
      </c>
      <c r="AK225" s="105"/>
      <c r="AL225" s="105"/>
      <c r="AM225" s="105"/>
      <c r="AN225" s="105"/>
      <c r="AO225" s="105"/>
      <c r="AP225" s="105"/>
      <c r="AQ225" s="105"/>
      <c r="AR225" s="105"/>
      <c r="AS225" s="105"/>
      <c r="AT225" s="105"/>
      <c r="AU225" s="105"/>
      <c r="AV225" s="105"/>
      <c r="AW225" s="105"/>
      <c r="AX225" s="105"/>
      <c r="AY225" s="105"/>
      <c r="AZ225" s="105"/>
      <c r="BA225" s="105"/>
      <c r="BB225" s="105"/>
      <c r="BC225" s="105"/>
      <c r="BD225" s="105"/>
      <c r="BE225" s="105"/>
      <c r="BF225" s="105"/>
      <c r="BG225" s="105"/>
      <c r="BH225" s="105"/>
      <c r="BI225" s="105"/>
      <c r="BJ225" s="105"/>
      <c r="BK225" s="105"/>
      <c r="BL225" s="105"/>
      <c r="BM225" s="105"/>
      <c r="BN225" s="105"/>
      <c r="BO225" s="105"/>
      <c r="BP225" s="105"/>
      <c r="BQ225" s="105"/>
      <c r="BR225" s="105"/>
      <c r="BS225" s="105"/>
      <c r="BT225" s="105"/>
    </row>
    <row r="226" spans="1:72" hidden="1" outlineLevel="1" x14ac:dyDescent="0.25">
      <c r="A226" s="112" t="s">
        <v>81</v>
      </c>
      <c r="B226" s="105">
        <f t="shared" ref="B226:D226" ca="1" si="1101">IF(B155="", 0, B155)</f>
        <v>1.1123000000000001</v>
      </c>
      <c r="C226" s="105">
        <f t="shared" ref="C226" ca="1" si="1102">IF(C155="", 0, C155)</f>
        <v>1.1123000000000001</v>
      </c>
      <c r="D226" s="105">
        <f t="shared" ca="1" si="1101"/>
        <v>1.1123000000000001</v>
      </c>
      <c r="E226" s="105">
        <f t="shared" ref="E226" ca="1" si="1103">IF(E155="", 0, E155)</f>
        <v>1.1123000000000001</v>
      </c>
      <c r="F226" s="105">
        <f t="shared" si="1047"/>
        <v>0.69704999999999995</v>
      </c>
      <c r="G226" s="105">
        <f t="shared" si="1047"/>
        <v>0.69704999999999995</v>
      </c>
      <c r="H226" s="105">
        <f t="shared" ref="H226" si="1104">IF(H155="", 0, H155)</f>
        <v>0.69704999999999995</v>
      </c>
      <c r="I226" s="105">
        <f t="shared" ref="I226" si="1105">IF(I155="", 0, I155)</f>
        <v>0.69704999999999995</v>
      </c>
      <c r="J226" s="105">
        <f t="shared" si="1047"/>
        <v>0.38</v>
      </c>
      <c r="K226" s="105">
        <f t="shared" ref="K226" si="1106">IF(K155="", 0, K155)</f>
        <v>0.38</v>
      </c>
      <c r="L226" s="105">
        <f t="shared" si="1047"/>
        <v>0.38</v>
      </c>
      <c r="M226" s="105">
        <f t="shared" ref="M226:AG226" si="1107">IF(M155="", 0, M155)</f>
        <v>0.56000000000000005</v>
      </c>
      <c r="N226" s="105">
        <f t="shared" ref="N226:O226" si="1108">IF(N155="", 0, N155)</f>
        <v>0.56000000000000005</v>
      </c>
      <c r="O226" s="105">
        <f t="shared" si="1108"/>
        <v>0.56000000000000005</v>
      </c>
      <c r="P226" s="105">
        <f t="shared" si="1107"/>
        <v>0.56000000000000005</v>
      </c>
      <c r="Q226" s="105">
        <f t="shared" si="1107"/>
        <v>0.56000000000000005</v>
      </c>
      <c r="R226" s="105">
        <f t="shared" si="1107"/>
        <v>0.56000000000000005</v>
      </c>
      <c r="S226" s="105">
        <f t="shared" si="1107"/>
        <v>0.56000000000000005</v>
      </c>
      <c r="T226" s="105">
        <f t="shared" ref="T226:U226" si="1109">IF(T155="", 0, T155)</f>
        <v>0.56000000000000005</v>
      </c>
      <c r="U226" s="105">
        <f t="shared" si="1109"/>
        <v>0.56000000000000005</v>
      </c>
      <c r="V226" s="105">
        <f t="shared" si="1107"/>
        <v>0.56000000000000005</v>
      </c>
      <c r="W226" s="105">
        <f t="shared" si="1107"/>
        <v>0.56000000000000005</v>
      </c>
      <c r="X226" s="105">
        <f t="shared" ca="1" si="1107"/>
        <v>1.1123000000000001</v>
      </c>
      <c r="Y226" s="105">
        <f t="shared" ca="1" si="1107"/>
        <v>1.1123000000000001</v>
      </c>
      <c r="Z226" s="105">
        <f t="shared" ca="1" si="1107"/>
        <v>1.1123000000000001</v>
      </c>
      <c r="AA226" s="105">
        <f t="shared" ref="AA226:AC226" ca="1" si="1110">IF(AA155="", 0, AA155)</f>
        <v>1.1123000000000001</v>
      </c>
      <c r="AB226" s="105">
        <f t="shared" ca="1" si="1110"/>
        <v>1.1123000000000001</v>
      </c>
      <c r="AC226" s="105">
        <f t="shared" ca="1" si="1110"/>
        <v>1.1123000000000001</v>
      </c>
      <c r="AD226" s="105">
        <f t="shared" ref="AD226" ca="1" si="1111">IF(AD155="", 0, AD155)</f>
        <v>1.1123000000000001</v>
      </c>
      <c r="AE226" s="105">
        <f t="shared" ref="AE226:AF226" ca="1" si="1112">IF(AE155="", 0, AE155)</f>
        <v>1.1123000000000001</v>
      </c>
      <c r="AF226" s="105">
        <f t="shared" ca="1" si="1112"/>
        <v>1.1123000000000001</v>
      </c>
      <c r="AG226" s="105">
        <f t="shared" si="1107"/>
        <v>0.56000000000000005</v>
      </c>
      <c r="AH226" s="105">
        <f t="shared" ref="AH226:AI226" si="1113">IF(AH155="", 0, AH155)</f>
        <v>0.56000000000000005</v>
      </c>
      <c r="AI226" s="105">
        <f t="shared" si="1113"/>
        <v>0.38</v>
      </c>
      <c r="AJ226" s="105">
        <f t="shared" ref="AJ226" si="1114">IF(AJ155="", 0, AJ155)</f>
        <v>0.38</v>
      </c>
      <c r="AK226" s="105"/>
      <c r="AL226" s="105"/>
      <c r="AM226" s="105"/>
      <c r="AN226" s="105"/>
      <c r="AO226" s="105"/>
      <c r="AP226" s="105"/>
      <c r="AQ226" s="105"/>
      <c r="AR226" s="105"/>
      <c r="AS226" s="105"/>
      <c r="AT226" s="105"/>
      <c r="AU226" s="105"/>
      <c r="AV226" s="105"/>
      <c r="AW226" s="105"/>
      <c r="AX226" s="105"/>
      <c r="AY226" s="105"/>
      <c r="AZ226" s="105"/>
      <c r="BA226" s="105"/>
      <c r="BB226" s="105"/>
      <c r="BC226" s="105"/>
      <c r="BD226" s="105"/>
      <c r="BE226" s="105"/>
      <c r="BF226" s="105"/>
      <c r="BG226" s="105"/>
      <c r="BH226" s="105"/>
      <c r="BI226" s="105"/>
      <c r="BJ226" s="105"/>
      <c r="BK226" s="105"/>
      <c r="BL226" s="105"/>
      <c r="BM226" s="105"/>
      <c r="BN226" s="105"/>
      <c r="BO226" s="105"/>
      <c r="BP226" s="105"/>
      <c r="BQ226" s="105"/>
      <c r="BR226" s="105"/>
      <c r="BS226" s="105"/>
      <c r="BT226" s="105"/>
    </row>
    <row r="227" spans="1:72" hidden="1" outlineLevel="1" x14ac:dyDescent="0.25">
      <c r="A227" s="112" t="s">
        <v>6</v>
      </c>
      <c r="B227" s="105">
        <f t="shared" ref="B227:M227" ca="1" si="1115">IFERROR(IF(INDEX(B$144:B$150, MATCH(B205&amp;" DMG%", $A$144:$A$150, 0), 1)="", 0,INDEX(B$144:B$150, MATCH(B205&amp;" DMG%", $A$144:$A$150, 0), 1)),0)+B$221+B$222</f>
        <v>0.90168000000000004</v>
      </c>
      <c r="C227" s="105">
        <f t="shared" ca="1" si="1115"/>
        <v>0.90168000000000004</v>
      </c>
      <c r="D227" s="105">
        <f t="shared" ca="1" si="1115"/>
        <v>0.90168000000000004</v>
      </c>
      <c r="E227" s="105">
        <f t="shared" ca="1" si="1115"/>
        <v>0.90168000000000004</v>
      </c>
      <c r="F227" s="105">
        <f t="shared" si="1115"/>
        <v>0.2</v>
      </c>
      <c r="G227" s="105">
        <f t="shared" si="1115"/>
        <v>0.2</v>
      </c>
      <c r="H227" s="105">
        <f t="shared" si="1115"/>
        <v>0.2</v>
      </c>
      <c r="I227" s="105">
        <f t="shared" si="1115"/>
        <v>0.2</v>
      </c>
      <c r="J227" s="105">
        <f t="shared" si="1115"/>
        <v>0.12</v>
      </c>
      <c r="K227" s="105">
        <f t="shared" si="1115"/>
        <v>0.12</v>
      </c>
      <c r="L227" s="105">
        <f t="shared" si="1115"/>
        <v>0.12</v>
      </c>
      <c r="M227" s="105">
        <f t="shared" si="1115"/>
        <v>0.69100000000000006</v>
      </c>
      <c r="N227" s="105">
        <f t="shared" ref="N227:O227" si="1116">IFERROR(IF(INDEX(N$144:N$150, MATCH(N205&amp;" DMG%", $A$144:$A$150, 0), 1)="", 0,INDEX(N$144:N$150, MATCH(N205&amp;" DMG%", $A$144:$A$150, 0), 1)),0)+N$221+N$222</f>
        <v>0.69100000000000006</v>
      </c>
      <c r="O227" s="105">
        <f t="shared" si="1116"/>
        <v>0.69100000000000006</v>
      </c>
      <c r="P227" s="105">
        <f>IFERROR(IF(INDEX(P$144:P$150, MATCH(P205&amp;" DMG%", $A$144:$A$150, 0), 1)="", 0,INDEX(P$144:P$150, MATCH(P205&amp;" DMG%", $A$144:$A$150, 0), 1)),0)+P$221+P$222</f>
        <v>0.69100000000000006</v>
      </c>
      <c r="Q227" s="105">
        <f>IFERROR(IF(INDEX(Q$144:Q$150, MATCH(Q205&amp;" DMG%", $A$144:$A$150, 0), 1)="", 0,INDEX(Q$144:Q$150, MATCH(Q205&amp;" DMG%", $A$144:$A$150, 0), 1)),0)+Q$221+Q$222</f>
        <v>0.69100000000000006</v>
      </c>
      <c r="R227" s="105">
        <f>IFERROR(IF(INDEX(R$144:R$150, MATCH(R205&amp;" DMG%", $A$144:$A$150, 0), 1)="", 0,INDEX(R$144:R$150, MATCH(R205&amp;" DMG%", $A$144:$A$150, 0), 1)),0)+R$221+R$222</f>
        <v>0.89100000000000001</v>
      </c>
      <c r="S227" s="105">
        <f>IFERROR(IF(INDEX(S$144:S$150, MATCH(S205&amp;" DMG%", $A$144:$A$150, 0), 1)="", 0,INDEX(S$144:S$150, MATCH(S205&amp;" DMG%", $A$144:$A$150, 0), 1)),0)+S$221+S$222</f>
        <v>0.69100000000000006</v>
      </c>
      <c r="T227" s="105">
        <f t="shared" ref="T227:U227" si="1117">IFERROR(IF(INDEX(T$144:T$150, MATCH(T205&amp;" DMG%", $A$144:$A$150, 0), 1)="", 0,INDEX(T$144:T$150, MATCH(T205&amp;" DMG%", $A$144:$A$150, 0), 1)),0)+T$221+T$222</f>
        <v>0.69100000000000006</v>
      </c>
      <c r="U227" s="105">
        <f t="shared" si="1117"/>
        <v>0.69100000000000006</v>
      </c>
      <c r="V227" s="105">
        <f t="shared" ref="V227:AC227" si="1118">IFERROR(IF(INDEX(V$144:V$150, MATCH(V205&amp;" DMG%", $A$144:$A$150, 0), 1)="", 0,INDEX(V$144:V$150, MATCH(V205&amp;" DMG%", $A$144:$A$150, 0), 1)),0)+V$221+V$222</f>
        <v>0.69100000000000006</v>
      </c>
      <c r="W227" s="105">
        <f t="shared" si="1118"/>
        <v>0.69100000000000006</v>
      </c>
      <c r="X227" s="105">
        <f t="shared" ca="1" si="1118"/>
        <v>0.90168000000000004</v>
      </c>
      <c r="Y227" s="105">
        <f t="shared" ca="1" si="1118"/>
        <v>0.90168000000000004</v>
      </c>
      <c r="Z227" s="105">
        <f t="shared" ca="1" si="1118"/>
        <v>0.90168000000000004</v>
      </c>
      <c r="AA227" s="105">
        <f t="shared" ca="1" si="1118"/>
        <v>0.90168000000000004</v>
      </c>
      <c r="AB227" s="105">
        <f t="shared" ca="1" si="1118"/>
        <v>0.90168000000000004</v>
      </c>
      <c r="AC227" s="105">
        <f t="shared" ca="1" si="1118"/>
        <v>0.90168000000000004</v>
      </c>
      <c r="AD227" s="105">
        <f t="shared" ref="AD227" ca="1" si="1119">IFERROR(IF(INDEX(AD$144:AD$150, MATCH(AD205&amp;" DMG%", $A$144:$A$150, 0), 1)="", 0,INDEX(AD$144:AD$150, MATCH(AD205&amp;" DMG%", $A$144:$A$150, 0), 1)),0)+AD$221+AD$222</f>
        <v>0.90168000000000004</v>
      </c>
      <c r="AE227" s="105">
        <f t="shared" ref="AE227:AF227" ca="1" si="1120">IFERROR(IF(INDEX(AE$144:AE$150, MATCH(AE205&amp;" DMG%", $A$144:$A$150, 0), 1)="", 0,INDEX(AE$144:AE$150, MATCH(AE205&amp;" DMG%", $A$144:$A$150, 0), 1)),0)+AE$221+AE$222</f>
        <v>0.90168000000000004</v>
      </c>
      <c r="AF227" s="105">
        <f t="shared" ca="1" si="1120"/>
        <v>0.90168000000000004</v>
      </c>
      <c r="AG227" s="105">
        <f>IFERROR(IF(INDEX(AG$144:AG$150, MATCH(AG205&amp;" DMG%", $A$144:$A$150, 0), 1)="", 0,INDEX(AG$144:AG$150, MATCH(AG205&amp;" DMG%", $A$144:$A$150, 0), 1)),0)+AG$221+AG$222</f>
        <v>0.69100000000000006</v>
      </c>
      <c r="AH227" s="105">
        <f>IFERROR(IF(INDEX(AH$144:AH$150, MATCH(AH205&amp;" DMG%", $A$144:$A$150, 0), 1)="", 0,INDEX(AH$144:AH$150, MATCH(AH205&amp;" DMG%", $A$144:$A$150, 0), 1)),0)+AH$221+AH$222</f>
        <v>0.69100000000000006</v>
      </c>
      <c r="AI227" s="105">
        <f>IFERROR(IF(INDEX(AI$144:AI$150, MATCH(AI205&amp;" DMG%", $A$144:$A$150, 0), 1)="", 0,INDEX(AI$144:AI$150, MATCH(AI205&amp;" DMG%", $A$144:$A$150, 0), 1)),0)+AI$221+AI$222</f>
        <v>0.12</v>
      </c>
      <c r="AJ227" s="105">
        <f>IFERROR(IF(INDEX(AJ$144:AJ$150, MATCH(AJ205&amp;" DMG%", $A$144:$A$150, 0), 1)="", 0,INDEX(AJ$144:AJ$150, MATCH(AJ205&amp;" DMG%", $A$144:$A$150, 0), 1)),0)+AJ$221+AJ$222</f>
        <v>0.12</v>
      </c>
      <c r="AK227" s="105"/>
      <c r="AL227" s="105"/>
      <c r="AM227" s="105"/>
      <c r="AN227" s="105"/>
      <c r="AO227" s="105"/>
      <c r="AP227" s="105"/>
      <c r="AQ227" s="105"/>
      <c r="AR227" s="105"/>
      <c r="AS227" s="105"/>
      <c r="AT227" s="105"/>
      <c r="AU227" s="105"/>
      <c r="AV227" s="105"/>
      <c r="AW227" s="105"/>
      <c r="AX227" s="105"/>
      <c r="AY227" s="105"/>
      <c r="AZ227" s="105"/>
      <c r="BA227" s="105"/>
      <c r="BB227" s="105"/>
      <c r="BC227" s="105"/>
      <c r="BD227" s="105"/>
      <c r="BE227" s="105"/>
      <c r="BF227" s="105"/>
      <c r="BG227" s="105"/>
      <c r="BH227" s="105"/>
      <c r="BI227" s="105"/>
      <c r="BJ227" s="105"/>
      <c r="BK227" s="105"/>
      <c r="BL227" s="105"/>
      <c r="BM227" s="105"/>
      <c r="BN227" s="105"/>
      <c r="BO227" s="105"/>
      <c r="BP227" s="105"/>
      <c r="BQ227" s="105"/>
      <c r="BR227" s="105"/>
      <c r="BS227" s="105"/>
      <c r="BT227" s="105"/>
    </row>
    <row r="228" spans="1:72" hidden="1" outlineLevel="1" x14ac:dyDescent="0.25">
      <c r="A228" s="112" t="s">
        <v>5</v>
      </c>
      <c r="B228" s="105">
        <f t="shared" ref="B228:M228" ca="1" si="1121">IFERROR(IF(INDEX(B$144:B$150, MATCH(B206&amp;" DMG%", $A$144:$A$150, 0), 1)="", 0,INDEX(B$144:B$150, MATCH(B206&amp;" DMG%", $A$144:$A$150, 0), 1)),0)+B$221+B$223</f>
        <v>0.90168000000000004</v>
      </c>
      <c r="C228" s="105">
        <f t="shared" ca="1" si="1121"/>
        <v>0.90168000000000004</v>
      </c>
      <c r="D228" s="105">
        <f t="shared" ca="1" si="1121"/>
        <v>0.90168000000000004</v>
      </c>
      <c r="E228" s="105">
        <f t="shared" ca="1" si="1121"/>
        <v>0.90168000000000004</v>
      </c>
      <c r="F228" s="105">
        <f t="shared" si="1121"/>
        <v>0.2</v>
      </c>
      <c r="G228" s="105">
        <f t="shared" si="1121"/>
        <v>0.2</v>
      </c>
      <c r="H228" s="105">
        <f t="shared" si="1121"/>
        <v>0.2</v>
      </c>
      <c r="I228" s="105">
        <f t="shared" si="1121"/>
        <v>0.2</v>
      </c>
      <c r="J228" s="105">
        <f t="shared" si="1121"/>
        <v>0.12</v>
      </c>
      <c r="K228" s="105">
        <f t="shared" si="1121"/>
        <v>0.12</v>
      </c>
      <c r="L228" s="105">
        <f t="shared" si="1121"/>
        <v>0.12</v>
      </c>
      <c r="M228" s="105">
        <f t="shared" si="1121"/>
        <v>0</v>
      </c>
      <c r="N228" s="105">
        <f t="shared" ref="N228:O228" si="1122">IFERROR(IF(INDEX(N$144:N$150, MATCH(N206&amp;" DMG%", $A$144:$A$150, 0), 1)="", 0,INDEX(N$144:N$150, MATCH(N206&amp;" DMG%", $A$144:$A$150, 0), 1)),0)+N$221+N$223</f>
        <v>0</v>
      </c>
      <c r="O228" s="105">
        <f t="shared" si="1122"/>
        <v>0</v>
      </c>
      <c r="P228" s="105">
        <f>IFERROR(IF(INDEX(P$144:P$150, MATCH(P206&amp;" DMG%", $A$144:$A$150, 0), 1)="", 0,INDEX(P$144:P$150, MATCH(P206&amp;" DMG%", $A$144:$A$150, 0), 1)),0)+P$221+P$223</f>
        <v>0</v>
      </c>
      <c r="Q228" s="105">
        <f>IFERROR(IF(INDEX(Q$144:Q$150, MATCH(Q206&amp;" DMG%", $A$144:$A$150, 0), 1)="", 0,INDEX(Q$144:Q$150, MATCH(Q206&amp;" DMG%", $A$144:$A$150, 0), 1)),0)+Q$221+Q$223</f>
        <v>0</v>
      </c>
      <c r="R228" s="105">
        <f>IFERROR(IF(INDEX(R$144:R$150, MATCH(R206&amp;" DMG%", $A$144:$A$150, 0), 1)="", 0,INDEX(R$144:R$150, MATCH(R206&amp;" DMG%", $A$144:$A$150, 0), 1)),0)+R$221+R$223</f>
        <v>0</v>
      </c>
      <c r="S228" s="105">
        <f>IFERROR(IF(INDEX(S$144:S$150, MATCH(S206&amp;" DMG%", $A$144:$A$150, 0), 1)="", 0,INDEX(S$144:S$150, MATCH(S206&amp;" DMG%", $A$144:$A$150, 0), 1)),0)+S$221+S$223</f>
        <v>0</v>
      </c>
      <c r="T228" s="105">
        <f t="shared" ref="T228:U228" si="1123">IFERROR(IF(INDEX(T$144:T$150, MATCH(T206&amp;" DMG%", $A$144:$A$150, 0), 1)="", 0,INDEX(T$144:T$150, MATCH(T206&amp;" DMG%", $A$144:$A$150, 0), 1)),0)+T$221+T$223</f>
        <v>0</v>
      </c>
      <c r="U228" s="105">
        <f t="shared" si="1123"/>
        <v>0</v>
      </c>
      <c r="V228" s="105">
        <f t="shared" ref="V228:AC228" si="1124">IFERROR(IF(INDEX(V$144:V$150, MATCH(V206&amp;" DMG%", $A$144:$A$150, 0), 1)="", 0,INDEX(V$144:V$150, MATCH(V206&amp;" DMG%", $A$144:$A$150, 0), 1)),0)+V$221+V$223</f>
        <v>0</v>
      </c>
      <c r="W228" s="105">
        <f t="shared" si="1124"/>
        <v>0</v>
      </c>
      <c r="X228" s="105">
        <f t="shared" ca="1" si="1124"/>
        <v>0.90168000000000004</v>
      </c>
      <c r="Y228" s="105">
        <f t="shared" ca="1" si="1124"/>
        <v>0.90168000000000004</v>
      </c>
      <c r="Z228" s="105">
        <f t="shared" ca="1" si="1124"/>
        <v>0.90168000000000004</v>
      </c>
      <c r="AA228" s="105">
        <f t="shared" ca="1" si="1124"/>
        <v>0.90168000000000004</v>
      </c>
      <c r="AB228" s="105">
        <f t="shared" ca="1" si="1124"/>
        <v>0.90168000000000004</v>
      </c>
      <c r="AC228" s="105">
        <f t="shared" ca="1" si="1124"/>
        <v>0.90168000000000004</v>
      </c>
      <c r="AD228" s="105">
        <f t="shared" ref="AD228" ca="1" si="1125">IFERROR(IF(INDEX(AD$144:AD$150, MATCH(AD206&amp;" DMG%", $A$144:$A$150, 0), 1)="", 0,INDEX(AD$144:AD$150, MATCH(AD206&amp;" DMG%", $A$144:$A$150, 0), 1)),0)+AD$221+AD$223</f>
        <v>0.90168000000000004</v>
      </c>
      <c r="AE228" s="105">
        <f t="shared" ref="AE228:AF228" ca="1" si="1126">IFERROR(IF(INDEX(AE$144:AE$150, MATCH(AE206&amp;" DMG%", $A$144:$A$150, 0), 1)="", 0,INDEX(AE$144:AE$150, MATCH(AE206&amp;" DMG%", $A$144:$A$150, 0), 1)),0)+AE$221+AE$223</f>
        <v>0.90168000000000004</v>
      </c>
      <c r="AF228" s="105">
        <f t="shared" ca="1" si="1126"/>
        <v>0.90168000000000004</v>
      </c>
      <c r="AG228" s="105">
        <f>IFERROR(IF(INDEX(AG$144:AG$150, MATCH(AG206&amp;" DMG%", $A$144:$A$150, 0), 1)="", 0,INDEX(AG$144:AG$150, MATCH(AG206&amp;" DMG%", $A$144:$A$150, 0), 1)),0)+AG$221+AG$223</f>
        <v>0</v>
      </c>
      <c r="AH228" s="105">
        <f>IFERROR(IF(INDEX(AH$144:AH$150, MATCH(AH206&amp;" DMG%", $A$144:$A$150, 0), 1)="", 0,INDEX(AH$144:AH$150, MATCH(AH206&amp;" DMG%", $A$144:$A$150, 0), 1)),0)+AH$221+AH$223</f>
        <v>0</v>
      </c>
      <c r="AI228" s="105">
        <f>IFERROR(IF(INDEX(AI$144:AI$150, MATCH(AI206&amp;" DMG%", $A$144:$A$150, 0), 1)="", 0,INDEX(AI$144:AI$150, MATCH(AI206&amp;" DMG%", $A$144:$A$150, 0), 1)),0)+AI$221+AI$223</f>
        <v>0.12</v>
      </c>
      <c r="AJ228" s="105">
        <f>IFERROR(IF(INDEX(AJ$144:AJ$150, MATCH(AJ206&amp;" DMG%", $A$144:$A$150, 0), 1)="", 0,INDEX(AJ$144:AJ$150, MATCH(AJ206&amp;" DMG%", $A$144:$A$150, 0), 1)),0)+AJ$221+AJ$223</f>
        <v>0.12</v>
      </c>
      <c r="AK228" s="105"/>
      <c r="AL228" s="105"/>
      <c r="AM228" s="105"/>
      <c r="AN228" s="105"/>
      <c r="AO228" s="105"/>
      <c r="AP228" s="105"/>
      <c r="AQ228" s="105"/>
      <c r="AR228" s="105"/>
      <c r="AS228" s="105"/>
      <c r="AT228" s="105"/>
      <c r="AU228" s="105"/>
      <c r="AV228" s="105"/>
      <c r="AW228" s="105"/>
      <c r="AX228" s="105"/>
      <c r="AY228" s="105"/>
      <c r="AZ228" s="105"/>
      <c r="BA228" s="105"/>
      <c r="BB228" s="105"/>
      <c r="BC228" s="105"/>
      <c r="BD228" s="105"/>
      <c r="BE228" s="105"/>
      <c r="BF228" s="105"/>
      <c r="BG228" s="105"/>
      <c r="BH228" s="105"/>
      <c r="BI228" s="105"/>
      <c r="BJ228" s="105"/>
      <c r="BK228" s="105"/>
      <c r="BL228" s="105"/>
      <c r="BM228" s="105"/>
      <c r="BN228" s="105"/>
      <c r="BO228" s="105"/>
      <c r="BP228" s="105"/>
      <c r="BQ228" s="105"/>
      <c r="BR228" s="105"/>
      <c r="BS228" s="105"/>
      <c r="BT228" s="105"/>
    </row>
    <row r="229" spans="1:72" hidden="1" outlineLevel="1" x14ac:dyDescent="0.25">
      <c r="A229" s="112" t="s">
        <v>3</v>
      </c>
      <c r="B229" s="105">
        <f t="shared" ref="B229:M229" ca="1" si="1127">IFERROR(IF(INDEX(B$144:B$150, MATCH(B207&amp;" DMG%", $A$144:$A$150, 0), 1)="", 0,INDEX(B$144:B$150, MATCH(B207&amp;" DMG%", $A$144:$A$150, 0), 1)),0)+B$221+B$224</f>
        <v>0.90168000000000004</v>
      </c>
      <c r="C229" s="105">
        <f t="shared" ca="1" si="1127"/>
        <v>0.90168000000000004</v>
      </c>
      <c r="D229" s="105">
        <f t="shared" ca="1" si="1127"/>
        <v>0.90168000000000004</v>
      </c>
      <c r="E229" s="105">
        <f t="shared" ca="1" si="1127"/>
        <v>0.90168000000000004</v>
      </c>
      <c r="F229" s="105">
        <f t="shared" si="1127"/>
        <v>0.2</v>
      </c>
      <c r="G229" s="105">
        <f t="shared" si="1127"/>
        <v>0.2</v>
      </c>
      <c r="H229" s="105">
        <f t="shared" si="1127"/>
        <v>0.2</v>
      </c>
      <c r="I229" s="105">
        <f t="shared" si="1127"/>
        <v>0.2</v>
      </c>
      <c r="J229" s="105">
        <f t="shared" si="1127"/>
        <v>0.12</v>
      </c>
      <c r="K229" s="105">
        <f t="shared" si="1127"/>
        <v>0.12</v>
      </c>
      <c r="L229" s="105">
        <f t="shared" si="1127"/>
        <v>0.12</v>
      </c>
      <c r="M229" s="105">
        <f t="shared" si="1127"/>
        <v>0</v>
      </c>
      <c r="N229" s="105">
        <f t="shared" ref="N229:O229" si="1128">IFERROR(IF(INDEX(N$144:N$150, MATCH(N207&amp;" DMG%", $A$144:$A$150, 0), 1)="", 0,INDEX(N$144:N$150, MATCH(N207&amp;" DMG%", $A$144:$A$150, 0), 1)),0)+N$221+N$224</f>
        <v>0</v>
      </c>
      <c r="O229" s="105">
        <f t="shared" si="1128"/>
        <v>0</v>
      </c>
      <c r="P229" s="105">
        <f>IFERROR(IF(INDEX(P$144:P$150, MATCH(P207&amp;" DMG%", $A$144:$A$150, 0), 1)="", 0,INDEX(P$144:P$150, MATCH(P207&amp;" DMG%", $A$144:$A$150, 0), 1)),0)+P$221+P$224</f>
        <v>0</v>
      </c>
      <c r="Q229" s="105">
        <f>IFERROR(IF(INDEX(Q$144:Q$150, MATCH(Q207&amp;" DMG%", $A$144:$A$150, 0), 1)="", 0,INDEX(Q$144:Q$150, MATCH(Q207&amp;" DMG%", $A$144:$A$150, 0), 1)),0)+Q$221+Q$224</f>
        <v>0</v>
      </c>
      <c r="R229" s="105">
        <f>IFERROR(IF(INDEX(R$144:R$150, MATCH(R207&amp;" DMG%", $A$144:$A$150, 0), 1)="", 0,INDEX(R$144:R$150, MATCH(R207&amp;" DMG%", $A$144:$A$150, 0), 1)),0)+R$221+R$224</f>
        <v>0</v>
      </c>
      <c r="S229" s="105">
        <f>IFERROR(IF(INDEX(S$144:S$150, MATCH(S207&amp;" DMG%", $A$144:$A$150, 0), 1)="", 0,INDEX(S$144:S$150, MATCH(S207&amp;" DMG%", $A$144:$A$150, 0), 1)),0)+S$221+S$224</f>
        <v>0</v>
      </c>
      <c r="T229" s="105">
        <f t="shared" ref="T229:U229" si="1129">IFERROR(IF(INDEX(T$144:T$150, MATCH(T207&amp;" DMG%", $A$144:$A$150, 0), 1)="", 0,INDEX(T$144:T$150, MATCH(T207&amp;" DMG%", $A$144:$A$150, 0), 1)),0)+T$221+T$224</f>
        <v>0</v>
      </c>
      <c r="U229" s="105">
        <f t="shared" si="1129"/>
        <v>0</v>
      </c>
      <c r="V229" s="105">
        <f t="shared" ref="V229:AC229" si="1130">IFERROR(IF(INDEX(V$144:V$150, MATCH(V207&amp;" DMG%", $A$144:$A$150, 0), 1)="", 0,INDEX(V$144:V$150, MATCH(V207&amp;" DMG%", $A$144:$A$150, 0), 1)),0)+V$221+V$224</f>
        <v>0</v>
      </c>
      <c r="W229" s="105">
        <f t="shared" si="1130"/>
        <v>0</v>
      </c>
      <c r="X229" s="105">
        <f t="shared" ca="1" si="1130"/>
        <v>0.90168000000000004</v>
      </c>
      <c r="Y229" s="105">
        <f t="shared" ca="1" si="1130"/>
        <v>0.90168000000000004</v>
      </c>
      <c r="Z229" s="105">
        <f t="shared" ca="1" si="1130"/>
        <v>0.90168000000000004</v>
      </c>
      <c r="AA229" s="105">
        <f t="shared" ca="1" si="1130"/>
        <v>0.90168000000000004</v>
      </c>
      <c r="AB229" s="105">
        <f t="shared" ca="1" si="1130"/>
        <v>0.90168000000000004</v>
      </c>
      <c r="AC229" s="105">
        <f t="shared" ca="1" si="1130"/>
        <v>0.90168000000000004</v>
      </c>
      <c r="AD229" s="105">
        <f t="shared" ref="AD229" ca="1" si="1131">IFERROR(IF(INDEX(AD$144:AD$150, MATCH(AD207&amp;" DMG%", $A$144:$A$150, 0), 1)="", 0,INDEX(AD$144:AD$150, MATCH(AD207&amp;" DMG%", $A$144:$A$150, 0), 1)),0)+AD$221+AD$224</f>
        <v>0.90168000000000004</v>
      </c>
      <c r="AE229" s="105">
        <f t="shared" ref="AE229:AF229" ca="1" si="1132">IFERROR(IF(INDEX(AE$144:AE$150, MATCH(AE207&amp;" DMG%", $A$144:$A$150, 0), 1)="", 0,INDEX(AE$144:AE$150, MATCH(AE207&amp;" DMG%", $A$144:$A$150, 0), 1)),0)+AE$221+AE$224</f>
        <v>0.90168000000000004</v>
      </c>
      <c r="AF229" s="105">
        <f t="shared" ca="1" si="1132"/>
        <v>0.90168000000000004</v>
      </c>
      <c r="AG229" s="105">
        <f>IFERROR(IF(INDEX(AG$144:AG$150, MATCH(AG207&amp;" DMG%", $A$144:$A$150, 0), 1)="", 0,INDEX(AG$144:AG$150, MATCH(AG207&amp;" DMG%", $A$144:$A$150, 0), 1)),0)+AG$221+AG$224</f>
        <v>0</v>
      </c>
      <c r="AH229" s="105">
        <f>IFERROR(IF(INDEX(AH$144:AH$150, MATCH(AH207&amp;" DMG%", $A$144:$A$150, 0), 1)="", 0,INDEX(AH$144:AH$150, MATCH(AH207&amp;" DMG%", $A$144:$A$150, 0), 1)),0)+AH$221+AH$224</f>
        <v>0</v>
      </c>
      <c r="AI229" s="105">
        <f>IFERROR(IF(INDEX(AI$144:AI$150, MATCH(AI207&amp;" DMG%", $A$144:$A$150, 0), 1)="", 0,INDEX(AI$144:AI$150, MATCH(AI207&amp;" DMG%", $A$144:$A$150, 0), 1)),0)+AI$221+AI$224</f>
        <v>0.12</v>
      </c>
      <c r="AJ229" s="105">
        <f>IFERROR(IF(INDEX(AJ$144:AJ$150, MATCH(AJ207&amp;" DMG%", $A$144:$A$150, 0), 1)="", 0,INDEX(AJ$144:AJ$150, MATCH(AJ207&amp;" DMG%", $A$144:$A$150, 0), 1)),0)+AJ$221+AJ$224</f>
        <v>0.12</v>
      </c>
      <c r="AK229" s="105"/>
      <c r="AL229" s="105"/>
      <c r="AM229" s="105"/>
      <c r="AN229" s="105"/>
      <c r="AO229" s="105"/>
      <c r="AP229" s="105"/>
      <c r="AQ229" s="105"/>
      <c r="AR229" s="105"/>
      <c r="AS229" s="105"/>
      <c r="AT229" s="105"/>
      <c r="AU229" s="105"/>
      <c r="AV229" s="105"/>
      <c r="AW229" s="105"/>
      <c r="AX229" s="105"/>
      <c r="AY229" s="105"/>
      <c r="AZ229" s="105"/>
      <c r="BA229" s="105"/>
      <c r="BB229" s="105"/>
      <c r="BC229" s="105"/>
      <c r="BD229" s="105"/>
      <c r="BE229" s="105"/>
      <c r="BF229" s="105"/>
      <c r="BG229" s="105"/>
      <c r="BH229" s="105"/>
      <c r="BI229" s="105"/>
      <c r="BJ229" s="105"/>
      <c r="BK229" s="105"/>
      <c r="BL229" s="105"/>
      <c r="BM229" s="105"/>
      <c r="BN229" s="105"/>
      <c r="BO229" s="105"/>
      <c r="BP229" s="105"/>
      <c r="BQ229" s="105"/>
      <c r="BR229" s="105"/>
      <c r="BS229" s="105"/>
      <c r="BT229" s="105"/>
    </row>
    <row r="230" spans="1:72" hidden="1" outlineLevel="1" x14ac:dyDescent="0.25">
      <c r="A230" s="112" t="s">
        <v>19</v>
      </c>
      <c r="B230" s="105">
        <f t="shared" ref="B230:M230" ca="1" si="1133">IFERROR(IF(INDEX(B$144:B$150, MATCH(B208&amp;" DMG%", $A$144:$A$150, 0), 1)="", 0,INDEX(B$144:B$150, MATCH(B208&amp;" DMG%", $A$144:$A$150, 0), 1)),0)+B$221+B$225</f>
        <v>0.90168000000000004</v>
      </c>
      <c r="C230" s="105">
        <f t="shared" ca="1" si="1133"/>
        <v>0.90168000000000004</v>
      </c>
      <c r="D230" s="105">
        <f t="shared" ca="1" si="1133"/>
        <v>0.90168000000000004</v>
      </c>
      <c r="E230" s="105">
        <f t="shared" ca="1" si="1133"/>
        <v>0.90168000000000004</v>
      </c>
      <c r="F230" s="105">
        <f t="shared" si="1133"/>
        <v>0.8660000000000001</v>
      </c>
      <c r="G230" s="105">
        <f t="shared" si="1133"/>
        <v>0.8660000000000001</v>
      </c>
      <c r="H230" s="105">
        <f t="shared" si="1133"/>
        <v>0.8660000000000001</v>
      </c>
      <c r="I230" s="105">
        <f t="shared" si="1133"/>
        <v>0.8660000000000001</v>
      </c>
      <c r="J230" s="105">
        <f t="shared" si="1133"/>
        <v>0.58600000000000008</v>
      </c>
      <c r="K230" s="105">
        <f t="shared" si="1133"/>
        <v>0.58600000000000008</v>
      </c>
      <c r="L230" s="105">
        <f t="shared" si="1133"/>
        <v>0.58600000000000008</v>
      </c>
      <c r="M230" s="105">
        <f t="shared" si="1133"/>
        <v>0.69100000000000006</v>
      </c>
      <c r="N230" s="105">
        <f t="shared" ref="N230:O230" si="1134">IFERROR(IF(INDEX(N$144:N$150, MATCH(N208&amp;" DMG%", $A$144:$A$150, 0), 1)="", 0,INDEX(N$144:N$150, MATCH(N208&amp;" DMG%", $A$144:$A$150, 0), 1)),0)+N$221+N$225</f>
        <v>0.69100000000000006</v>
      </c>
      <c r="O230" s="105">
        <f t="shared" si="1134"/>
        <v>0.69100000000000006</v>
      </c>
      <c r="P230" s="105">
        <f>IFERROR(IF(INDEX(P$144:P$150, MATCH(P208&amp;" DMG%", $A$144:$A$150, 0), 1)="", 0,INDEX(P$144:P$150, MATCH(P208&amp;" DMG%", $A$144:$A$150, 0), 1)),0)+P$221+P$225</f>
        <v>0.69100000000000006</v>
      </c>
      <c r="Q230" s="105">
        <f>IFERROR(IF(INDEX(Q$144:Q$150, MATCH(Q208&amp;" DMG%", $A$144:$A$150, 0), 1)="", 0,INDEX(Q$144:Q$150, MATCH(Q208&amp;" DMG%", $A$144:$A$150, 0), 1)),0)+Q$221+Q$225</f>
        <v>0.69100000000000006</v>
      </c>
      <c r="R230" s="105">
        <f>IFERROR(IF(INDEX(R$144:R$150, MATCH(R208&amp;" DMG%", $A$144:$A$150, 0), 1)="", 0,INDEX(R$144:R$150, MATCH(R208&amp;" DMG%", $A$144:$A$150, 0), 1)),0)+R$221+R$225</f>
        <v>0.89100000000000001</v>
      </c>
      <c r="S230" s="105">
        <f>IFERROR(IF(INDEX(S$144:S$150, MATCH(S208&amp;" DMG%", $A$144:$A$150, 0), 1)="", 0,INDEX(S$144:S$150, MATCH(S208&amp;" DMG%", $A$144:$A$150, 0), 1)),0)+S$221+S$225</f>
        <v>0.69100000000000006</v>
      </c>
      <c r="T230" s="105">
        <f t="shared" ref="T230:U230" si="1135">IFERROR(IF(INDEX(T$144:T$150, MATCH(T208&amp;" DMG%", $A$144:$A$150, 0), 1)="", 0,INDEX(T$144:T$150, MATCH(T208&amp;" DMG%", $A$144:$A$150, 0), 1)),0)+T$221+T$225</f>
        <v>0.69100000000000006</v>
      </c>
      <c r="U230" s="105">
        <f t="shared" si="1135"/>
        <v>0.69100000000000006</v>
      </c>
      <c r="V230" s="105">
        <f t="shared" ref="V230:AC230" si="1136">IFERROR(IF(INDEX(V$144:V$150, MATCH(V208&amp;" DMG%", $A$144:$A$150, 0), 1)="", 0,INDEX(V$144:V$150, MATCH(V208&amp;" DMG%", $A$144:$A$150, 0), 1)),0)+V$221+V$225</f>
        <v>0.69100000000000006</v>
      </c>
      <c r="W230" s="105">
        <f t="shared" si="1136"/>
        <v>0.69100000000000006</v>
      </c>
      <c r="X230" s="105">
        <f t="shared" ca="1" si="1136"/>
        <v>0.90168000000000004</v>
      </c>
      <c r="Y230" s="105">
        <f t="shared" ca="1" si="1136"/>
        <v>0.90168000000000004</v>
      </c>
      <c r="Z230" s="105">
        <f t="shared" ca="1" si="1136"/>
        <v>0.90168000000000004</v>
      </c>
      <c r="AA230" s="105">
        <f t="shared" ca="1" si="1136"/>
        <v>0.90168000000000004</v>
      </c>
      <c r="AB230" s="105">
        <f t="shared" ca="1" si="1136"/>
        <v>0.90168000000000004</v>
      </c>
      <c r="AC230" s="105">
        <f t="shared" ca="1" si="1136"/>
        <v>0.90168000000000004</v>
      </c>
      <c r="AD230" s="105">
        <f t="shared" ref="AD230" ca="1" si="1137">IFERROR(IF(INDEX(AD$144:AD$150, MATCH(AD208&amp;" DMG%", $A$144:$A$150, 0), 1)="", 0,INDEX(AD$144:AD$150, MATCH(AD208&amp;" DMG%", $A$144:$A$150, 0), 1)),0)+AD$221+AD$225</f>
        <v>0.90168000000000004</v>
      </c>
      <c r="AE230" s="105">
        <f t="shared" ref="AE230:AF230" ca="1" si="1138">IFERROR(IF(INDEX(AE$144:AE$150, MATCH(AE208&amp;" DMG%", $A$144:$A$150, 0), 1)="", 0,INDEX(AE$144:AE$150, MATCH(AE208&amp;" DMG%", $A$144:$A$150, 0), 1)),0)+AE$221+AE$225</f>
        <v>0.90168000000000004</v>
      </c>
      <c r="AF230" s="105">
        <f t="shared" ca="1" si="1138"/>
        <v>0.90168000000000004</v>
      </c>
      <c r="AG230" s="105">
        <f>IFERROR(IF(INDEX(AG$144:AG$150, MATCH(AG208&amp;" DMG%", $A$144:$A$150, 0), 1)="", 0,INDEX(AG$144:AG$150, MATCH(AG208&amp;" DMG%", $A$144:$A$150, 0), 1)),0)+AG$221+AG$225</f>
        <v>0.69100000000000006</v>
      </c>
      <c r="AH230" s="105">
        <f>IFERROR(IF(INDEX(AH$144:AH$150, MATCH(AH208&amp;" DMG%", $A$144:$A$150, 0), 1)="", 0,INDEX(AH$144:AH$150, MATCH(AH208&amp;" DMG%", $A$144:$A$150, 0), 1)),0)+AH$221+AH$225</f>
        <v>0.69100000000000006</v>
      </c>
      <c r="AI230" s="105">
        <f>IFERROR(IF(INDEX(AI$144:AI$150, MATCH(AI208&amp;" DMG%", $A$144:$A$150, 0), 1)="", 0,INDEX(AI$144:AI$150, MATCH(AI208&amp;" DMG%", $A$144:$A$150, 0), 1)),0)+AI$221+AI$225</f>
        <v>0.58600000000000008</v>
      </c>
      <c r="AJ230" s="105">
        <f>IFERROR(IF(INDEX(AJ$144:AJ$150, MATCH(AJ208&amp;" DMG%", $A$144:$A$150, 0), 1)="", 0,INDEX(AJ$144:AJ$150, MATCH(AJ208&amp;" DMG%", $A$144:$A$150, 0), 1)),0)+AJ$221+AJ$225</f>
        <v>0.58600000000000008</v>
      </c>
      <c r="AK230" s="105"/>
      <c r="AL230" s="105"/>
      <c r="AM230" s="105"/>
      <c r="AN230" s="105"/>
      <c r="AO230" s="105"/>
      <c r="AP230" s="105"/>
      <c r="AQ230" s="105"/>
      <c r="AR230" s="105"/>
      <c r="AS230" s="105"/>
      <c r="AT230" s="105"/>
      <c r="AU230" s="105"/>
      <c r="AV230" s="105"/>
      <c r="AW230" s="105"/>
      <c r="AX230" s="105"/>
      <c r="AY230" s="105"/>
      <c r="AZ230" s="105"/>
      <c r="BA230" s="105"/>
      <c r="BB230" s="105"/>
      <c r="BC230" s="105"/>
      <c r="BD230" s="105"/>
      <c r="BE230" s="105"/>
      <c r="BF230" s="105"/>
      <c r="BG230" s="105"/>
      <c r="BH230" s="105"/>
      <c r="BI230" s="105"/>
      <c r="BJ230" s="105"/>
      <c r="BK230" s="105"/>
      <c r="BL230" s="105"/>
      <c r="BM230" s="105"/>
      <c r="BN230" s="105"/>
      <c r="BO230" s="105"/>
      <c r="BP230" s="105"/>
      <c r="BQ230" s="105"/>
      <c r="BR230" s="105"/>
      <c r="BS230" s="105"/>
      <c r="BT230" s="105"/>
    </row>
    <row r="231" spans="1:72" hidden="1" outlineLevel="1" x14ac:dyDescent="0.25">
      <c r="A231" s="112" t="s">
        <v>23</v>
      </c>
      <c r="B231" s="105">
        <f ca="1">IFERROR(IF(INDEX(B$144:B$150, MATCH(B209&amp;" DMG%", $A$144:$A$150, 0), 1)="", 0,INDEX(B$144:B$150, MATCH(B209&amp;" DMG%", $A$144:$A$150, 0), 1)),0)+B$221+INDEX(B222:B226, MATCH(HLOOKUP('Rotation Assembler'!B$21, 'Data Val'!$I$30:$M$32, 2, 0)&amp;" DMG%", $A$222:$A$226, 0), 1)</f>
        <v>0.90168000000000004</v>
      </c>
      <c r="C231" s="105">
        <f ca="1">IFERROR(IF(INDEX(C$144:C$150, MATCH(C209&amp;" DMG%", $A$144:$A$150, 0), 1)="", 0,INDEX(C$144:C$150, MATCH(C209&amp;" DMG%", $A$144:$A$150, 0), 1)),0)+C$221+INDEX(C222:C226, MATCH(HLOOKUP('Rotation Assembler'!C$21, 'Data Val'!$I$30:$M$32, 2, 0)&amp;" DMG%", $A$222:$A$226, 0), 1)</f>
        <v>0.90168000000000004</v>
      </c>
      <c r="D231" s="105">
        <f ca="1">IFERROR(IF(INDEX(D$144:D$150, MATCH(D209&amp;" DMG%", $A$144:$A$150, 0), 1)="", 0,INDEX(D$144:D$150, MATCH(D209&amp;" DMG%", $A$144:$A$150, 0), 1)),0)+D$221+INDEX(D222:D226, MATCH(HLOOKUP('Rotation Assembler'!D$21, 'Data Val'!$I$30:$M$32, 2, 0)&amp;" DMG%", $A$222:$A$226, 0), 1)</f>
        <v>0.90168000000000004</v>
      </c>
      <c r="E231" s="105">
        <f ca="1">IFERROR(IF(INDEX(E$144:E$150, MATCH(E209&amp;" DMG%", $A$144:$A$150, 0), 1)="", 0,INDEX(E$144:E$150, MATCH(E209&amp;" DMG%", $A$144:$A$150, 0), 1)),0)+E$221+INDEX(E222:E226, MATCH(HLOOKUP('Rotation Assembler'!E$21, 'Data Val'!$I$30:$M$32, 2, 0)&amp;" DMG%", $A$222:$A$226, 0), 1)</f>
        <v>0.90168000000000004</v>
      </c>
      <c r="F231" s="105">
        <f>IFERROR(IF(INDEX(F$144:F$150, MATCH(F209&amp;" DMG%", $A$144:$A$150, 0), 1)="", 0,INDEX(F$144:F$150, MATCH(F209&amp;" DMG%", $A$144:$A$150, 0), 1)),0)+F$221+INDEX(F222:F226, MATCH(HLOOKUP('Rotation Assembler'!F$21, 'Data Val'!$I$30:$M$32, 2, 0)&amp;" DMG%", $A$222:$A$226, 0), 1)</f>
        <v>0.8660000000000001</v>
      </c>
      <c r="G231" s="105">
        <f>IFERROR(IF(INDEX(G$144:G$150, MATCH(G209&amp;" DMG%", $A$144:$A$150, 0), 1)="", 0,INDEX(G$144:G$150, MATCH(G209&amp;" DMG%", $A$144:$A$150, 0), 1)),0)+G$221+INDEX(G222:G226, MATCH(HLOOKUP('Rotation Assembler'!G$21, 'Data Val'!$I$30:$M$32, 2, 0)&amp;" DMG%", $A$222:$A$226, 0), 1)</f>
        <v>0.8660000000000001</v>
      </c>
      <c r="H231" s="105">
        <f>IFERROR(IF(INDEX(H$144:H$150, MATCH(H209&amp;" DMG%", $A$144:$A$150, 0), 1)="", 0,INDEX(H$144:H$150, MATCH(H209&amp;" DMG%", $A$144:$A$150, 0), 1)),0)+H$221+INDEX(H222:H226, MATCH(HLOOKUP('Rotation Assembler'!H$21, 'Data Val'!$I$30:$M$32, 2, 0)&amp;" DMG%", $A$222:$A$226, 0), 1)</f>
        <v>0.8660000000000001</v>
      </c>
      <c r="I231" s="105">
        <f>IFERROR(IF(INDEX(I$144:I$150, MATCH(I209&amp;" DMG%", $A$144:$A$150, 0), 1)="", 0,INDEX(I$144:I$150, MATCH(I209&amp;" DMG%", $A$144:$A$150, 0), 1)),0)+I$221+INDEX(I222:I226, MATCH(HLOOKUP('Rotation Assembler'!I$21, 'Data Val'!$I$30:$M$32, 2, 0)&amp;" DMG%", $A$222:$A$226, 0), 1)</f>
        <v>0.8660000000000001</v>
      </c>
      <c r="J231" s="105">
        <f>IFERROR(IF(INDEX(J$144:J$150, MATCH(J209&amp;" DMG%", $A$144:$A$150, 0), 1)="", 0,INDEX(J$144:J$150, MATCH(J209&amp;" DMG%", $A$144:$A$150, 0), 1)),0)+J$221+INDEX(J222:J226, MATCH(HLOOKUP('Rotation Assembler'!J$21, 'Data Val'!$I$30:$M$32, 2, 0)&amp;" DMG%", $A$222:$A$226, 0), 1)</f>
        <v>0.58600000000000008</v>
      </c>
      <c r="K231" s="105">
        <f>IFERROR(IF(INDEX(K$144:K$150, MATCH(K209&amp;" DMG%", $A$144:$A$150, 0), 1)="", 0,INDEX(K$144:K$150, MATCH(K209&amp;" DMG%", $A$144:$A$150, 0), 1)),0)+K$221+INDEX(K222:K226, MATCH(HLOOKUP('Rotation Assembler'!K$21, 'Data Val'!$I$30:$M$32, 2, 0)&amp;" DMG%", $A$222:$A$226, 0), 1)</f>
        <v>0.58600000000000008</v>
      </c>
      <c r="L231" s="105">
        <f>IFERROR(IF(INDEX(L$144:L$150, MATCH(L209&amp;" DMG%", $A$144:$A$150, 0), 1)="", 0,INDEX(L$144:L$150, MATCH(L209&amp;" DMG%", $A$144:$A$150, 0), 1)),0)+L$221+INDEX(L222:L226, MATCH(HLOOKUP('Rotation Assembler'!L$21, 'Data Val'!$I$30:$M$32, 2, 0)&amp;" DMG%", $A$222:$A$226, 0), 1)</f>
        <v>0.58600000000000008</v>
      </c>
      <c r="M231" s="105">
        <f>IFERROR(IF(INDEX(M$144:M$150, MATCH(M209&amp;" DMG%", $A$144:$A$150, 0), 1)="", 0,INDEX(M$144:M$150, MATCH(M209&amp;" DMG%", $A$144:$A$150, 0), 1)),0)+M$221+INDEX(M222:M226, MATCH(HLOOKUP('Rotation Assembler'!M$21, 'Data Val'!$I$30:$M$32, 2, 0)&amp;" DMG%", $A$222:$A$226, 0), 1)</f>
        <v>0.69100000000000006</v>
      </c>
      <c r="N231" s="105">
        <f>IFERROR(IF(INDEX(N$144:N$150, MATCH(N209&amp;" DMG%", $A$144:$A$150, 0), 1)="", 0,INDEX(N$144:N$150, MATCH(N209&amp;" DMG%", $A$144:$A$150, 0), 1)),0)+N$221+INDEX(N222:N226, MATCH(HLOOKUP('Rotation Assembler'!N$21, 'Data Val'!$I$30:$M$32, 2, 0)&amp;" DMG%", $A$222:$A$226, 0), 1)</f>
        <v>0.69100000000000006</v>
      </c>
      <c r="O231" s="105">
        <f>IFERROR(IF(INDEX(O$144:O$150, MATCH(O209&amp;" DMG%", $A$144:$A$150, 0), 1)="", 0,INDEX(O$144:O$150, MATCH(O209&amp;" DMG%", $A$144:$A$150, 0), 1)),0)+O$221+INDEX(O222:O226, MATCH(HLOOKUP('Rotation Assembler'!O$21, 'Data Val'!$I$30:$M$32, 2, 0)&amp;" DMG%", $A$222:$A$226, 0), 1)</f>
        <v>0.69100000000000006</v>
      </c>
      <c r="P231" s="105">
        <f>IFERROR(IF(INDEX(P$144:P$150, MATCH(P209&amp;" DMG%", $A$144:$A$150, 0), 1)="", 0,INDEX(P$144:P$150, MATCH(P209&amp;" DMG%", $A$144:$A$150, 0), 1)),0)+P$221+INDEX(P222:P226, MATCH(HLOOKUP('Rotation Assembler'!P$21, 'Data Val'!$I$30:$M$32, 2, 0)&amp;" DMG%", $A$222:$A$226, 0), 1)</f>
        <v>0.69100000000000006</v>
      </c>
      <c r="Q231" s="105">
        <f>IFERROR(IF(INDEX(Q$144:Q$150, MATCH(Q209&amp;" DMG%", $A$144:$A$150, 0), 1)="", 0,INDEX(Q$144:Q$150, MATCH(Q209&amp;" DMG%", $A$144:$A$150, 0), 1)),0)+Q$221+INDEX(Q222:Q226, MATCH(HLOOKUP('Rotation Assembler'!Q$21, 'Data Val'!$I$30:$M$32, 2, 0)&amp;" DMG%", $A$222:$A$226, 0), 1)</f>
        <v>0.69100000000000006</v>
      </c>
      <c r="R231" s="105">
        <f>IFERROR(IF(INDEX(R$144:R$150, MATCH(R209&amp;" DMG%", $A$144:$A$150, 0), 1)="", 0,INDEX(R$144:R$150, MATCH(R209&amp;" DMG%", $A$144:$A$150, 0), 1)),0)+R$221+INDEX(R222:R226, MATCH(HLOOKUP('Rotation Assembler'!R$21, 'Data Val'!$I$30:$M$32, 2, 0)&amp;" DMG%", $A$222:$A$226, 0), 1)</f>
        <v>0.89100000000000001</v>
      </c>
      <c r="S231" s="105">
        <f>IFERROR(IF(INDEX(S$144:S$150, MATCH(S209&amp;" DMG%", $A$144:$A$150, 0), 1)="", 0,INDEX(S$144:S$150, MATCH(S209&amp;" DMG%", $A$144:$A$150, 0), 1)),0)+S$221+INDEX(S222:S226, MATCH(HLOOKUP('Rotation Assembler'!S$21, 'Data Val'!$I$30:$M$32, 2, 0)&amp;" DMG%", $A$222:$A$226, 0), 1)</f>
        <v>0.69100000000000006</v>
      </c>
      <c r="T231" s="105">
        <f>IFERROR(IF(INDEX(T$144:T$150, MATCH(T209&amp;" DMG%", $A$144:$A$150, 0), 1)="", 0,INDEX(T$144:T$150, MATCH(T209&amp;" DMG%", $A$144:$A$150, 0), 1)),0)+T$221+INDEX(T222:T226, MATCH(HLOOKUP('Rotation Assembler'!T$21, 'Data Val'!$I$30:$M$32, 2, 0)&amp;" DMG%", $A$222:$A$226, 0), 1)</f>
        <v>0.69100000000000006</v>
      </c>
      <c r="U231" s="105">
        <f>IFERROR(IF(INDEX(U$144:U$150, MATCH(U209&amp;" DMG%", $A$144:$A$150, 0), 1)="", 0,INDEX(U$144:U$150, MATCH(U209&amp;" DMG%", $A$144:$A$150, 0), 1)),0)+U$221+INDEX(U222:U226, MATCH(HLOOKUP('Rotation Assembler'!U$21, 'Data Val'!$I$30:$M$32, 2, 0)&amp;" DMG%", $A$222:$A$226, 0), 1)</f>
        <v>0.69100000000000006</v>
      </c>
      <c r="V231" s="105">
        <f>IFERROR(IF(INDEX(V$144:V$150, MATCH(V209&amp;" DMG%", $A$144:$A$150, 0), 1)="", 0,INDEX(V$144:V$150, MATCH(V209&amp;" DMG%", $A$144:$A$150, 0), 1)),0)+V$221+INDEX(V222:V226, MATCH(HLOOKUP('Rotation Assembler'!V$21, 'Data Val'!$I$30:$M$32, 2, 0)&amp;" DMG%", $A$222:$A$226, 0), 1)</f>
        <v>0.69100000000000006</v>
      </c>
      <c r="W231" s="105">
        <f>IFERROR(IF(INDEX(W$144:W$150, MATCH(W209&amp;" DMG%", $A$144:$A$150, 0), 1)="", 0,INDEX(W$144:W$150, MATCH(W209&amp;" DMG%", $A$144:$A$150, 0), 1)),0)+W$221+INDEX(W222:W226, MATCH(HLOOKUP('Rotation Assembler'!W$21, 'Data Val'!$I$30:$M$32, 2, 0)&amp;" DMG%", $A$222:$A$226, 0), 1)</f>
        <v>0.69100000000000006</v>
      </c>
      <c r="X231" s="105">
        <f ca="1">IFERROR(IF(INDEX(X$144:X$150, MATCH(X209&amp;" DMG%", $A$144:$A$150, 0), 1)="", 0,INDEX(X$144:X$150, MATCH(X209&amp;" DMG%", $A$144:$A$150, 0), 1)),0)+X$221+INDEX(X222:X226, MATCH(HLOOKUP('Rotation Assembler'!X$21, 'Data Val'!$I$30:$M$32, 2, 0)&amp;" DMG%", $A$222:$A$226, 0), 1)</f>
        <v>0.90168000000000004</v>
      </c>
      <c r="Y231" s="105">
        <f ca="1">IFERROR(IF(INDEX(Y$144:Y$150, MATCH(Y209&amp;" DMG%", $A$144:$A$150, 0), 1)="", 0,INDEX(Y$144:Y$150, MATCH(Y209&amp;" DMG%", $A$144:$A$150, 0), 1)),0)+Y$221+INDEX(Y222:Y226, MATCH(HLOOKUP('Rotation Assembler'!Y$21, 'Data Val'!$I$30:$M$32, 2, 0)&amp;" DMG%", $A$222:$A$226, 0), 1)</f>
        <v>0.90168000000000004</v>
      </c>
      <c r="Z231" s="105">
        <f ca="1">IFERROR(IF(INDEX(Z$144:Z$150, MATCH(Z209&amp;" DMG%", $A$144:$A$150, 0), 1)="", 0,INDEX(Z$144:Z$150, MATCH(Z209&amp;" DMG%", $A$144:$A$150, 0), 1)),0)+Z$221+INDEX(Z222:Z226, MATCH(HLOOKUP('Rotation Assembler'!Z$21, 'Data Val'!$I$30:$M$32, 2, 0)&amp;" DMG%", $A$222:$A$226, 0), 1)</f>
        <v>0.90168000000000004</v>
      </c>
      <c r="AA231" s="105">
        <f ca="1">IFERROR(IF(INDEX(AA$144:AA$150, MATCH(AA209&amp;" DMG%", $A$144:$A$150, 0), 1)="", 0,INDEX(AA$144:AA$150, MATCH(AA209&amp;" DMG%", $A$144:$A$150, 0), 1)),0)+AA$221+INDEX(AA222:AA226, MATCH(HLOOKUP('Rotation Assembler'!AA$21, 'Data Val'!$I$30:$M$32, 2, 0)&amp;" DMG%", $A$222:$A$226, 0), 1)</f>
        <v>0.90168000000000004</v>
      </c>
      <c r="AB231" s="105">
        <f ca="1">IFERROR(IF(INDEX(AB$144:AB$150, MATCH(AB209&amp;" DMG%", $A$144:$A$150, 0), 1)="", 0,INDEX(AB$144:AB$150, MATCH(AB209&amp;" DMG%", $A$144:$A$150, 0), 1)),0)+AB$221+INDEX(AB222:AB226, MATCH(HLOOKUP('Rotation Assembler'!AB$21, 'Data Val'!$I$30:$M$32, 2, 0)&amp;" DMG%", $A$222:$A$226, 0), 1)</f>
        <v>0.90168000000000004</v>
      </c>
      <c r="AC231" s="105">
        <f ca="1">IFERROR(IF(INDEX(AC$144:AC$150, MATCH(AC209&amp;" DMG%", $A$144:$A$150, 0), 1)="", 0,INDEX(AC$144:AC$150, MATCH(AC209&amp;" DMG%", $A$144:$A$150, 0), 1)),0)+AC$221+INDEX(AC222:AC226, MATCH(HLOOKUP('Rotation Assembler'!AC$21, 'Data Val'!$I$30:$M$32, 2, 0)&amp;" DMG%", $A$222:$A$226, 0), 1)</f>
        <v>0.90168000000000004</v>
      </c>
      <c r="AD231" s="105">
        <f ca="1">IFERROR(IF(INDEX(AD$144:AD$150, MATCH(AD209&amp;" DMG%", $A$144:$A$150, 0), 1)="", 0,INDEX(AD$144:AD$150, MATCH(AD209&amp;" DMG%", $A$144:$A$150, 0), 1)),0)+AD$221+INDEX(AD222:AD226, MATCH(HLOOKUP('Rotation Assembler'!AD$21, 'Data Val'!$I$30:$M$32, 2, 0)&amp;" DMG%", $A$222:$A$226, 0), 1)</f>
        <v>0.90168000000000004</v>
      </c>
      <c r="AE231" s="105">
        <f ca="1">IFERROR(IF(INDEX(AE$144:AE$150, MATCH(AE209&amp;" DMG%", $A$144:$A$150, 0), 1)="", 0,INDEX(AE$144:AE$150, MATCH(AE209&amp;" DMG%", $A$144:$A$150, 0), 1)),0)+AE$221+INDEX(AE222:AE226, MATCH(HLOOKUP('Rotation Assembler'!AE$21, 'Data Val'!$I$30:$M$32, 2, 0)&amp;" DMG%", $A$222:$A$226, 0), 1)</f>
        <v>0.90168000000000004</v>
      </c>
      <c r="AF231" s="105">
        <f ca="1">IFERROR(IF(INDEX(AF$144:AF$150, MATCH(AF209&amp;" DMG%", $A$144:$A$150, 0), 1)="", 0,INDEX(AF$144:AF$150, MATCH(AF209&amp;" DMG%", $A$144:$A$150, 0), 1)),0)+AF$221+INDEX(AF222:AF226, MATCH(HLOOKUP('Rotation Assembler'!AF$21, 'Data Val'!$I$30:$M$32, 2, 0)&amp;" DMG%", $A$222:$A$226, 0), 1)</f>
        <v>0.90168000000000004</v>
      </c>
      <c r="AG231" s="105">
        <f>IFERROR(IF(INDEX(AG$144:AG$150, MATCH(AG209&amp;" DMG%", $A$144:$A$150, 0), 1)="", 0,INDEX(AG$144:AG$150, MATCH(AG209&amp;" DMG%", $A$144:$A$150, 0), 1)),0)+AG$221+INDEX(AG222:AG226, MATCH(HLOOKUP('Rotation Assembler'!AG$21, 'Data Val'!$I$30:$M$32, 2, 0)&amp;" DMG%", $A$222:$A$226, 0), 1)</f>
        <v>0.69100000000000006</v>
      </c>
      <c r="AH231" s="105">
        <f>IFERROR(IF(INDEX(AH$144:AH$150, MATCH(AH209&amp;" DMG%", $A$144:$A$150, 0), 1)="", 0,INDEX(AH$144:AH$150, MATCH(AH209&amp;" DMG%", $A$144:$A$150, 0), 1)),0)+AH$221+INDEX(AH222:AH226, MATCH(HLOOKUP('Rotation Assembler'!AH$21, 'Data Val'!$I$30:$M$32, 2, 0)&amp;" DMG%", $A$222:$A$226, 0), 1)</f>
        <v>0.69100000000000006</v>
      </c>
      <c r="AI231" s="105">
        <f>IFERROR(IF(INDEX(AI$144:AI$150, MATCH(AI209&amp;" DMG%", $A$144:$A$150, 0), 1)="", 0,INDEX(AI$144:AI$150, MATCH(AI209&amp;" DMG%", $A$144:$A$150, 0), 1)),0)+AI$221+INDEX(AI222:AI226, MATCH(HLOOKUP('Rotation Assembler'!AI$21, 'Data Val'!$I$30:$M$32, 2, 0)&amp;" DMG%", $A$222:$A$226, 0), 1)</f>
        <v>0.58600000000000008</v>
      </c>
      <c r="AJ231" s="105">
        <f>IFERROR(IF(INDEX(AJ$144:AJ$150, MATCH(AJ209&amp;" DMG%", $A$144:$A$150, 0), 1)="", 0,INDEX(AJ$144:AJ$150, MATCH(AJ209&amp;" DMG%", $A$144:$A$150, 0), 1)),0)+AJ$221+INDEX(AJ222:AJ226, MATCH(HLOOKUP('Rotation Assembler'!AJ$21, 'Data Val'!$I$30:$M$32, 2, 0)&amp;" DMG%", $A$222:$A$226, 0), 1)</f>
        <v>0.58600000000000008</v>
      </c>
      <c r="AK231" s="105"/>
      <c r="AL231" s="105"/>
      <c r="AM231" s="105"/>
      <c r="AN231" s="105"/>
      <c r="AO231" s="105"/>
      <c r="AP231" s="105"/>
      <c r="AQ231" s="105"/>
      <c r="AR231" s="105"/>
      <c r="AS231" s="105"/>
      <c r="AT231" s="105"/>
      <c r="AU231" s="105"/>
      <c r="AV231" s="105"/>
      <c r="AW231" s="105"/>
      <c r="AX231" s="105"/>
      <c r="AY231" s="105"/>
      <c r="AZ231" s="105"/>
      <c r="BA231" s="105"/>
      <c r="BB231" s="105"/>
      <c r="BC231" s="105"/>
      <c r="BD231" s="105"/>
      <c r="BE231" s="105"/>
      <c r="BF231" s="105"/>
      <c r="BG231" s="105"/>
      <c r="BH231" s="105"/>
      <c r="BI231" s="105"/>
      <c r="BJ231" s="105"/>
      <c r="BK231" s="105"/>
      <c r="BL231" s="105"/>
      <c r="BM231" s="105"/>
      <c r="BN231" s="105"/>
      <c r="BO231" s="105"/>
      <c r="BP231" s="105"/>
      <c r="BQ231" s="105"/>
      <c r="BR231" s="105"/>
      <c r="BS231" s="105"/>
      <c r="BT231" s="105"/>
    </row>
    <row r="232" spans="1:72" hidden="1" outlineLevel="1" x14ac:dyDescent="0.25">
      <c r="A232" s="112" t="s">
        <v>0</v>
      </c>
      <c r="B232" s="105">
        <f t="shared" ref="B232:M232" ca="1" si="1139">IFERROR(IF(INDEX(B$144:B$150, MATCH(B210&amp;" DMG%", $A$144:$A$150, 0), 1)="", 0,INDEX(B$144:B$150, MATCH(B210&amp;" DMG%", $A$144:$A$150, 0), 1)),0)+B$221</f>
        <v>0.90168000000000004</v>
      </c>
      <c r="C232" s="105">
        <f t="shared" ca="1" si="1139"/>
        <v>0.90168000000000004</v>
      </c>
      <c r="D232" s="105">
        <f t="shared" ca="1" si="1139"/>
        <v>0.90168000000000004</v>
      </c>
      <c r="E232" s="105">
        <f t="shared" ca="1" si="1139"/>
        <v>0.90168000000000004</v>
      </c>
      <c r="F232" s="105">
        <f t="shared" si="1139"/>
        <v>0.8660000000000001</v>
      </c>
      <c r="G232" s="105">
        <f t="shared" si="1139"/>
        <v>0.8660000000000001</v>
      </c>
      <c r="H232" s="105">
        <f t="shared" si="1139"/>
        <v>0.8660000000000001</v>
      </c>
      <c r="I232" s="105">
        <f t="shared" si="1139"/>
        <v>0.8660000000000001</v>
      </c>
      <c r="J232" s="105">
        <f t="shared" si="1139"/>
        <v>0.58600000000000008</v>
      </c>
      <c r="K232" s="105">
        <f t="shared" si="1139"/>
        <v>0.58600000000000008</v>
      </c>
      <c r="L232" s="105">
        <f t="shared" si="1139"/>
        <v>0.58600000000000008</v>
      </c>
      <c r="M232" s="105">
        <f t="shared" si="1139"/>
        <v>0.69100000000000006</v>
      </c>
      <c r="N232" s="105">
        <f t="shared" ref="N232:O232" si="1140">IFERROR(IF(INDEX(N$144:N$150, MATCH(N210&amp;" DMG%", $A$144:$A$150, 0), 1)="", 0,INDEX(N$144:N$150, MATCH(N210&amp;" DMG%", $A$144:$A$150, 0), 1)),0)+N$221</f>
        <v>0.69100000000000006</v>
      </c>
      <c r="O232" s="105">
        <f t="shared" si="1140"/>
        <v>0.69100000000000006</v>
      </c>
      <c r="P232" s="105">
        <f>IFERROR(IF(INDEX(P$144:P$150, MATCH(P210&amp;" DMG%", $A$144:$A$150, 0), 1)="", 0,INDEX(P$144:P$150, MATCH(P210&amp;" DMG%", $A$144:$A$150, 0), 1)),0)+P$221</f>
        <v>0.69100000000000006</v>
      </c>
      <c r="Q232" s="105">
        <f>IFERROR(IF(INDEX(Q$144:Q$150, MATCH(Q210&amp;" DMG%", $A$144:$A$150, 0), 1)="", 0,INDEX(Q$144:Q$150, MATCH(Q210&amp;" DMG%", $A$144:$A$150, 0), 1)),0)+Q$221</f>
        <v>0.69100000000000006</v>
      </c>
      <c r="R232" s="105">
        <f>IFERROR(IF(INDEX(R$144:R$150, MATCH(R210&amp;" DMG%", $A$144:$A$150, 0), 1)="", 0,INDEX(R$144:R$150, MATCH(R210&amp;" DMG%", $A$144:$A$150, 0), 1)),0)+R$221</f>
        <v>0.89100000000000001</v>
      </c>
      <c r="S232" s="105">
        <f>IFERROR(IF(INDEX(S$144:S$150, MATCH(S210&amp;" DMG%", $A$144:$A$150, 0), 1)="", 0,INDEX(S$144:S$150, MATCH(S210&amp;" DMG%", $A$144:$A$150, 0), 1)),0)+S$221</f>
        <v>0.69100000000000006</v>
      </c>
      <c r="T232" s="105">
        <f t="shared" ref="T232:U232" si="1141">IFERROR(IF(INDEX(T$144:T$150, MATCH(T210&amp;" DMG%", $A$144:$A$150, 0), 1)="", 0,INDEX(T$144:T$150, MATCH(T210&amp;" DMG%", $A$144:$A$150, 0), 1)),0)+T$221</f>
        <v>0.69100000000000006</v>
      </c>
      <c r="U232" s="105">
        <f t="shared" si="1141"/>
        <v>0.69100000000000006</v>
      </c>
      <c r="V232" s="105">
        <f t="shared" ref="V232:AC232" si="1142">IFERROR(IF(INDEX(V$144:V$150, MATCH(V210&amp;" DMG%", $A$144:$A$150, 0), 1)="", 0,INDEX(V$144:V$150, MATCH(V210&amp;" DMG%", $A$144:$A$150, 0), 1)),0)+V$221</f>
        <v>0.69100000000000006</v>
      </c>
      <c r="W232" s="105">
        <f t="shared" si="1142"/>
        <v>0.69100000000000006</v>
      </c>
      <c r="X232" s="105">
        <f t="shared" ca="1" si="1142"/>
        <v>0.90168000000000004</v>
      </c>
      <c r="Y232" s="105">
        <f t="shared" ca="1" si="1142"/>
        <v>0.90168000000000004</v>
      </c>
      <c r="Z232" s="105">
        <f t="shared" ca="1" si="1142"/>
        <v>0.90168000000000004</v>
      </c>
      <c r="AA232" s="105">
        <f t="shared" ca="1" si="1142"/>
        <v>0.90168000000000004</v>
      </c>
      <c r="AB232" s="105">
        <f t="shared" ca="1" si="1142"/>
        <v>0.90168000000000004</v>
      </c>
      <c r="AC232" s="105">
        <f t="shared" ca="1" si="1142"/>
        <v>0.90168000000000004</v>
      </c>
      <c r="AD232" s="105">
        <f t="shared" ref="AD232" ca="1" si="1143">IFERROR(IF(INDEX(AD$144:AD$150, MATCH(AD210&amp;" DMG%", $A$144:$A$150, 0), 1)="", 0,INDEX(AD$144:AD$150, MATCH(AD210&amp;" DMG%", $A$144:$A$150, 0), 1)),0)+AD$221</f>
        <v>0.90168000000000004</v>
      </c>
      <c r="AE232" s="105">
        <f t="shared" ref="AE232:AF232" ca="1" si="1144">IFERROR(IF(INDEX(AE$144:AE$150, MATCH(AE210&amp;" DMG%", $A$144:$A$150, 0), 1)="", 0,INDEX(AE$144:AE$150, MATCH(AE210&amp;" DMG%", $A$144:$A$150, 0), 1)),0)+AE$221</f>
        <v>0.90168000000000004</v>
      </c>
      <c r="AF232" s="105">
        <f t="shared" ca="1" si="1144"/>
        <v>0.90168000000000004</v>
      </c>
      <c r="AG232" s="105">
        <f>IFERROR(IF(INDEX(AG$144:AG$150, MATCH(AG210&amp;" DMG%", $A$144:$A$150, 0), 1)="", 0,INDEX(AG$144:AG$150, MATCH(AG210&amp;" DMG%", $A$144:$A$150, 0), 1)),0)+AG$221</f>
        <v>0.69100000000000006</v>
      </c>
      <c r="AH232" s="105">
        <f>IFERROR(IF(INDEX(AH$144:AH$150, MATCH(AH210&amp;" DMG%", $A$144:$A$150, 0), 1)="", 0,INDEX(AH$144:AH$150, MATCH(AH210&amp;" DMG%", $A$144:$A$150, 0), 1)),0)+AH$221</f>
        <v>0.69100000000000006</v>
      </c>
      <c r="AI232" s="105">
        <f>IFERROR(IF(INDEX(AI$144:AI$150, MATCH(AI210&amp;" DMG%", $A$144:$A$150, 0), 1)="", 0,INDEX(AI$144:AI$150, MATCH(AI210&amp;" DMG%", $A$144:$A$150, 0), 1)),0)+AI$221</f>
        <v>0.58600000000000008</v>
      </c>
      <c r="AJ232" s="105">
        <f>IFERROR(IF(INDEX(AJ$144:AJ$150, MATCH(AJ210&amp;" DMG%", $A$144:$A$150, 0), 1)="", 0,INDEX(AJ$144:AJ$150, MATCH(AJ210&amp;" DMG%", $A$144:$A$150, 0), 1)),0)+AJ$221</f>
        <v>0.58600000000000008</v>
      </c>
      <c r="AK232" s="105"/>
      <c r="AL232" s="105"/>
      <c r="AM232" s="105"/>
      <c r="AN232" s="105"/>
      <c r="AO232" s="105"/>
      <c r="AP232" s="105"/>
      <c r="AQ232" s="105"/>
      <c r="AR232" s="105"/>
      <c r="AS232" s="105"/>
      <c r="AT232" s="105"/>
      <c r="AU232" s="105"/>
      <c r="AV232" s="105"/>
      <c r="AW232" s="105"/>
      <c r="AX232" s="105"/>
      <c r="AY232" s="105"/>
      <c r="AZ232" s="105"/>
      <c r="BA232" s="105"/>
      <c r="BB232" s="105"/>
      <c r="BC232" s="105"/>
      <c r="BD232" s="105"/>
      <c r="BE232" s="105"/>
      <c r="BF232" s="105"/>
      <c r="BG232" s="105"/>
      <c r="BH232" s="105"/>
      <c r="BI232" s="105"/>
      <c r="BJ232" s="105"/>
      <c r="BK232" s="105"/>
      <c r="BL232" s="105"/>
      <c r="BM232" s="105"/>
      <c r="BN232" s="105"/>
      <c r="BO232" s="105"/>
      <c r="BP232" s="105"/>
      <c r="BQ232" s="105"/>
      <c r="BR232" s="105"/>
      <c r="BS232" s="105"/>
      <c r="BT232" s="105"/>
    </row>
    <row r="233" spans="1:72" hidden="1" outlineLevel="1" x14ac:dyDescent="0.25">
      <c r="A233" s="112" t="s">
        <v>24</v>
      </c>
      <c r="B233" s="105">
        <f ca="1">IFERROR(IF(INDEX(B$144:B$150, MATCH(B211&amp;" DMG%", $A$144:$A$150, 0), 1)="", 0,INDEX(B$144:B$150, MATCH(B211&amp;" DMG%", $A$144:$A$150, 0), 1)),0)+B$221+INDEX(B222:B226, MATCH(HLOOKUP('Rotation Assembler'!B$21, 'Data Val'!$I$30:$M$32, 3, 0)&amp;" DMG%", $A$222:$A$226, 0), 1)</f>
        <v>2.0139800000000001</v>
      </c>
      <c r="C233" s="105">
        <f ca="1">IFERROR(IF(INDEX(C$144:C$150, MATCH(C211&amp;" DMG%", $A$144:$A$150, 0), 1)="", 0,INDEX(C$144:C$150, MATCH(C211&amp;" DMG%", $A$144:$A$150, 0), 1)),0)+C$221+INDEX(C222:C226, MATCH(HLOOKUP('Rotation Assembler'!C$21, 'Data Val'!$I$30:$M$32, 3, 0)&amp;" DMG%", $A$222:$A$226, 0), 1)</f>
        <v>2.0139800000000001</v>
      </c>
      <c r="D233" s="105">
        <f ca="1">IFERROR(IF(INDEX(D$144:D$150, MATCH(D211&amp;" DMG%", $A$144:$A$150, 0), 1)="", 0,INDEX(D$144:D$150, MATCH(D211&amp;" DMG%", $A$144:$A$150, 0), 1)),0)+D$221+INDEX(D222:D226, MATCH(HLOOKUP('Rotation Assembler'!D$21, 'Data Val'!$I$30:$M$32, 3, 0)&amp;" DMG%", $A$222:$A$226, 0), 1)</f>
        <v>2.0139800000000001</v>
      </c>
      <c r="E233" s="105">
        <f ca="1">IFERROR(IF(INDEX(E$144:E$150, MATCH(E211&amp;" DMG%", $A$144:$A$150, 0), 1)="", 0,INDEX(E$144:E$150, MATCH(E211&amp;" DMG%", $A$144:$A$150, 0), 1)),0)+E$221+INDEX(E222:E226, MATCH(HLOOKUP('Rotation Assembler'!E$21, 'Data Val'!$I$30:$M$32, 3, 0)&amp;" DMG%", $A$222:$A$226, 0), 1)</f>
        <v>2.0139800000000001</v>
      </c>
      <c r="F233" s="105">
        <f>IFERROR(IF(INDEX(F$144:F$150, MATCH(F211&amp;" DMG%", $A$144:$A$150, 0), 1)="", 0,INDEX(F$144:F$150, MATCH(F211&amp;" DMG%", $A$144:$A$150, 0), 1)),0)+F$221+INDEX(F222:F226, MATCH(HLOOKUP('Rotation Assembler'!F$21, 'Data Val'!$I$30:$M$32, 3, 0)&amp;" DMG%", $A$222:$A$226, 0), 1)</f>
        <v>1.5630500000000001</v>
      </c>
      <c r="G233" s="105">
        <f>IFERROR(IF(INDEX(G$144:G$150, MATCH(G211&amp;" DMG%", $A$144:$A$150, 0), 1)="", 0,INDEX(G$144:G$150, MATCH(G211&amp;" DMG%", $A$144:$A$150, 0), 1)),0)+G$221+INDEX(G222:G226, MATCH(HLOOKUP('Rotation Assembler'!G$21, 'Data Val'!$I$30:$M$32, 3, 0)&amp;" DMG%", $A$222:$A$226, 0), 1)</f>
        <v>1.5630500000000001</v>
      </c>
      <c r="H233" s="105">
        <f>IFERROR(IF(INDEX(H$144:H$150, MATCH(H211&amp;" DMG%", $A$144:$A$150, 0), 1)="", 0,INDEX(H$144:H$150, MATCH(H211&amp;" DMG%", $A$144:$A$150, 0), 1)),0)+H$221+INDEX(H222:H226, MATCH(HLOOKUP('Rotation Assembler'!H$21, 'Data Val'!$I$30:$M$32, 3, 0)&amp;" DMG%", $A$222:$A$226, 0), 1)</f>
        <v>1.5630500000000001</v>
      </c>
      <c r="I233" s="105">
        <f>IFERROR(IF(INDEX(I$144:I$150, MATCH(I211&amp;" DMG%", $A$144:$A$150, 0), 1)="", 0,INDEX(I$144:I$150, MATCH(I211&amp;" DMG%", $A$144:$A$150, 0), 1)),0)+I$221+INDEX(I222:I226, MATCH(HLOOKUP('Rotation Assembler'!I$21, 'Data Val'!$I$30:$M$32, 3, 0)&amp;" DMG%", $A$222:$A$226, 0), 1)</f>
        <v>1.5630500000000001</v>
      </c>
      <c r="J233" s="105">
        <f>IFERROR(IF(INDEX(J$144:J$150, MATCH(J211&amp;" DMG%", $A$144:$A$150, 0), 1)="", 0,INDEX(J$144:J$150, MATCH(J211&amp;" DMG%", $A$144:$A$150, 0), 1)),0)+J$221+INDEX(J222:J226, MATCH(HLOOKUP('Rotation Assembler'!J$21, 'Data Val'!$I$30:$M$32, 3, 0)&amp;" DMG%", $A$222:$A$226, 0), 1)</f>
        <v>0.96600000000000008</v>
      </c>
      <c r="K233" s="105">
        <f>IFERROR(IF(INDEX(K$144:K$150, MATCH(K211&amp;" DMG%", $A$144:$A$150, 0), 1)="", 0,INDEX(K$144:K$150, MATCH(K211&amp;" DMG%", $A$144:$A$150, 0), 1)),0)+K$221+INDEX(K222:K226, MATCH(HLOOKUP('Rotation Assembler'!K$21, 'Data Val'!$I$30:$M$32, 3, 0)&amp;" DMG%", $A$222:$A$226, 0), 1)</f>
        <v>0.96600000000000008</v>
      </c>
      <c r="L233" s="105">
        <f>IFERROR(IF(INDEX(L$144:L$150, MATCH(L211&amp;" DMG%", $A$144:$A$150, 0), 1)="", 0,INDEX(L$144:L$150, MATCH(L211&amp;" DMG%", $A$144:$A$150, 0), 1)),0)+L$221+INDEX(L222:L226, MATCH(HLOOKUP('Rotation Assembler'!L$21, 'Data Val'!$I$30:$M$32, 3, 0)&amp;" DMG%", $A$222:$A$226, 0), 1)</f>
        <v>0.96600000000000008</v>
      </c>
      <c r="M233" s="105">
        <f>IFERROR(IF(INDEX(M$144:M$150, MATCH(M211&amp;" DMG%", $A$144:$A$150, 0), 1)="", 0,INDEX(M$144:M$150, MATCH(M211&amp;" DMG%", $A$144:$A$150, 0), 1)),0)+M$221+INDEX(M222:M226, MATCH(HLOOKUP('Rotation Assembler'!M$21, 'Data Val'!$I$30:$M$32, 3, 0)&amp;" DMG%", $A$222:$A$226, 0), 1)</f>
        <v>1.2510000000000001</v>
      </c>
      <c r="N233" s="105">
        <f>IFERROR(IF(INDEX(N$144:N$150, MATCH(N211&amp;" DMG%", $A$144:$A$150, 0), 1)="", 0,INDEX(N$144:N$150, MATCH(N211&amp;" DMG%", $A$144:$A$150, 0), 1)),0)+N$221+INDEX(N222:N226, MATCH(HLOOKUP('Rotation Assembler'!N$21, 'Data Val'!$I$30:$M$32, 3, 0)&amp;" DMG%", $A$222:$A$226, 0), 1)</f>
        <v>1.2510000000000001</v>
      </c>
      <c r="O233" s="105">
        <f>IFERROR(IF(INDEX(O$144:O$150, MATCH(O211&amp;" DMG%", $A$144:$A$150, 0), 1)="", 0,INDEX(O$144:O$150, MATCH(O211&amp;" DMG%", $A$144:$A$150, 0), 1)),0)+O$221+INDEX(O222:O226, MATCH(HLOOKUP('Rotation Assembler'!O$21, 'Data Val'!$I$30:$M$32, 3, 0)&amp;" DMG%", $A$222:$A$226, 0), 1)</f>
        <v>1.2510000000000001</v>
      </c>
      <c r="P233" s="105">
        <f>IFERROR(IF(INDEX(P$144:P$150, MATCH(P211&amp;" DMG%", $A$144:$A$150, 0), 1)="", 0,INDEX(P$144:P$150, MATCH(P211&amp;" DMG%", $A$144:$A$150, 0), 1)),0)+P$221+INDEX(P222:P226, MATCH(HLOOKUP('Rotation Assembler'!P$21, 'Data Val'!$I$30:$M$32, 3, 0)&amp;" DMG%", $A$222:$A$226, 0), 1)</f>
        <v>1.2510000000000001</v>
      </c>
      <c r="Q233" s="105">
        <f>IFERROR(IF(INDEX(Q$144:Q$150, MATCH(Q211&amp;" DMG%", $A$144:$A$150, 0), 1)="", 0,INDEX(Q$144:Q$150, MATCH(Q211&amp;" DMG%", $A$144:$A$150, 0), 1)),0)+Q$221+INDEX(Q222:Q226, MATCH(HLOOKUP('Rotation Assembler'!Q$21, 'Data Val'!$I$30:$M$32, 3, 0)&amp;" DMG%", $A$222:$A$226, 0), 1)</f>
        <v>1.2510000000000001</v>
      </c>
      <c r="R233" s="105">
        <f>IFERROR(IF(INDEX(R$144:R$150, MATCH(R211&amp;" DMG%", $A$144:$A$150, 0), 1)="", 0,INDEX(R$144:R$150, MATCH(R211&amp;" DMG%", $A$144:$A$150, 0), 1)),0)+R$221+INDEX(R222:R226, MATCH(HLOOKUP('Rotation Assembler'!R$21, 'Data Val'!$I$30:$M$32, 3, 0)&amp;" DMG%", $A$222:$A$226, 0), 1)</f>
        <v>1.4510000000000001</v>
      </c>
      <c r="S233" s="105">
        <f>IFERROR(IF(INDEX(S$144:S$150, MATCH(S211&amp;" DMG%", $A$144:$A$150, 0), 1)="", 0,INDEX(S$144:S$150, MATCH(S211&amp;" DMG%", $A$144:$A$150, 0), 1)),0)+S$221+INDEX(S222:S226, MATCH(HLOOKUP('Rotation Assembler'!S$21, 'Data Val'!$I$30:$M$32, 3, 0)&amp;" DMG%", $A$222:$A$226, 0), 1)</f>
        <v>1.2510000000000001</v>
      </c>
      <c r="T233" s="105">
        <f>IFERROR(IF(INDEX(T$144:T$150, MATCH(T211&amp;" DMG%", $A$144:$A$150, 0), 1)="", 0,INDEX(T$144:T$150, MATCH(T211&amp;" DMG%", $A$144:$A$150, 0), 1)),0)+T$221+INDEX(T222:T226, MATCH(HLOOKUP('Rotation Assembler'!T$21, 'Data Val'!$I$30:$M$32, 3, 0)&amp;" DMG%", $A$222:$A$226, 0), 1)</f>
        <v>1.2510000000000001</v>
      </c>
      <c r="U233" s="105">
        <f>IFERROR(IF(INDEX(U$144:U$150, MATCH(U211&amp;" DMG%", $A$144:$A$150, 0), 1)="", 0,INDEX(U$144:U$150, MATCH(U211&amp;" DMG%", $A$144:$A$150, 0), 1)),0)+U$221+INDEX(U222:U226, MATCH(HLOOKUP('Rotation Assembler'!U$21, 'Data Val'!$I$30:$M$32, 3, 0)&amp;" DMG%", $A$222:$A$226, 0), 1)</f>
        <v>1.2510000000000001</v>
      </c>
      <c r="V233" s="105">
        <f>IFERROR(IF(INDEX(V$144:V$150, MATCH(V211&amp;" DMG%", $A$144:$A$150, 0), 1)="", 0,INDEX(V$144:V$150, MATCH(V211&amp;" DMG%", $A$144:$A$150, 0), 1)),0)+V$221+INDEX(V222:V226, MATCH(HLOOKUP('Rotation Assembler'!V$21, 'Data Val'!$I$30:$M$32, 3, 0)&amp;" DMG%", $A$222:$A$226, 0), 1)</f>
        <v>1.2510000000000001</v>
      </c>
      <c r="W233" s="105">
        <f>IFERROR(IF(INDEX(W$144:W$150, MATCH(W211&amp;" DMG%", $A$144:$A$150, 0), 1)="", 0,INDEX(W$144:W$150, MATCH(W211&amp;" DMG%", $A$144:$A$150, 0), 1)),0)+W$221+INDEX(W222:W226, MATCH(HLOOKUP('Rotation Assembler'!W$21, 'Data Val'!$I$30:$M$32, 3, 0)&amp;" DMG%", $A$222:$A$226, 0), 1)</f>
        <v>1.2510000000000001</v>
      </c>
      <c r="X233" s="105">
        <f ca="1">IFERROR(IF(INDEX(X$144:X$150, MATCH(X211&amp;" DMG%", $A$144:$A$150, 0), 1)="", 0,INDEX(X$144:X$150, MATCH(X211&amp;" DMG%", $A$144:$A$150, 0), 1)),0)+X$221+INDEX(X222:X226, MATCH(HLOOKUP('Rotation Assembler'!X$21, 'Data Val'!$I$30:$M$32, 3, 0)&amp;" DMG%", $A$222:$A$226, 0), 1)</f>
        <v>2.0139800000000001</v>
      </c>
      <c r="Y233" s="105">
        <f ca="1">IFERROR(IF(INDEX(Y$144:Y$150, MATCH(Y211&amp;" DMG%", $A$144:$A$150, 0), 1)="", 0,INDEX(Y$144:Y$150, MATCH(Y211&amp;" DMG%", $A$144:$A$150, 0), 1)),0)+Y$221+INDEX(Y222:Y226, MATCH(HLOOKUP('Rotation Assembler'!Y$21, 'Data Val'!$I$30:$M$32, 3, 0)&amp;" DMG%", $A$222:$A$226, 0), 1)</f>
        <v>2.0139800000000001</v>
      </c>
      <c r="Z233" s="105">
        <f ca="1">IFERROR(IF(INDEX(Z$144:Z$150, MATCH(Z211&amp;" DMG%", $A$144:$A$150, 0), 1)="", 0,INDEX(Z$144:Z$150, MATCH(Z211&amp;" DMG%", $A$144:$A$150, 0), 1)),0)+Z$221+INDEX(Z222:Z226, MATCH(HLOOKUP('Rotation Assembler'!Z$21, 'Data Val'!$I$30:$M$32, 3, 0)&amp;" DMG%", $A$222:$A$226, 0), 1)</f>
        <v>2.0139800000000001</v>
      </c>
      <c r="AA233" s="105">
        <f ca="1">IFERROR(IF(INDEX(AA$144:AA$150, MATCH(AA211&amp;" DMG%", $A$144:$A$150, 0), 1)="", 0,INDEX(AA$144:AA$150, MATCH(AA211&amp;" DMG%", $A$144:$A$150, 0), 1)),0)+AA$221+INDEX(AA222:AA226, MATCH(HLOOKUP('Rotation Assembler'!AA$21, 'Data Val'!$I$30:$M$32, 3, 0)&amp;" DMG%", $A$222:$A$226, 0), 1)</f>
        <v>2.0139800000000001</v>
      </c>
      <c r="AB233" s="105">
        <f ca="1">IFERROR(IF(INDEX(AB$144:AB$150, MATCH(AB211&amp;" DMG%", $A$144:$A$150, 0), 1)="", 0,INDEX(AB$144:AB$150, MATCH(AB211&amp;" DMG%", $A$144:$A$150, 0), 1)),0)+AB$221+INDEX(AB222:AB226, MATCH(HLOOKUP('Rotation Assembler'!AB$21, 'Data Val'!$I$30:$M$32, 3, 0)&amp;" DMG%", $A$222:$A$226, 0), 1)</f>
        <v>2.0139800000000001</v>
      </c>
      <c r="AC233" s="105">
        <f ca="1">IFERROR(IF(INDEX(AC$144:AC$150, MATCH(AC211&amp;" DMG%", $A$144:$A$150, 0), 1)="", 0,INDEX(AC$144:AC$150, MATCH(AC211&amp;" DMG%", $A$144:$A$150, 0), 1)),0)+AC$221+INDEX(AC222:AC226, MATCH(HLOOKUP('Rotation Assembler'!AC$21, 'Data Val'!$I$30:$M$32, 3, 0)&amp;" DMG%", $A$222:$A$226, 0), 1)</f>
        <v>2.0139800000000001</v>
      </c>
      <c r="AD233" s="105">
        <f ca="1">IFERROR(IF(INDEX(AD$144:AD$150, MATCH(AD211&amp;" DMG%", $A$144:$A$150, 0), 1)="", 0,INDEX(AD$144:AD$150, MATCH(AD211&amp;" DMG%", $A$144:$A$150, 0), 1)),0)+AD$221+INDEX(AD222:AD226, MATCH(HLOOKUP('Rotation Assembler'!AD$21, 'Data Val'!$I$30:$M$32, 3, 0)&amp;" DMG%", $A$222:$A$226, 0), 1)</f>
        <v>2.0139800000000001</v>
      </c>
      <c r="AE233" s="105">
        <f ca="1">IFERROR(IF(INDEX(AE$144:AE$150, MATCH(AE211&amp;" DMG%", $A$144:$A$150, 0), 1)="", 0,INDEX(AE$144:AE$150, MATCH(AE211&amp;" DMG%", $A$144:$A$150, 0), 1)),0)+AE$221+INDEX(AE222:AE226, MATCH(HLOOKUP('Rotation Assembler'!AE$21, 'Data Val'!$I$30:$M$32, 3, 0)&amp;" DMG%", $A$222:$A$226, 0), 1)</f>
        <v>2.0139800000000001</v>
      </c>
      <c r="AF233" s="105">
        <f ca="1">IFERROR(IF(INDEX(AF$144:AF$150, MATCH(AF211&amp;" DMG%", $A$144:$A$150, 0), 1)="", 0,INDEX(AF$144:AF$150, MATCH(AF211&amp;" DMG%", $A$144:$A$150, 0), 1)),0)+AF$221+INDEX(AF222:AF226, MATCH(HLOOKUP('Rotation Assembler'!AF$21, 'Data Val'!$I$30:$M$32, 3, 0)&amp;" DMG%", $A$222:$A$226, 0), 1)</f>
        <v>2.0139800000000001</v>
      </c>
      <c r="AG233" s="105">
        <f>IFERROR(IF(INDEX(AG$144:AG$150, MATCH(AG211&amp;" DMG%", $A$144:$A$150, 0), 1)="", 0,INDEX(AG$144:AG$150, MATCH(AG211&amp;" DMG%", $A$144:$A$150, 0), 1)),0)+AG$221+INDEX(AG222:AG226, MATCH(HLOOKUP('Rotation Assembler'!AG$21, 'Data Val'!$I$30:$M$32, 3, 0)&amp;" DMG%", $A$222:$A$226, 0), 1)</f>
        <v>1.2510000000000001</v>
      </c>
      <c r="AH233" s="105">
        <f>IFERROR(IF(INDEX(AH$144:AH$150, MATCH(AH211&amp;" DMG%", $A$144:$A$150, 0), 1)="", 0,INDEX(AH$144:AH$150, MATCH(AH211&amp;" DMG%", $A$144:$A$150, 0), 1)),0)+AH$221+INDEX(AH222:AH226, MATCH(HLOOKUP('Rotation Assembler'!AH$21, 'Data Val'!$I$30:$M$32, 3, 0)&amp;" DMG%", $A$222:$A$226, 0), 1)</f>
        <v>1.2510000000000001</v>
      </c>
      <c r="AI233" s="105">
        <f>IFERROR(IF(INDEX(AI$144:AI$150, MATCH(AI211&amp;" DMG%", $A$144:$A$150, 0), 1)="", 0,INDEX(AI$144:AI$150, MATCH(AI211&amp;" DMG%", $A$144:$A$150, 0), 1)),0)+AI$221+INDEX(AI222:AI226, MATCH(HLOOKUP('Rotation Assembler'!AI$21, 'Data Val'!$I$30:$M$32, 3, 0)&amp;" DMG%", $A$222:$A$226, 0), 1)</f>
        <v>0.96600000000000008</v>
      </c>
      <c r="AJ233" s="105">
        <f>IFERROR(IF(INDEX(AJ$144:AJ$150, MATCH(AJ211&amp;" DMG%", $A$144:$A$150, 0), 1)="", 0,INDEX(AJ$144:AJ$150, MATCH(AJ211&amp;" DMG%", $A$144:$A$150, 0), 1)),0)+AJ$221+INDEX(AJ222:AJ226, MATCH(HLOOKUP('Rotation Assembler'!AJ$21, 'Data Val'!$I$30:$M$32, 3, 0)&amp;" DMG%", $A$222:$A$226, 0), 1)</f>
        <v>0.96600000000000008</v>
      </c>
      <c r="AK233" s="105"/>
      <c r="AL233" s="105"/>
      <c r="AM233" s="105"/>
      <c r="AN233" s="105"/>
      <c r="AO233" s="105"/>
      <c r="AP233" s="105"/>
      <c r="AQ233" s="105"/>
      <c r="AR233" s="105"/>
      <c r="AS233" s="105"/>
      <c r="AT233" s="105"/>
      <c r="AU233" s="105"/>
      <c r="AV233" s="105"/>
      <c r="AW233" s="105"/>
      <c r="AX233" s="105"/>
      <c r="AY233" s="105"/>
      <c r="AZ233" s="105"/>
      <c r="BA233" s="105"/>
      <c r="BB233" s="105"/>
      <c r="BC233" s="105"/>
      <c r="BD233" s="105"/>
      <c r="BE233" s="105"/>
      <c r="BF233" s="105"/>
      <c r="BG233" s="105"/>
      <c r="BH233" s="105"/>
      <c r="BI233" s="105"/>
      <c r="BJ233" s="105"/>
      <c r="BK233" s="105"/>
      <c r="BL233" s="105"/>
      <c r="BM233" s="105"/>
      <c r="BN233" s="105"/>
      <c r="BO233" s="105"/>
      <c r="BP233" s="105"/>
      <c r="BQ233" s="105"/>
      <c r="BR233" s="105"/>
      <c r="BS233" s="105"/>
      <c r="BT233" s="105"/>
    </row>
    <row r="234" spans="1:72" s="115" customFormat="1" hidden="1" outlineLevel="1" x14ac:dyDescent="0.25">
      <c r="A234" s="114" t="s">
        <v>701</v>
      </c>
    </row>
    <row r="235" spans="1:72" hidden="1" outlineLevel="1" x14ac:dyDescent="0.25">
      <c r="A235" s="112" t="s">
        <v>680</v>
      </c>
      <c r="B235" s="130">
        <f>IFERROR(INDEX('Data Val'!$O$7:$T$11, MATCH('Rotation Assembler'!B$21, 'Data Val'!$O$7:$O$11, 0), MATCH(B$12, 'Data Val'!$O$7:$T$7, 0)),0)</f>
        <v>0</v>
      </c>
      <c r="C235" s="130">
        <f>IFERROR(INDEX('Data Val'!$O$7:$T$11, MATCH('Rotation Assembler'!C$21, 'Data Val'!$O$7:$O$11, 0), MATCH(C$12, 'Data Val'!$O$7:$T$7, 0)),0)</f>
        <v>0</v>
      </c>
      <c r="D235" s="130">
        <f>IFERROR(INDEX('Data Val'!$O$7:$T$11, MATCH('Rotation Assembler'!D$21, 'Data Val'!$O$7:$O$11, 0), MATCH(D$12, 'Data Val'!$O$7:$T$7, 0)),0)</f>
        <v>0</v>
      </c>
      <c r="E235" s="130">
        <f>IFERROR(INDEX('Data Val'!$O$7:$T$11, MATCH('Rotation Assembler'!E$21, 'Data Val'!$O$7:$O$11, 0), MATCH(E$12, 'Data Val'!$O$7:$T$7, 0)),0)</f>
        <v>0</v>
      </c>
      <c r="F235" s="130">
        <f>IFERROR(INDEX('Data Val'!$O$7:$T$11, MATCH('Rotation Assembler'!F$21, 'Data Val'!$O$7:$O$11, 0), MATCH(F$12, 'Data Val'!$O$7:$T$7, 0)),0)</f>
        <v>0</v>
      </c>
      <c r="G235" s="130">
        <f>IFERROR(INDEX('Data Val'!$O$7:$T$11, MATCH('Rotation Assembler'!G$21, 'Data Val'!$O$7:$O$11, 0), MATCH(G$12, 'Data Val'!$O$7:$T$7, 0)),0)</f>
        <v>0</v>
      </c>
      <c r="H235" s="130">
        <f>IFERROR(INDEX('Data Val'!$O$7:$T$11, MATCH('Rotation Assembler'!H$21, 'Data Val'!$O$7:$O$11, 0), MATCH(H$12, 'Data Val'!$O$7:$T$7, 0)),0)</f>
        <v>0</v>
      </c>
      <c r="I235" s="130">
        <f>IFERROR(INDEX('Data Val'!$O$7:$T$11, MATCH('Rotation Assembler'!I$21, 'Data Val'!$O$7:$O$11, 0), MATCH(I$12, 'Data Val'!$O$7:$T$7, 0)),0)</f>
        <v>0</v>
      </c>
      <c r="J235" s="130">
        <f>IFERROR(INDEX('Data Val'!$O$7:$T$11, MATCH('Rotation Assembler'!J$21, 'Data Val'!$O$7:$O$11, 0), MATCH(J$12, 'Data Val'!$O$7:$T$7, 0)),0)</f>
        <v>0</v>
      </c>
      <c r="K235" s="130">
        <f>IFERROR(INDEX('Data Val'!$O$7:$T$11, MATCH('Rotation Assembler'!K$21, 'Data Val'!$O$7:$O$11, 0), MATCH(K$12, 'Data Val'!$O$7:$T$7, 0)),0)</f>
        <v>0</v>
      </c>
      <c r="L235" s="130">
        <f>IFERROR(INDEX('Data Val'!$O$7:$T$11, MATCH('Rotation Assembler'!L$21, 'Data Val'!$O$7:$O$11, 0), MATCH(L$12, 'Data Val'!$O$7:$T$7, 0)),0)</f>
        <v>0</v>
      </c>
      <c r="M235" s="130">
        <f>IFERROR(INDEX('Data Val'!$O$7:$T$11, MATCH('Rotation Assembler'!M$21, 'Data Val'!$O$7:$O$11, 0), MATCH(M$12, 'Data Val'!$O$7:$T$7, 0)),0)</f>
        <v>0</v>
      </c>
      <c r="N235" s="130">
        <f>IFERROR(INDEX('Data Val'!$O$7:$T$11, MATCH('Rotation Assembler'!N$21, 'Data Val'!$O$7:$O$11, 0), MATCH(N$12, 'Data Val'!$O$7:$T$7, 0)),0)</f>
        <v>0</v>
      </c>
      <c r="O235" s="130">
        <f>IFERROR(INDEX('Data Val'!$O$7:$T$11, MATCH('Rotation Assembler'!O$21, 'Data Val'!$O$7:$O$11, 0), MATCH(O$12, 'Data Val'!$O$7:$T$7, 0)),0)</f>
        <v>0</v>
      </c>
      <c r="P235" s="130">
        <f>IFERROR(INDEX('Data Val'!$O$7:$T$11, MATCH('Rotation Assembler'!P$21, 'Data Val'!$O$7:$O$11, 0), MATCH(P$12, 'Data Val'!$O$7:$T$7, 0)),0)</f>
        <v>0</v>
      </c>
      <c r="Q235" s="130">
        <f>IFERROR(INDEX('Data Val'!$O$7:$T$11, MATCH('Rotation Assembler'!Q$21, 'Data Val'!$O$7:$O$11, 0), MATCH(Q$12, 'Data Val'!$O$7:$T$7, 0)),0)</f>
        <v>0</v>
      </c>
      <c r="R235" s="130">
        <f>IFERROR(INDEX('Data Val'!$O$7:$T$11, MATCH('Rotation Assembler'!R$21, 'Data Val'!$O$7:$O$11, 0), MATCH(R$12, 'Data Val'!$O$7:$T$7, 0)),0)</f>
        <v>0</v>
      </c>
      <c r="S235" s="130">
        <f>IFERROR(INDEX('Data Val'!$O$7:$T$11, MATCH('Rotation Assembler'!S$21, 'Data Val'!$O$7:$O$11, 0), MATCH(S$12, 'Data Val'!$O$7:$T$7, 0)),0)</f>
        <v>0</v>
      </c>
      <c r="T235" s="130">
        <f>IFERROR(INDEX('Data Val'!$O$7:$T$11, MATCH('Rotation Assembler'!T$21, 'Data Val'!$O$7:$O$11, 0), MATCH(T$12, 'Data Val'!$O$7:$T$7, 0)),0)</f>
        <v>0</v>
      </c>
      <c r="U235" s="130">
        <f>IFERROR(INDEX('Data Val'!$O$7:$T$11, MATCH('Rotation Assembler'!U$21, 'Data Val'!$O$7:$O$11, 0), MATCH(U$12, 'Data Val'!$O$7:$T$7, 0)),0)</f>
        <v>0</v>
      </c>
      <c r="V235" s="130">
        <f>IFERROR(INDEX('Data Val'!$O$7:$T$11, MATCH('Rotation Assembler'!V$21, 'Data Val'!$O$7:$O$11, 0), MATCH(V$12, 'Data Val'!$O$7:$T$7, 0)),0)</f>
        <v>0</v>
      </c>
      <c r="W235" s="130">
        <f>IFERROR(INDEX('Data Val'!$O$7:$T$11, MATCH('Rotation Assembler'!W$21, 'Data Val'!$O$7:$O$11, 0), MATCH(W$12, 'Data Val'!$O$7:$T$7, 0)),0)</f>
        <v>0</v>
      </c>
      <c r="X235" s="130">
        <f>IFERROR(INDEX('Data Val'!$O$7:$T$11, MATCH('Rotation Assembler'!X$21, 'Data Val'!$O$7:$O$11, 0), MATCH(X$12, 'Data Val'!$O$7:$T$7, 0)),0)</f>
        <v>0</v>
      </c>
      <c r="Y235" s="130">
        <f>IFERROR(INDEX('Data Val'!$O$7:$T$11, MATCH('Rotation Assembler'!Y$21, 'Data Val'!$O$7:$O$11, 0), MATCH(Y$12, 'Data Val'!$O$7:$T$7, 0)),0)</f>
        <v>0</v>
      </c>
      <c r="Z235" s="130">
        <f>IFERROR(INDEX('Data Val'!$O$7:$T$11, MATCH('Rotation Assembler'!Z$21, 'Data Val'!$O$7:$O$11, 0), MATCH(Z$12, 'Data Val'!$O$7:$T$7, 0)),0)</f>
        <v>0</v>
      </c>
      <c r="AA235" s="130">
        <f>IFERROR(INDEX('Data Val'!$O$7:$T$11, MATCH('Rotation Assembler'!AA$21, 'Data Val'!$O$7:$O$11, 0), MATCH(AA$12, 'Data Val'!$O$7:$T$7, 0)),0)</f>
        <v>0</v>
      </c>
      <c r="AB235" s="130">
        <f>IFERROR(INDEX('Data Val'!$O$7:$T$11, MATCH('Rotation Assembler'!AB$21, 'Data Val'!$O$7:$O$11, 0), MATCH(AB$12, 'Data Val'!$O$7:$T$7, 0)),0)</f>
        <v>0</v>
      </c>
      <c r="AC235" s="130">
        <f>IFERROR(INDEX('Data Val'!$O$7:$T$11, MATCH('Rotation Assembler'!AC$21, 'Data Val'!$O$7:$O$11, 0), MATCH(AC$12, 'Data Val'!$O$7:$T$7, 0)),0)</f>
        <v>0</v>
      </c>
      <c r="AD235" s="130">
        <f>IFERROR(INDEX('Data Val'!$O$7:$T$11, MATCH('Rotation Assembler'!AD$21, 'Data Val'!$O$7:$O$11, 0), MATCH(AD$12, 'Data Val'!$O$7:$T$7, 0)),0)</f>
        <v>0</v>
      </c>
      <c r="AE235" s="130">
        <f>IFERROR(INDEX('Data Val'!$O$7:$T$11, MATCH('Rotation Assembler'!AE$21, 'Data Val'!$O$7:$O$11, 0), MATCH(AE$12, 'Data Val'!$O$7:$T$7, 0)),0)</f>
        <v>0</v>
      </c>
      <c r="AF235" s="130">
        <f>IFERROR(INDEX('Data Val'!$O$7:$T$11, MATCH('Rotation Assembler'!AF$21, 'Data Val'!$O$7:$O$11, 0), MATCH(AF$12, 'Data Val'!$O$7:$T$7, 0)),0)</f>
        <v>0</v>
      </c>
      <c r="AG235" s="130">
        <f>IFERROR(INDEX('Data Val'!$O$7:$T$11, MATCH('Rotation Assembler'!AG$21, 'Data Val'!$O$7:$O$11, 0), MATCH(AG$12, 'Data Val'!$O$7:$T$7, 0)),0)</f>
        <v>0</v>
      </c>
      <c r="AH235" s="130">
        <f>IFERROR(INDEX('Data Val'!$O$7:$T$11, MATCH('Rotation Assembler'!AH$21, 'Data Val'!$O$7:$O$11, 0), MATCH(AH$12, 'Data Val'!$O$7:$T$7, 0)),0)</f>
        <v>0</v>
      </c>
      <c r="AI235" s="130">
        <f>IFERROR(INDEX('Data Val'!$O$7:$T$11, MATCH('Rotation Assembler'!AI$21, 'Data Val'!$O$7:$O$11, 0), MATCH(AI$12, 'Data Val'!$O$7:$T$7, 0)),0)</f>
        <v>0</v>
      </c>
      <c r="AJ235" s="130">
        <f>IFERROR(INDEX('Data Val'!$O$7:$T$11, MATCH('Rotation Assembler'!AJ$21, 'Data Val'!$O$7:$O$11, 0), MATCH(AJ$12, 'Data Val'!$O$7:$T$7, 0)),0)</f>
        <v>0</v>
      </c>
      <c r="AK235" s="130"/>
      <c r="AL235" s="130"/>
      <c r="AM235" s="130"/>
      <c r="AN235" s="130"/>
      <c r="AO235" s="130"/>
      <c r="AP235" s="130"/>
      <c r="AQ235" s="130"/>
      <c r="AR235" s="130"/>
      <c r="AS235" s="130"/>
      <c r="AT235" s="130"/>
      <c r="AU235" s="130"/>
      <c r="AV235" s="130"/>
      <c r="AW235" s="130"/>
      <c r="AX235" s="130"/>
      <c r="AY235" s="130"/>
      <c r="AZ235" s="130"/>
      <c r="BA235" s="130"/>
      <c r="BB235" s="130"/>
      <c r="BC235" s="130"/>
      <c r="BD235" s="130"/>
      <c r="BE235" s="130"/>
      <c r="BF235" s="130"/>
      <c r="BG235" s="130"/>
      <c r="BH235" s="130"/>
      <c r="BI235" s="130"/>
      <c r="BJ235" s="130"/>
      <c r="BK235" s="130"/>
      <c r="BL235" s="130"/>
      <c r="BM235" s="130"/>
      <c r="BN235" s="130"/>
      <c r="BO235" s="130"/>
      <c r="BP235" s="130"/>
      <c r="BQ235" s="130"/>
      <c r="BR235" s="130"/>
      <c r="BS235" s="130"/>
      <c r="BT235" s="130"/>
    </row>
    <row r="236" spans="1:72" hidden="1" outlineLevel="1" x14ac:dyDescent="0.25">
      <c r="A236" s="112" t="s">
        <v>681</v>
      </c>
      <c r="B236" s="105">
        <f t="shared" ref="B236:AJ236" si="1145">IFERROR(INDEX(B$227:B$233, MATCH(B$11, $A$227:$A$233, 0), 1),0)</f>
        <v>0</v>
      </c>
      <c r="C236" s="105">
        <f t="shared" si="1145"/>
        <v>0</v>
      </c>
      <c r="D236" s="105">
        <f t="shared" si="1145"/>
        <v>0</v>
      </c>
      <c r="E236" s="105">
        <f t="shared" si="1145"/>
        <v>0</v>
      </c>
      <c r="F236" s="105">
        <f t="shared" si="1145"/>
        <v>0</v>
      </c>
      <c r="G236" s="105">
        <f t="shared" si="1145"/>
        <v>0</v>
      </c>
      <c r="H236" s="105">
        <f t="shared" si="1145"/>
        <v>0</v>
      </c>
      <c r="I236" s="105">
        <f t="shared" si="1145"/>
        <v>0</v>
      </c>
      <c r="J236" s="105">
        <f t="shared" si="1145"/>
        <v>0</v>
      </c>
      <c r="K236" s="105">
        <f t="shared" si="1145"/>
        <v>0</v>
      </c>
      <c r="L236" s="105">
        <f t="shared" si="1145"/>
        <v>0</v>
      </c>
      <c r="M236" s="105">
        <f t="shared" si="1145"/>
        <v>0</v>
      </c>
      <c r="N236" s="105">
        <f t="shared" si="1145"/>
        <v>0</v>
      </c>
      <c r="O236" s="105">
        <f t="shared" si="1145"/>
        <v>0</v>
      </c>
      <c r="P236" s="105">
        <f t="shared" si="1145"/>
        <v>0</v>
      </c>
      <c r="Q236" s="105">
        <f t="shared" si="1145"/>
        <v>0</v>
      </c>
      <c r="R236" s="105">
        <f t="shared" si="1145"/>
        <v>0</v>
      </c>
      <c r="S236" s="105">
        <f t="shared" si="1145"/>
        <v>0</v>
      </c>
      <c r="T236" s="105">
        <f t="shared" si="1145"/>
        <v>0</v>
      </c>
      <c r="U236" s="105">
        <f t="shared" si="1145"/>
        <v>0</v>
      </c>
      <c r="V236" s="105">
        <f t="shared" si="1145"/>
        <v>0</v>
      </c>
      <c r="W236" s="105">
        <f t="shared" si="1145"/>
        <v>0</v>
      </c>
      <c r="X236" s="105">
        <f t="shared" si="1145"/>
        <v>0</v>
      </c>
      <c r="Y236" s="105">
        <f t="shared" si="1145"/>
        <v>0</v>
      </c>
      <c r="Z236" s="105">
        <f t="shared" si="1145"/>
        <v>0</v>
      </c>
      <c r="AA236" s="105">
        <f t="shared" si="1145"/>
        <v>0</v>
      </c>
      <c r="AB236" s="105">
        <f t="shared" si="1145"/>
        <v>0</v>
      </c>
      <c r="AC236" s="105">
        <f t="shared" si="1145"/>
        <v>0</v>
      </c>
      <c r="AD236" s="105">
        <f t="shared" si="1145"/>
        <v>0</v>
      </c>
      <c r="AE236" s="105">
        <f t="shared" si="1145"/>
        <v>0</v>
      </c>
      <c r="AF236" s="105">
        <f t="shared" si="1145"/>
        <v>0</v>
      </c>
      <c r="AG236" s="105">
        <f t="shared" si="1145"/>
        <v>0</v>
      </c>
      <c r="AH236" s="105">
        <f t="shared" si="1145"/>
        <v>0</v>
      </c>
      <c r="AI236" s="105">
        <f t="shared" si="1145"/>
        <v>0</v>
      </c>
      <c r="AJ236" s="105">
        <f t="shared" si="1145"/>
        <v>0</v>
      </c>
      <c r="AK236" s="105"/>
      <c r="AL236" s="105"/>
      <c r="AM236" s="105"/>
      <c r="AN236" s="105"/>
      <c r="AO236" s="105"/>
      <c r="AP236" s="105"/>
      <c r="AQ236" s="105"/>
      <c r="AR236" s="105"/>
      <c r="AS236" s="105"/>
      <c r="AT236" s="105"/>
      <c r="AU236" s="105"/>
      <c r="AV236" s="105"/>
      <c r="AW236" s="105"/>
      <c r="AX236" s="105"/>
      <c r="AY236" s="105"/>
      <c r="AZ236" s="105"/>
      <c r="BA236" s="105"/>
      <c r="BB236" s="105"/>
      <c r="BC236" s="105"/>
      <c r="BD236" s="105"/>
      <c r="BE236" s="105"/>
      <c r="BF236" s="105"/>
      <c r="BG236" s="105"/>
      <c r="BH236" s="105"/>
      <c r="BI236" s="105"/>
      <c r="BJ236" s="105"/>
      <c r="BK236" s="105"/>
      <c r="BL236" s="105"/>
      <c r="BM236" s="105"/>
      <c r="BN236" s="105"/>
      <c r="BO236" s="105"/>
      <c r="BP236" s="105"/>
      <c r="BQ236" s="105"/>
      <c r="BR236" s="105"/>
      <c r="BS236" s="105"/>
      <c r="BT236" s="105"/>
    </row>
    <row r="237" spans="1:72" hidden="1" outlineLevel="1" x14ac:dyDescent="0.25">
      <c r="A237" s="112" t="s">
        <v>682</v>
      </c>
      <c r="B237" s="105">
        <f t="shared" ref="B237:AJ237" ca="1" si="1146">IFERROR(1+(B140+IF(B11="Burst", B175, 0)+IF(B11 = "Skill", B176))*(B141+IF(B11="Burst", B177, 0)+IF(B11 = "Skill", B178, 0)),0)</f>
        <v>1.9837376999999998</v>
      </c>
      <c r="C237" s="105">
        <f t="shared" ca="1" si="1146"/>
        <v>1.9837376999999998</v>
      </c>
      <c r="D237" s="105">
        <f t="shared" ca="1" si="1146"/>
        <v>1.9837376999999998</v>
      </c>
      <c r="E237" s="105">
        <f t="shared" ca="1" si="1146"/>
        <v>1.9837376999999998</v>
      </c>
      <c r="F237" s="105">
        <f t="shared" ca="1" si="1146"/>
        <v>1.76860756</v>
      </c>
      <c r="G237" s="105">
        <f t="shared" ca="1" si="1146"/>
        <v>1.76860756</v>
      </c>
      <c r="H237" s="105">
        <f t="shared" ca="1" si="1146"/>
        <v>1.76860756</v>
      </c>
      <c r="I237" s="105">
        <f t="shared" ca="1" si="1146"/>
        <v>1.76860756</v>
      </c>
      <c r="J237" s="105">
        <f t="shared" ca="1" si="1146"/>
        <v>1.2701612799999999</v>
      </c>
      <c r="K237" s="105">
        <f t="shared" ca="1" si="1146"/>
        <v>1.2701612799999999</v>
      </c>
      <c r="L237" s="105">
        <f t="shared" ca="1" si="1146"/>
        <v>1.2701612799999999</v>
      </c>
      <c r="M237" s="105">
        <f t="shared" ca="1" si="1146"/>
        <v>1.76139176</v>
      </c>
      <c r="N237" s="105">
        <f t="shared" ca="1" si="1146"/>
        <v>1.76139176</v>
      </c>
      <c r="O237" s="105">
        <f t="shared" ca="1" si="1146"/>
        <v>1.76139176</v>
      </c>
      <c r="P237" s="105">
        <f t="shared" ca="1" si="1146"/>
        <v>1.76139176</v>
      </c>
      <c r="Q237" s="105">
        <f t="shared" ca="1" si="1146"/>
        <v>1.76139176</v>
      </c>
      <c r="R237" s="105">
        <f t="shared" ca="1" si="1146"/>
        <v>1.76139176</v>
      </c>
      <c r="S237" s="105">
        <f t="shared" ca="1" si="1146"/>
        <v>1.76139176</v>
      </c>
      <c r="T237" s="105">
        <f t="shared" ca="1" si="1146"/>
        <v>1.76139176</v>
      </c>
      <c r="U237" s="105">
        <f t="shared" ca="1" si="1146"/>
        <v>1.76139176</v>
      </c>
      <c r="V237" s="105">
        <f t="shared" ca="1" si="1146"/>
        <v>1.76139176</v>
      </c>
      <c r="W237" s="105">
        <f t="shared" ca="1" si="1146"/>
        <v>1.76139176</v>
      </c>
      <c r="X237" s="105">
        <f t="shared" ca="1" si="1146"/>
        <v>1.9837376999999998</v>
      </c>
      <c r="Y237" s="105">
        <f t="shared" ca="1" si="1146"/>
        <v>1.9837376999999998</v>
      </c>
      <c r="Z237" s="105">
        <f t="shared" ca="1" si="1146"/>
        <v>1.9837376999999998</v>
      </c>
      <c r="AA237" s="105">
        <f t="shared" ca="1" si="1146"/>
        <v>1.9837376999999998</v>
      </c>
      <c r="AB237" s="105">
        <f t="shared" ca="1" si="1146"/>
        <v>1.9837376999999998</v>
      </c>
      <c r="AC237" s="105">
        <f t="shared" ca="1" si="1146"/>
        <v>1.9837376999999998</v>
      </c>
      <c r="AD237" s="105">
        <f t="shared" ca="1" si="1146"/>
        <v>1.9837376999999998</v>
      </c>
      <c r="AE237" s="105">
        <f t="shared" ca="1" si="1146"/>
        <v>1.9837376999999998</v>
      </c>
      <c r="AF237" s="105">
        <f t="shared" ca="1" si="1146"/>
        <v>1.9837376999999998</v>
      </c>
      <c r="AG237" s="105">
        <f t="shared" ca="1" si="1146"/>
        <v>1.76139176</v>
      </c>
      <c r="AH237" s="105">
        <f t="shared" ca="1" si="1146"/>
        <v>0</v>
      </c>
      <c r="AI237" s="105">
        <f t="shared" ca="1" si="1146"/>
        <v>0</v>
      </c>
      <c r="AJ237" s="105">
        <f t="shared" ca="1" si="1146"/>
        <v>0</v>
      </c>
      <c r="AK237" s="105"/>
      <c r="AL237" s="105"/>
      <c r="AM237" s="105"/>
      <c r="AN237" s="105"/>
      <c r="AO237" s="105"/>
      <c r="AP237" s="105"/>
      <c r="AQ237" s="105"/>
      <c r="AR237" s="105"/>
      <c r="AS237" s="105"/>
      <c r="AT237" s="105"/>
      <c r="AU237" s="105"/>
      <c r="AV237" s="105"/>
      <c r="AW237" s="105"/>
      <c r="AX237" s="105"/>
      <c r="AY237" s="105"/>
      <c r="AZ237" s="105"/>
      <c r="BA237" s="105"/>
      <c r="BB237" s="105"/>
      <c r="BC237" s="105"/>
      <c r="BD237" s="105"/>
      <c r="BE237" s="105"/>
      <c r="BF237" s="105"/>
      <c r="BG237" s="105"/>
      <c r="BH237" s="105"/>
      <c r="BI237" s="105"/>
      <c r="BJ237" s="105"/>
      <c r="BK237" s="105"/>
      <c r="BL237" s="105"/>
      <c r="BM237" s="105"/>
      <c r="BN237" s="105"/>
      <c r="BO237" s="105"/>
      <c r="BP237" s="105"/>
      <c r="BQ237" s="105"/>
      <c r="BR237" s="105"/>
      <c r="BS237" s="105"/>
      <c r="BT237" s="105"/>
    </row>
    <row r="238" spans="1:72" hidden="1" outlineLevel="1" x14ac:dyDescent="0.25">
      <c r="A238" s="112" t="s">
        <v>684</v>
      </c>
      <c r="B238" s="105">
        <f>VLOOKUP(B$21, 'Data Val'!$O$13:$P$17, 2, 0)</f>
        <v>0.48648648648648651</v>
      </c>
      <c r="C238" s="105">
        <f>VLOOKUP(C$21, 'Data Val'!$O$13:$P$17, 2, 0)</f>
        <v>0.48648648648648651</v>
      </c>
      <c r="D238" s="105">
        <f>VLOOKUP(D$21, 'Data Val'!$O$13:$P$17, 2, 0)</f>
        <v>0.48648648648648651</v>
      </c>
      <c r="E238" s="105">
        <f>VLOOKUP(E$21, 'Data Val'!$O$13:$P$17, 2, 0)</f>
        <v>0.48648648648648651</v>
      </c>
      <c r="F238" s="105">
        <f>VLOOKUP(F$21, 'Data Val'!$O$13:$P$17, 2, 0)</f>
        <v>0.48648648648648651</v>
      </c>
      <c r="G238" s="105">
        <f>VLOOKUP(G$21, 'Data Val'!$O$13:$P$17, 2, 0)</f>
        <v>0.48648648648648651</v>
      </c>
      <c r="H238" s="105">
        <f>VLOOKUP(H$21, 'Data Val'!$O$13:$P$17, 2, 0)</f>
        <v>0.48648648648648651</v>
      </c>
      <c r="I238" s="105">
        <f>VLOOKUP(I$21, 'Data Val'!$O$13:$P$17, 2, 0)</f>
        <v>0.48648648648648651</v>
      </c>
      <c r="J238" s="105">
        <f>VLOOKUP(J$21, 'Data Val'!$O$13:$P$17, 2, 0)</f>
        <v>0.48648648648648651</v>
      </c>
      <c r="K238" s="105">
        <f>VLOOKUP(K$21, 'Data Val'!$O$13:$P$17, 2, 0)</f>
        <v>0.48648648648648651</v>
      </c>
      <c r="L238" s="105">
        <f>VLOOKUP(L$21, 'Data Val'!$O$13:$P$17, 2, 0)</f>
        <v>0.48648648648648651</v>
      </c>
      <c r="M238" s="105">
        <f>VLOOKUP(M$21, 'Data Val'!$O$13:$P$17, 2, 0)</f>
        <v>0.5</v>
      </c>
      <c r="N238" s="105">
        <f>VLOOKUP(N$21, 'Data Val'!$O$13:$P$17, 2, 0)</f>
        <v>0.5</v>
      </c>
      <c r="O238" s="105">
        <f>VLOOKUP(O$21, 'Data Val'!$O$13:$P$17, 2, 0)</f>
        <v>0.5</v>
      </c>
      <c r="P238" s="105">
        <f>VLOOKUP(P$21, 'Data Val'!$O$13:$P$17, 2, 0)</f>
        <v>0.5</v>
      </c>
      <c r="Q238" s="105">
        <f>VLOOKUP(Q$21, 'Data Val'!$O$13:$P$17, 2, 0)</f>
        <v>0.5</v>
      </c>
      <c r="R238" s="105">
        <f>VLOOKUP(R$21, 'Data Val'!$O$13:$P$17, 2, 0)</f>
        <v>0.5</v>
      </c>
      <c r="S238" s="105">
        <f>VLOOKUP(S$21, 'Data Val'!$O$13:$P$17, 2, 0)</f>
        <v>0.5</v>
      </c>
      <c r="T238" s="105">
        <f>VLOOKUP(T$21, 'Data Val'!$O$13:$P$17, 2, 0)</f>
        <v>0.5</v>
      </c>
      <c r="U238" s="105">
        <f>VLOOKUP(U$21, 'Data Val'!$O$13:$P$17, 2, 0)</f>
        <v>0.5</v>
      </c>
      <c r="V238" s="105">
        <f>VLOOKUP(V$21, 'Data Val'!$O$13:$P$17, 2, 0)</f>
        <v>0.5</v>
      </c>
      <c r="W238" s="105">
        <f>VLOOKUP(W$21, 'Data Val'!$O$13:$P$17, 2, 0)</f>
        <v>0.5</v>
      </c>
      <c r="X238" s="105">
        <f>VLOOKUP(X$21, 'Data Val'!$O$13:$P$17, 2, 0)</f>
        <v>0.48648648648648651</v>
      </c>
      <c r="Y238" s="105">
        <f>VLOOKUP(Y$21, 'Data Val'!$O$13:$P$17, 2, 0)</f>
        <v>0.48648648648648651</v>
      </c>
      <c r="Z238" s="105">
        <f>VLOOKUP(Z$21, 'Data Val'!$O$13:$P$17, 2, 0)</f>
        <v>0.48648648648648651</v>
      </c>
      <c r="AA238" s="105">
        <f>VLOOKUP(AA$21, 'Data Val'!$O$13:$P$17, 2, 0)</f>
        <v>0.48648648648648651</v>
      </c>
      <c r="AB238" s="105">
        <f>VLOOKUP(AB$21, 'Data Val'!$O$13:$P$17, 2, 0)</f>
        <v>0.48648648648648651</v>
      </c>
      <c r="AC238" s="105">
        <f>VLOOKUP(AC$21, 'Data Val'!$O$13:$P$17, 2, 0)</f>
        <v>0.48648648648648651</v>
      </c>
      <c r="AD238" s="105">
        <f>VLOOKUP(AD$21, 'Data Val'!$O$13:$P$17, 2, 0)</f>
        <v>0.48648648648648651</v>
      </c>
      <c r="AE238" s="105">
        <f>VLOOKUP(AE$21, 'Data Val'!$O$13:$P$17, 2, 0)</f>
        <v>0.48648648648648651</v>
      </c>
      <c r="AF238" s="105">
        <f>VLOOKUP(AF$21, 'Data Val'!$O$13:$P$17, 2, 0)</f>
        <v>0.48648648648648651</v>
      </c>
      <c r="AG238" s="105">
        <f>VLOOKUP(AG$21, 'Data Val'!$O$13:$P$17, 2, 0)</f>
        <v>0.5</v>
      </c>
      <c r="AH238" s="105">
        <f>VLOOKUP(AH$21, 'Data Val'!$O$13:$P$17, 2, 0)</f>
        <v>0.5</v>
      </c>
      <c r="AI238" s="105">
        <f>VLOOKUP(AI$21, 'Data Val'!$O$13:$P$17, 2, 0)</f>
        <v>0.48648648648648651</v>
      </c>
      <c r="AJ238" s="105">
        <f>VLOOKUP(AJ$21, 'Data Val'!$O$13:$P$17, 2, 0)</f>
        <v>0.48648648648648651</v>
      </c>
      <c r="AK238" s="105"/>
      <c r="AL238" s="105"/>
      <c r="AM238" s="105"/>
      <c r="AN238" s="105"/>
      <c r="AO238" s="105"/>
      <c r="AP238" s="105"/>
      <c r="AQ238" s="105"/>
      <c r="AR238" s="105"/>
      <c r="AS238" s="105"/>
      <c r="AT238" s="105"/>
      <c r="AU238" s="105"/>
      <c r="AV238" s="105"/>
      <c r="AW238" s="105"/>
      <c r="AX238" s="105"/>
      <c r="AY238" s="105"/>
      <c r="AZ238" s="105"/>
      <c r="BA238" s="105"/>
      <c r="BB238" s="105"/>
      <c r="BC238" s="105"/>
      <c r="BD238" s="105"/>
      <c r="BE238" s="105"/>
      <c r="BF238" s="105"/>
      <c r="BG238" s="105"/>
      <c r="BH238" s="105"/>
      <c r="BI238" s="105"/>
      <c r="BJ238" s="105"/>
      <c r="BK238" s="105"/>
      <c r="BL238" s="105"/>
      <c r="BM238" s="105"/>
      <c r="BN238" s="105"/>
      <c r="BO238" s="105"/>
      <c r="BP238" s="105"/>
      <c r="BQ238" s="105"/>
      <c r="BR238" s="105"/>
      <c r="BS238" s="105"/>
      <c r="BT238" s="105"/>
    </row>
    <row r="239" spans="1:72" hidden="1" outlineLevel="1" x14ac:dyDescent="0.25">
      <c r="A239" s="112" t="s">
        <v>685</v>
      </c>
      <c r="B239" s="105">
        <f t="shared" ref="B239:AJ239" si="1147">IFERROR((1-INDEX(B187:B193, MATCH("Effective "&amp;B13&amp;" Res", $A$187:$A$193, 0), 1)),1)</f>
        <v>1</v>
      </c>
      <c r="C239" s="105">
        <f t="shared" si="1147"/>
        <v>1</v>
      </c>
      <c r="D239" s="105">
        <f t="shared" si="1147"/>
        <v>1</v>
      </c>
      <c r="E239" s="105">
        <f t="shared" si="1147"/>
        <v>1</v>
      </c>
      <c r="F239" s="105">
        <f t="shared" si="1147"/>
        <v>1</v>
      </c>
      <c r="G239" s="105">
        <f t="shared" si="1147"/>
        <v>1</v>
      </c>
      <c r="H239" s="105">
        <f t="shared" si="1147"/>
        <v>1</v>
      </c>
      <c r="I239" s="105">
        <f t="shared" si="1147"/>
        <v>1</v>
      </c>
      <c r="J239" s="105">
        <f t="shared" si="1147"/>
        <v>1</v>
      </c>
      <c r="K239" s="105">
        <f t="shared" si="1147"/>
        <v>1</v>
      </c>
      <c r="L239" s="105">
        <f t="shared" si="1147"/>
        <v>1</v>
      </c>
      <c r="M239" s="105">
        <f t="shared" si="1147"/>
        <v>1</v>
      </c>
      <c r="N239" s="105">
        <f t="shared" si="1147"/>
        <v>1</v>
      </c>
      <c r="O239" s="105">
        <f t="shared" si="1147"/>
        <v>1</v>
      </c>
      <c r="P239" s="105">
        <f t="shared" si="1147"/>
        <v>1</v>
      </c>
      <c r="Q239" s="105">
        <f t="shared" si="1147"/>
        <v>1</v>
      </c>
      <c r="R239" s="105">
        <f t="shared" si="1147"/>
        <v>1</v>
      </c>
      <c r="S239" s="105">
        <f t="shared" si="1147"/>
        <v>1</v>
      </c>
      <c r="T239" s="105">
        <f t="shared" si="1147"/>
        <v>1</v>
      </c>
      <c r="U239" s="105">
        <f t="shared" si="1147"/>
        <v>1</v>
      </c>
      <c r="V239" s="105">
        <f t="shared" si="1147"/>
        <v>1</v>
      </c>
      <c r="W239" s="105">
        <f t="shared" si="1147"/>
        <v>1</v>
      </c>
      <c r="X239" s="105">
        <f t="shared" si="1147"/>
        <v>1</v>
      </c>
      <c r="Y239" s="105">
        <f t="shared" si="1147"/>
        <v>1</v>
      </c>
      <c r="Z239" s="105">
        <f t="shared" si="1147"/>
        <v>1</v>
      </c>
      <c r="AA239" s="105">
        <f t="shared" si="1147"/>
        <v>1</v>
      </c>
      <c r="AB239" s="105">
        <f t="shared" si="1147"/>
        <v>1</v>
      </c>
      <c r="AC239" s="105">
        <f t="shared" si="1147"/>
        <v>1</v>
      </c>
      <c r="AD239" s="105">
        <f t="shared" si="1147"/>
        <v>1</v>
      </c>
      <c r="AE239" s="105">
        <f t="shared" si="1147"/>
        <v>1</v>
      </c>
      <c r="AF239" s="105">
        <f t="shared" si="1147"/>
        <v>1</v>
      </c>
      <c r="AG239" s="105">
        <f t="shared" si="1147"/>
        <v>1</v>
      </c>
      <c r="AH239" s="105">
        <f t="shared" si="1147"/>
        <v>1</v>
      </c>
      <c r="AI239" s="105">
        <f t="shared" si="1147"/>
        <v>1</v>
      </c>
      <c r="AJ239" s="105">
        <f t="shared" si="1147"/>
        <v>1</v>
      </c>
      <c r="AK239" s="105"/>
      <c r="AL239" s="105"/>
      <c r="AM239" s="105"/>
      <c r="AN239" s="105"/>
      <c r="AO239" s="105"/>
      <c r="AP239" s="105"/>
      <c r="AQ239" s="105"/>
      <c r="AR239" s="105"/>
      <c r="AS239" s="105"/>
      <c r="AT239" s="105"/>
      <c r="AU239" s="105"/>
      <c r="AV239" s="105"/>
      <c r="AW239" s="105"/>
      <c r="AX239" s="105"/>
      <c r="AY239" s="105"/>
      <c r="AZ239" s="105"/>
      <c r="BA239" s="105"/>
      <c r="BB239" s="105"/>
      <c r="BC239" s="105"/>
      <c r="BD239" s="105"/>
      <c r="BE239" s="105"/>
      <c r="BF239" s="105"/>
      <c r="BG239" s="105"/>
      <c r="BH239" s="105"/>
      <c r="BI239" s="105"/>
      <c r="BJ239" s="105"/>
      <c r="BK239" s="105"/>
      <c r="BL239" s="105"/>
      <c r="BM239" s="105"/>
      <c r="BN239" s="105"/>
      <c r="BO239" s="105"/>
      <c r="BP239" s="105"/>
      <c r="BQ239" s="105"/>
      <c r="BR239" s="105"/>
      <c r="BS239" s="105"/>
      <c r="BT239" s="105"/>
    </row>
    <row r="240" spans="1:72" hidden="1" outlineLevel="1" x14ac:dyDescent="0.25">
      <c r="A240" s="112" t="s">
        <v>686</v>
      </c>
      <c r="B240" s="130">
        <f>VLOOKUP(B5, 'Data Val'!$D$2:$E$6, 2, 0)</f>
        <v>1</v>
      </c>
      <c r="C240" s="130">
        <f>VLOOKUP(C5, 'Data Val'!$D$2:$E$6, 2, 0)</f>
        <v>1</v>
      </c>
      <c r="D240" s="130">
        <f>VLOOKUP(D5, 'Data Val'!$D$2:$E$6, 2, 0)</f>
        <v>1</v>
      </c>
      <c r="E240" s="130">
        <f>VLOOKUP(E5, 'Data Val'!$D$2:$E$6, 2, 0)</f>
        <v>1</v>
      </c>
      <c r="F240" s="130">
        <f>VLOOKUP(F5, 'Data Val'!$D$2:$E$6, 2, 0)</f>
        <v>1</v>
      </c>
      <c r="G240" s="130">
        <f>VLOOKUP(G5, 'Data Val'!$D$2:$E$6, 2, 0)</f>
        <v>1</v>
      </c>
      <c r="H240" s="130">
        <f>VLOOKUP(H5, 'Data Val'!$D$2:$E$6, 2, 0)</f>
        <v>1</v>
      </c>
      <c r="I240" s="130">
        <f>VLOOKUP(I5, 'Data Val'!$D$2:$E$6, 2, 0)</f>
        <v>1</v>
      </c>
      <c r="J240" s="130">
        <f>VLOOKUP(J5, 'Data Val'!$D$2:$E$6, 2, 0)</f>
        <v>2</v>
      </c>
      <c r="K240" s="130">
        <f>VLOOKUP(K5, 'Data Val'!$D$2:$E$6, 2, 0)</f>
        <v>1</v>
      </c>
      <c r="L240" s="130">
        <f>VLOOKUP(L5, 'Data Val'!$D$2:$E$6, 2, 0)</f>
        <v>2</v>
      </c>
      <c r="M240" s="130">
        <f>VLOOKUP(M5, 'Data Val'!$D$2:$E$6, 2, 0)</f>
        <v>2</v>
      </c>
      <c r="N240" s="130">
        <f>VLOOKUP(N5, 'Data Val'!$D$2:$E$6, 2, 0)</f>
        <v>1</v>
      </c>
      <c r="O240" s="130">
        <f>VLOOKUP(O5, 'Data Val'!$D$2:$E$6, 2, 0)</f>
        <v>1</v>
      </c>
      <c r="P240" s="130">
        <f>VLOOKUP(P5, 'Data Val'!$D$2:$E$6, 2, 0)</f>
        <v>1</v>
      </c>
      <c r="Q240" s="130">
        <f>VLOOKUP(Q5, 'Data Val'!$D$2:$E$6, 2, 0)</f>
        <v>1</v>
      </c>
      <c r="R240" s="130">
        <f>VLOOKUP(R5, 'Data Val'!$D$2:$E$6, 2, 0)</f>
        <v>1</v>
      </c>
      <c r="S240" s="130">
        <f>VLOOKUP(S5, 'Data Val'!$D$2:$E$6, 2, 0)</f>
        <v>2</v>
      </c>
      <c r="T240" s="130">
        <f>VLOOKUP(T5, 'Data Val'!$D$2:$E$6, 2, 0)</f>
        <v>1</v>
      </c>
      <c r="U240" s="130">
        <f>VLOOKUP(U5, 'Data Val'!$D$2:$E$6, 2, 0)</f>
        <v>1</v>
      </c>
      <c r="V240" s="130">
        <f>VLOOKUP(V5, 'Data Val'!$D$2:$E$6, 2, 0)</f>
        <v>2</v>
      </c>
      <c r="W240" s="130">
        <f>VLOOKUP(W5, 'Data Val'!$D$2:$E$6, 2, 0)</f>
        <v>1</v>
      </c>
      <c r="X240" s="130">
        <f>VLOOKUP(X5, 'Data Val'!$D$2:$E$6, 2, 0)</f>
        <v>1</v>
      </c>
      <c r="Y240" s="130">
        <f>VLOOKUP(Y5, 'Data Val'!$D$2:$E$6, 2, 0)</f>
        <v>1</v>
      </c>
      <c r="Z240" s="130">
        <f>VLOOKUP(Z5, 'Data Val'!$D$2:$E$6, 2, 0)</f>
        <v>1</v>
      </c>
      <c r="AA240" s="130">
        <f>VLOOKUP(AA5, 'Data Val'!$D$2:$E$6, 2, 0)</f>
        <v>1</v>
      </c>
      <c r="AB240" s="130">
        <f>VLOOKUP(AB5, 'Data Val'!$D$2:$E$6, 2, 0)</f>
        <v>1</v>
      </c>
      <c r="AC240" s="130">
        <f>VLOOKUP(AC5, 'Data Val'!$D$2:$E$6, 2, 0)</f>
        <v>1</v>
      </c>
      <c r="AD240" s="130">
        <f>VLOOKUP(AD5, 'Data Val'!$D$2:$E$6, 2, 0)</f>
        <v>1</v>
      </c>
      <c r="AE240" s="130">
        <f>VLOOKUP(AE5, 'Data Val'!$D$2:$E$6, 2, 0)</f>
        <v>1</v>
      </c>
      <c r="AF240" s="130">
        <f>VLOOKUP(AF5, 'Data Val'!$D$2:$E$6, 2, 0)</f>
        <v>1</v>
      </c>
      <c r="AG240" s="130">
        <f>VLOOKUP(AG5, 'Data Val'!$D$2:$E$6, 2, 0)</f>
        <v>1</v>
      </c>
      <c r="AH240" s="130">
        <f>VLOOKUP(AH5, 'Data Val'!$D$2:$E$6, 2, 0)</f>
        <v>1</v>
      </c>
      <c r="AI240" s="130">
        <f>VLOOKUP(AI5, 'Data Val'!$D$2:$E$6, 2, 0)</f>
        <v>1</v>
      </c>
      <c r="AJ240" s="130">
        <f>VLOOKUP(AJ5, 'Data Val'!$D$2:$E$6, 2, 0)</f>
        <v>1</v>
      </c>
      <c r="AK240" s="130"/>
      <c r="AL240" s="130"/>
      <c r="AM240" s="130"/>
      <c r="AN240" s="130"/>
      <c r="AO240" s="130"/>
      <c r="AP240" s="130"/>
      <c r="AQ240" s="130"/>
      <c r="AR240" s="130"/>
      <c r="AS240" s="130"/>
      <c r="AT240" s="130"/>
      <c r="AU240" s="130"/>
      <c r="AV240" s="130"/>
      <c r="AW240" s="130"/>
      <c r="AX240" s="130"/>
      <c r="AY240" s="130"/>
      <c r="AZ240" s="130"/>
      <c r="BA240" s="130"/>
      <c r="BB240" s="130"/>
      <c r="BC240" s="130"/>
      <c r="BD240" s="130"/>
      <c r="BE240" s="130"/>
      <c r="BF240" s="130"/>
      <c r="BG240" s="130"/>
      <c r="BH240" s="130"/>
      <c r="BI240" s="130"/>
      <c r="BJ240" s="130"/>
      <c r="BK240" s="130"/>
      <c r="BL240" s="130"/>
      <c r="BM240" s="130"/>
      <c r="BN240" s="130"/>
      <c r="BO240" s="130"/>
      <c r="BP240" s="130"/>
      <c r="BQ240" s="130"/>
      <c r="BR240" s="130"/>
      <c r="BS240" s="130"/>
      <c r="BT240" s="130"/>
    </row>
    <row r="241" spans="1:72" hidden="1" outlineLevel="1" x14ac:dyDescent="0.25">
      <c r="A241" s="112" t="s">
        <v>781</v>
      </c>
      <c r="B241" s="130">
        <f t="shared" ref="B241:D241" si="1148">IF(B240=1, 1, B240*(1+(2.78*B136)/(1400+B136)+B251))</f>
        <v>1</v>
      </c>
      <c r="C241" s="130">
        <f t="shared" ref="C241" si="1149">IF(C240=1, 1, C240*(1+(2.78*C136)/(1400+C136)+C251))</f>
        <v>1</v>
      </c>
      <c r="D241" s="130">
        <f t="shared" si="1148"/>
        <v>1</v>
      </c>
      <c r="E241" s="130">
        <f t="shared" ref="E241" si="1150">IF(E240=1, 1, E240*(1+(2.78*E136)/(1400+E136)+E251))</f>
        <v>1</v>
      </c>
      <c r="F241" s="130">
        <f t="shared" ref="F241:L241" si="1151">IF(F240=1, 1, F240*(1+(2.78*F136)/(1400+F136)+F251))</f>
        <v>1</v>
      </c>
      <c r="G241" s="130">
        <f t="shared" si="1151"/>
        <v>1</v>
      </c>
      <c r="H241" s="130">
        <f t="shared" si="1151"/>
        <v>1</v>
      </c>
      <c r="I241" s="130">
        <f t="shared" si="1151"/>
        <v>1</v>
      </c>
      <c r="J241" s="130">
        <f t="shared" si="1151"/>
        <v>3.4192220614520386</v>
      </c>
      <c r="K241" s="130">
        <f t="shared" si="1151"/>
        <v>1</v>
      </c>
      <c r="L241" s="130">
        <f t="shared" si="1151"/>
        <v>3.4192220614520386</v>
      </c>
      <c r="M241" s="130">
        <f t="shared" ref="M241:AG241" ca="1" si="1152">IF(M240=1, 1, M240*(1+(2.78*M136)/(1400+M136)+M251))</f>
        <v>3.3413542005294197</v>
      </c>
      <c r="N241" s="130">
        <f t="shared" ref="N241:O241" si="1153">IF(N240=1, 1, N240*(1+(2.78*N136)/(1400+N136)+N251))</f>
        <v>1</v>
      </c>
      <c r="O241" s="130">
        <f t="shared" si="1153"/>
        <v>1</v>
      </c>
      <c r="P241" s="130">
        <f t="shared" si="1152"/>
        <v>1</v>
      </c>
      <c r="Q241" s="130">
        <f t="shared" si="1152"/>
        <v>1</v>
      </c>
      <c r="R241" s="130">
        <f t="shared" si="1152"/>
        <v>1</v>
      </c>
      <c r="S241" s="130">
        <f t="shared" ca="1" si="1152"/>
        <v>3.3413542005294197</v>
      </c>
      <c r="T241" s="130">
        <f t="shared" ref="T241:U241" si="1154">IF(T240=1, 1, T240*(1+(2.78*T136)/(1400+T136)+T251))</f>
        <v>1</v>
      </c>
      <c r="U241" s="130">
        <f t="shared" si="1154"/>
        <v>1</v>
      </c>
      <c r="V241" s="130">
        <f t="shared" ca="1" si="1152"/>
        <v>3.3413542005294197</v>
      </c>
      <c r="W241" s="130">
        <f t="shared" si="1152"/>
        <v>1</v>
      </c>
      <c r="X241" s="130">
        <f t="shared" si="1152"/>
        <v>1</v>
      </c>
      <c r="Y241" s="130">
        <f t="shared" si="1152"/>
        <v>1</v>
      </c>
      <c r="Z241" s="130">
        <f t="shared" si="1152"/>
        <v>1</v>
      </c>
      <c r="AA241" s="130">
        <f t="shared" ref="AA241:AC241" si="1155">IF(AA240=1, 1, AA240*(1+(2.78*AA136)/(1400+AA136)+AA251))</f>
        <v>1</v>
      </c>
      <c r="AB241" s="130">
        <f t="shared" si="1155"/>
        <v>1</v>
      </c>
      <c r="AC241" s="130">
        <f t="shared" si="1155"/>
        <v>1</v>
      </c>
      <c r="AD241" s="130">
        <f t="shared" ref="AD241" si="1156">IF(AD240=1, 1, AD240*(1+(2.78*AD136)/(1400+AD136)+AD251))</f>
        <v>1</v>
      </c>
      <c r="AE241" s="130">
        <f t="shared" ref="AE241:AF241" si="1157">IF(AE240=1, 1, AE240*(1+(2.78*AE136)/(1400+AE136)+AE251))</f>
        <v>1</v>
      </c>
      <c r="AF241" s="130">
        <f t="shared" si="1157"/>
        <v>1</v>
      </c>
      <c r="AG241" s="130">
        <f t="shared" si="1152"/>
        <v>1</v>
      </c>
      <c r="AH241" s="130">
        <f t="shared" ref="AH241:AI241" si="1158">IF(AH240=1, 1, AH240*(1+(2.78*AH136)/(1400+AH136)+AH251))</f>
        <v>1</v>
      </c>
      <c r="AI241" s="130">
        <f t="shared" si="1158"/>
        <v>1</v>
      </c>
      <c r="AJ241" s="130">
        <f t="shared" ref="AJ241" si="1159">IF(AJ240=1, 1, AJ240*(1+(2.78*AJ136)/(1400+AJ136)+AJ251))</f>
        <v>1</v>
      </c>
      <c r="AK241" s="130"/>
      <c r="AL241" s="130"/>
      <c r="AM241" s="130"/>
      <c r="AN241" s="130"/>
      <c r="AO241" s="130"/>
      <c r="AP241" s="130"/>
      <c r="AQ241" s="130"/>
      <c r="AR241" s="130"/>
      <c r="AS241" s="130"/>
      <c r="AT241" s="130"/>
      <c r="AU241" s="130"/>
      <c r="AV241" s="130"/>
      <c r="AW241" s="130"/>
      <c r="AX241" s="130"/>
      <c r="AY241" s="130"/>
      <c r="AZ241" s="130"/>
      <c r="BA241" s="130"/>
      <c r="BB241" s="130"/>
      <c r="BC241" s="130"/>
      <c r="BD241" s="130"/>
      <c r="BE241" s="130"/>
      <c r="BF241" s="130"/>
      <c r="BG241" s="130"/>
      <c r="BH241" s="130"/>
      <c r="BI241" s="130"/>
      <c r="BJ241" s="130"/>
      <c r="BK241" s="130"/>
      <c r="BL241" s="130"/>
      <c r="BM241" s="130"/>
      <c r="BN241" s="130"/>
      <c r="BO241" s="130"/>
      <c r="BP241" s="130"/>
      <c r="BQ241" s="130"/>
      <c r="BR241" s="130"/>
      <c r="BS241" s="130"/>
      <c r="BT241" s="130"/>
    </row>
    <row r="242" spans="1:72" hidden="1" outlineLevel="1" x14ac:dyDescent="0.25">
      <c r="A242" s="112" t="s">
        <v>696</v>
      </c>
      <c r="B242" s="105">
        <f t="shared" ref="B242:AJ242" si="1160">B14</f>
        <v>0</v>
      </c>
      <c r="C242" s="105">
        <f t="shared" si="1160"/>
        <v>0</v>
      </c>
      <c r="D242" s="105">
        <f t="shared" si="1160"/>
        <v>0</v>
      </c>
      <c r="E242" s="105">
        <f t="shared" si="1160"/>
        <v>0</v>
      </c>
      <c r="F242" s="105">
        <f t="shared" si="1160"/>
        <v>0</v>
      </c>
      <c r="G242" s="105">
        <f t="shared" si="1160"/>
        <v>0</v>
      </c>
      <c r="H242" s="105">
        <f t="shared" si="1160"/>
        <v>0</v>
      </c>
      <c r="I242" s="105">
        <f t="shared" si="1160"/>
        <v>0</v>
      </c>
      <c r="J242" s="105">
        <f t="shared" si="1160"/>
        <v>0</v>
      </c>
      <c r="K242" s="105">
        <f t="shared" si="1160"/>
        <v>0</v>
      </c>
      <c r="L242" s="105">
        <f t="shared" si="1160"/>
        <v>0</v>
      </c>
      <c r="M242" s="105">
        <f t="shared" si="1160"/>
        <v>0</v>
      </c>
      <c r="N242" s="105">
        <f t="shared" si="1160"/>
        <v>0</v>
      </c>
      <c r="O242" s="105">
        <f t="shared" si="1160"/>
        <v>0</v>
      </c>
      <c r="P242" s="105">
        <f t="shared" si="1160"/>
        <v>0</v>
      </c>
      <c r="Q242" s="105">
        <f t="shared" si="1160"/>
        <v>0</v>
      </c>
      <c r="R242" s="105">
        <f t="shared" si="1160"/>
        <v>0</v>
      </c>
      <c r="S242" s="105">
        <f t="shared" si="1160"/>
        <v>0</v>
      </c>
      <c r="T242" s="105">
        <f t="shared" si="1160"/>
        <v>0</v>
      </c>
      <c r="U242" s="105">
        <f t="shared" si="1160"/>
        <v>0</v>
      </c>
      <c r="V242" s="105">
        <f t="shared" si="1160"/>
        <v>0</v>
      </c>
      <c r="W242" s="105">
        <f t="shared" si="1160"/>
        <v>0</v>
      </c>
      <c r="X242" s="105">
        <f t="shared" si="1160"/>
        <v>0</v>
      </c>
      <c r="Y242" s="105">
        <f t="shared" si="1160"/>
        <v>0</v>
      </c>
      <c r="Z242" s="105">
        <f t="shared" si="1160"/>
        <v>0</v>
      </c>
      <c r="AA242" s="105">
        <f t="shared" si="1160"/>
        <v>0</v>
      </c>
      <c r="AB242" s="105">
        <f t="shared" si="1160"/>
        <v>0</v>
      </c>
      <c r="AC242" s="105">
        <f t="shared" si="1160"/>
        <v>0</v>
      </c>
      <c r="AD242" s="105">
        <f t="shared" si="1160"/>
        <v>0</v>
      </c>
      <c r="AE242" s="105">
        <f t="shared" si="1160"/>
        <v>0</v>
      </c>
      <c r="AF242" s="105">
        <f t="shared" si="1160"/>
        <v>0</v>
      </c>
      <c r="AG242" s="105">
        <f t="shared" si="1160"/>
        <v>0</v>
      </c>
      <c r="AH242" s="105" t="e">
        <f t="shared" si="1160"/>
        <v>#N/A</v>
      </c>
      <c r="AI242" s="105" t="e">
        <f t="shared" si="1160"/>
        <v>#N/A</v>
      </c>
      <c r="AJ242" s="105" t="e">
        <f t="shared" si="1160"/>
        <v>#N/A</v>
      </c>
      <c r="AK242" s="105"/>
      <c r="AL242" s="105"/>
      <c r="AM242" s="105"/>
      <c r="AN242" s="105"/>
      <c r="AO242" s="105"/>
      <c r="AP242" s="105"/>
      <c r="AQ242" s="105"/>
      <c r="AR242" s="105"/>
      <c r="AS242" s="105"/>
      <c r="AT242" s="105"/>
      <c r="AU242" s="105"/>
      <c r="AV242" s="105"/>
      <c r="AW242" s="105"/>
      <c r="AX242" s="105"/>
      <c r="AY242" s="105"/>
      <c r="AZ242" s="105"/>
      <c r="BA242" s="105"/>
      <c r="BB242" s="105"/>
      <c r="BC242" s="105"/>
      <c r="BD242" s="105"/>
      <c r="BE242" s="105"/>
      <c r="BF242" s="105"/>
      <c r="BG242" s="105"/>
      <c r="BH242" s="105"/>
      <c r="BI242" s="105"/>
      <c r="BJ242" s="105"/>
      <c r="BK242" s="105"/>
      <c r="BL242" s="105"/>
      <c r="BM242" s="105"/>
      <c r="BN242" s="105"/>
      <c r="BO242" s="105"/>
      <c r="BP242" s="105"/>
      <c r="BQ242" s="105"/>
      <c r="BR242" s="105"/>
      <c r="BS242" s="105"/>
      <c r="BT242" s="105"/>
    </row>
    <row r="243" spans="1:72" hidden="1" outlineLevel="1" x14ac:dyDescent="0.25">
      <c r="A243" s="112" t="s">
        <v>783</v>
      </c>
      <c r="B243" s="130">
        <f t="shared" ref="B243:AJ243" ca="1" si="1161">B235*(1+B236)*B237*B238*B239*B241*B242*B15</f>
        <v>0</v>
      </c>
      <c r="C243" s="130">
        <f t="shared" ca="1" si="1161"/>
        <v>0</v>
      </c>
      <c r="D243" s="130">
        <f t="shared" ca="1" si="1161"/>
        <v>0</v>
      </c>
      <c r="E243" s="130">
        <f t="shared" ca="1" si="1161"/>
        <v>0</v>
      </c>
      <c r="F243" s="130">
        <f t="shared" ca="1" si="1161"/>
        <v>0</v>
      </c>
      <c r="G243" s="130">
        <f t="shared" ca="1" si="1161"/>
        <v>0</v>
      </c>
      <c r="H243" s="130">
        <f t="shared" ca="1" si="1161"/>
        <v>0</v>
      </c>
      <c r="I243" s="130">
        <f t="shared" ca="1" si="1161"/>
        <v>0</v>
      </c>
      <c r="J243" s="130">
        <f t="shared" ca="1" si="1161"/>
        <v>0</v>
      </c>
      <c r="K243" s="130">
        <f t="shared" ca="1" si="1161"/>
        <v>0</v>
      </c>
      <c r="L243" s="130">
        <f t="shared" ca="1" si="1161"/>
        <v>0</v>
      </c>
      <c r="M243" s="130">
        <f t="shared" ca="1" si="1161"/>
        <v>0</v>
      </c>
      <c r="N243" s="130">
        <f t="shared" ca="1" si="1161"/>
        <v>0</v>
      </c>
      <c r="O243" s="130">
        <f t="shared" ca="1" si="1161"/>
        <v>0</v>
      </c>
      <c r="P243" s="130">
        <f t="shared" ca="1" si="1161"/>
        <v>0</v>
      </c>
      <c r="Q243" s="130">
        <f t="shared" ca="1" si="1161"/>
        <v>0</v>
      </c>
      <c r="R243" s="130">
        <f t="shared" ca="1" si="1161"/>
        <v>0</v>
      </c>
      <c r="S243" s="130">
        <f t="shared" ca="1" si="1161"/>
        <v>0</v>
      </c>
      <c r="T243" s="130">
        <f t="shared" ca="1" si="1161"/>
        <v>0</v>
      </c>
      <c r="U243" s="130">
        <f t="shared" ca="1" si="1161"/>
        <v>0</v>
      </c>
      <c r="V243" s="130">
        <f t="shared" ca="1" si="1161"/>
        <v>0</v>
      </c>
      <c r="W243" s="130">
        <f t="shared" ca="1" si="1161"/>
        <v>0</v>
      </c>
      <c r="X243" s="130">
        <f t="shared" ca="1" si="1161"/>
        <v>0</v>
      </c>
      <c r="Y243" s="130">
        <f t="shared" ca="1" si="1161"/>
        <v>0</v>
      </c>
      <c r="Z243" s="130">
        <f t="shared" ca="1" si="1161"/>
        <v>0</v>
      </c>
      <c r="AA243" s="130">
        <f t="shared" ca="1" si="1161"/>
        <v>0</v>
      </c>
      <c r="AB243" s="130">
        <f t="shared" ca="1" si="1161"/>
        <v>0</v>
      </c>
      <c r="AC243" s="130">
        <f t="shared" ca="1" si="1161"/>
        <v>0</v>
      </c>
      <c r="AD243" s="130">
        <f t="shared" ca="1" si="1161"/>
        <v>0</v>
      </c>
      <c r="AE243" s="130">
        <f t="shared" ca="1" si="1161"/>
        <v>0</v>
      </c>
      <c r="AF243" s="130">
        <f t="shared" ca="1" si="1161"/>
        <v>0</v>
      </c>
      <c r="AG243" s="130">
        <f t="shared" ca="1" si="1161"/>
        <v>0</v>
      </c>
      <c r="AH243" s="130" t="e">
        <f t="shared" ca="1" si="1161"/>
        <v>#N/A</v>
      </c>
      <c r="AI243" s="130" t="e">
        <f t="shared" ca="1" si="1161"/>
        <v>#N/A</v>
      </c>
      <c r="AJ243" s="130" t="e">
        <f t="shared" ca="1" si="1161"/>
        <v>#N/A</v>
      </c>
      <c r="AK243" s="130"/>
      <c r="AL243" s="130"/>
      <c r="AM243" s="130"/>
      <c r="AN243" s="130"/>
      <c r="AO243" s="130"/>
      <c r="AP243" s="130"/>
      <c r="AQ243" s="130"/>
      <c r="AR243" s="130"/>
      <c r="AS243" s="130"/>
      <c r="AT243" s="130"/>
      <c r="AU243" s="130"/>
      <c r="AV243" s="130"/>
      <c r="AW243" s="130"/>
      <c r="AX243" s="130"/>
      <c r="AY243" s="130"/>
      <c r="AZ243" s="130"/>
      <c r="BA243" s="130"/>
      <c r="BB243" s="130"/>
      <c r="BC243" s="130"/>
      <c r="BD243" s="130"/>
      <c r="BE243" s="130"/>
      <c r="BF243" s="130"/>
      <c r="BG243" s="130"/>
      <c r="BH243" s="130"/>
      <c r="BI243" s="130"/>
      <c r="BJ243" s="130"/>
      <c r="BK243" s="130"/>
      <c r="BL243" s="130"/>
      <c r="BM243" s="130"/>
      <c r="BN243" s="130"/>
      <c r="BO243" s="130"/>
      <c r="BP243" s="130"/>
      <c r="BQ243" s="130"/>
      <c r="BR243" s="130"/>
      <c r="BS243" s="130"/>
      <c r="BT243" s="130"/>
    </row>
    <row r="244" spans="1:72" s="115" customFormat="1" collapsed="1" x14ac:dyDescent="0.25">
      <c r="A244" s="114" t="s">
        <v>679</v>
      </c>
    </row>
    <row r="245" spans="1:72" s="131" customFormat="1" hidden="1" outlineLevel="1" x14ac:dyDescent="0.25">
      <c r="A245" s="112" t="s">
        <v>680</v>
      </c>
      <c r="B245" s="214">
        <f t="shared" ref="B245:AJ245" ca="1" si="1162">IFERROR(INDEX(B130:B132, MATCH(B4, $A$130:$A$132, 0), 1),0)</f>
        <v>1839.8047999999999</v>
      </c>
      <c r="C245" s="214">
        <f t="shared" ca="1" si="1162"/>
        <v>1839.8047999999999</v>
      </c>
      <c r="D245" s="214">
        <f t="shared" ca="1" si="1162"/>
        <v>3057.9647999999997</v>
      </c>
      <c r="E245" s="214">
        <f t="shared" si="1162"/>
        <v>0</v>
      </c>
      <c r="F245" s="214">
        <f t="shared" ca="1" si="1162"/>
        <v>1881.2156</v>
      </c>
      <c r="G245" s="214">
        <f t="shared" ca="1" si="1162"/>
        <v>1881.2156</v>
      </c>
      <c r="H245" s="214">
        <f t="shared" ca="1" si="1162"/>
        <v>1881.2156</v>
      </c>
      <c r="I245" s="214">
        <f t="shared" si="1162"/>
        <v>0</v>
      </c>
      <c r="J245" s="214">
        <f t="shared" ca="1" si="1162"/>
        <v>2793.3015999999998</v>
      </c>
      <c r="K245" s="214">
        <f t="shared" si="1162"/>
        <v>0</v>
      </c>
      <c r="L245" s="214">
        <f t="shared" ca="1" si="1162"/>
        <v>2793.3015999999998</v>
      </c>
      <c r="M245" s="214">
        <f t="shared" ca="1" si="1162"/>
        <v>2536.1019999999999</v>
      </c>
      <c r="N245" s="214">
        <f t="shared" ca="1" si="1162"/>
        <v>2536.1019999999999</v>
      </c>
      <c r="O245" s="214">
        <f t="shared" si="1162"/>
        <v>0</v>
      </c>
      <c r="P245" s="214">
        <f t="shared" ca="1" si="1162"/>
        <v>2536.1019999999999</v>
      </c>
      <c r="Q245" s="214">
        <f t="shared" ca="1" si="1162"/>
        <v>2536.1019999999999</v>
      </c>
      <c r="R245" s="214">
        <f t="shared" ca="1" si="1162"/>
        <v>2536.1019999999999</v>
      </c>
      <c r="S245" s="214">
        <f t="shared" ca="1" si="1162"/>
        <v>2536.1019999999999</v>
      </c>
      <c r="T245" s="214">
        <f t="shared" ca="1" si="1162"/>
        <v>2536.1019999999999</v>
      </c>
      <c r="U245" s="214">
        <f t="shared" ca="1" si="1162"/>
        <v>2536.1019999999999</v>
      </c>
      <c r="V245" s="214">
        <f t="shared" ca="1" si="1162"/>
        <v>2536.1019999999999</v>
      </c>
      <c r="W245" s="214">
        <f t="shared" si="1162"/>
        <v>0</v>
      </c>
      <c r="X245" s="214">
        <f t="shared" ca="1" si="1162"/>
        <v>3057.9648000000002</v>
      </c>
      <c r="Y245" s="214">
        <f t="shared" ca="1" si="1162"/>
        <v>3057.9648000000002</v>
      </c>
      <c r="Z245" s="214">
        <f t="shared" ca="1" si="1162"/>
        <v>3057.9648000000002</v>
      </c>
      <c r="AA245" s="214">
        <f t="shared" ca="1" si="1162"/>
        <v>3057.9648000000002</v>
      </c>
      <c r="AB245" s="214">
        <f t="shared" ca="1" si="1162"/>
        <v>3057.9648000000002</v>
      </c>
      <c r="AC245" s="214">
        <f t="shared" ca="1" si="1162"/>
        <v>3057.9648000000002</v>
      </c>
      <c r="AD245" s="214">
        <f t="shared" ca="1" si="1162"/>
        <v>3057.9648000000002</v>
      </c>
      <c r="AE245" s="214">
        <f t="shared" ca="1" si="1162"/>
        <v>3057.9648000000002</v>
      </c>
      <c r="AF245" s="214">
        <f t="shared" ca="1" si="1162"/>
        <v>3057.9648000000002</v>
      </c>
      <c r="AG245" s="214">
        <f t="shared" ca="1" si="1162"/>
        <v>2389.1019999999999</v>
      </c>
      <c r="AH245" s="214">
        <f t="shared" ca="1" si="1162"/>
        <v>2389.1019999999999</v>
      </c>
      <c r="AI245" s="214">
        <f t="shared" ca="1" si="1162"/>
        <v>17971.5488</v>
      </c>
      <c r="AJ245" s="214">
        <f t="shared" ca="1" si="1162"/>
        <v>17971.5488</v>
      </c>
      <c r="AK245" s="214"/>
      <c r="AL245" s="214"/>
      <c r="AM245" s="130"/>
      <c r="AN245" s="130"/>
      <c r="AO245" s="130"/>
      <c r="AP245" s="130"/>
      <c r="AQ245" s="130"/>
      <c r="AR245" s="130"/>
      <c r="AS245" s="130"/>
      <c r="AT245" s="130"/>
      <c r="AU245" s="130"/>
      <c r="AV245" s="130"/>
      <c r="AW245" s="130"/>
      <c r="AX245" s="130"/>
      <c r="AY245" s="130"/>
      <c r="AZ245" s="130"/>
      <c r="BA245" s="130"/>
      <c r="BB245" s="130"/>
      <c r="BC245" s="130"/>
      <c r="BD245" s="130"/>
      <c r="BE245" s="130"/>
      <c r="BF245" s="130"/>
      <c r="BG245" s="130"/>
      <c r="BH245" s="130"/>
      <c r="BI245" s="130"/>
      <c r="BJ245" s="130"/>
      <c r="BK245" s="130"/>
      <c r="BL245" s="130"/>
      <c r="BM245" s="130"/>
      <c r="BN245" s="130"/>
      <c r="BO245" s="130"/>
      <c r="BP245" s="130"/>
      <c r="BQ245" s="130"/>
      <c r="BR245" s="130"/>
      <c r="BS245" s="130"/>
      <c r="BT245" s="130"/>
    </row>
    <row r="246" spans="1:72" hidden="1" outlineLevel="1" x14ac:dyDescent="0.25">
      <c r="A246" s="112" t="s">
        <v>681</v>
      </c>
      <c r="B246" s="105">
        <f t="shared" ref="B246:AJ246" ca="1" si="1163">IFERROR(INDEX(B$227:B$233, MATCH(B$3, $A$227:$A$233, 0), 1),0)</f>
        <v>0.90168000000000004</v>
      </c>
      <c r="C246" s="105">
        <f t="shared" ca="1" si="1163"/>
        <v>0.90168000000000004</v>
      </c>
      <c r="D246" s="105">
        <f t="shared" ca="1" si="1163"/>
        <v>0.90168000000000004</v>
      </c>
      <c r="E246" s="105">
        <f t="shared" si="1163"/>
        <v>0</v>
      </c>
      <c r="F246" s="105">
        <f t="shared" si="1163"/>
        <v>0.8660000000000001</v>
      </c>
      <c r="G246" s="105">
        <f t="shared" si="1163"/>
        <v>0.8660000000000001</v>
      </c>
      <c r="H246" s="105">
        <f t="shared" si="1163"/>
        <v>0.8660000000000001</v>
      </c>
      <c r="I246" s="105">
        <f t="shared" si="1163"/>
        <v>0</v>
      </c>
      <c r="J246" s="105">
        <f t="shared" si="1163"/>
        <v>0.58600000000000008</v>
      </c>
      <c r="K246" s="105">
        <f t="shared" si="1163"/>
        <v>0</v>
      </c>
      <c r="L246" s="105">
        <f t="shared" si="1163"/>
        <v>0.58600000000000008</v>
      </c>
      <c r="M246" s="105">
        <f t="shared" si="1163"/>
        <v>0.69100000000000006</v>
      </c>
      <c r="N246" s="105">
        <f t="shared" si="1163"/>
        <v>0.69100000000000006</v>
      </c>
      <c r="O246" s="105">
        <f t="shared" si="1163"/>
        <v>0</v>
      </c>
      <c r="P246" s="105">
        <f t="shared" si="1163"/>
        <v>0.69100000000000006</v>
      </c>
      <c r="Q246" s="105">
        <f t="shared" si="1163"/>
        <v>0.69100000000000006</v>
      </c>
      <c r="R246" s="105">
        <f t="shared" si="1163"/>
        <v>0.89100000000000001</v>
      </c>
      <c r="S246" s="105">
        <f t="shared" si="1163"/>
        <v>0.69100000000000006</v>
      </c>
      <c r="T246" s="105">
        <f t="shared" si="1163"/>
        <v>0.69100000000000006</v>
      </c>
      <c r="U246" s="105">
        <f t="shared" si="1163"/>
        <v>0.69100000000000006</v>
      </c>
      <c r="V246" s="105">
        <f t="shared" si="1163"/>
        <v>0.69100000000000006</v>
      </c>
      <c r="W246" s="105">
        <f t="shared" si="1163"/>
        <v>0</v>
      </c>
      <c r="X246" s="105">
        <f t="shared" ca="1" si="1163"/>
        <v>0.90168000000000004</v>
      </c>
      <c r="Y246" s="105">
        <f t="shared" ca="1" si="1163"/>
        <v>0.90168000000000004</v>
      </c>
      <c r="Z246" s="105">
        <f t="shared" ca="1" si="1163"/>
        <v>0.90168000000000004</v>
      </c>
      <c r="AA246" s="105">
        <f t="shared" ca="1" si="1163"/>
        <v>0.90168000000000004</v>
      </c>
      <c r="AB246" s="105">
        <f t="shared" ca="1" si="1163"/>
        <v>0.90168000000000004</v>
      </c>
      <c r="AC246" s="105">
        <f t="shared" ca="1" si="1163"/>
        <v>0.90168000000000004</v>
      </c>
      <c r="AD246" s="105">
        <f t="shared" ca="1" si="1163"/>
        <v>0.90168000000000004</v>
      </c>
      <c r="AE246" s="105">
        <f t="shared" ca="1" si="1163"/>
        <v>0.90168000000000004</v>
      </c>
      <c r="AF246" s="105">
        <f t="shared" ca="1" si="1163"/>
        <v>0.90168000000000004</v>
      </c>
      <c r="AG246" s="105">
        <f t="shared" si="1163"/>
        <v>0.69100000000000006</v>
      </c>
      <c r="AH246" s="105">
        <f t="shared" si="1163"/>
        <v>0.69100000000000006</v>
      </c>
      <c r="AI246" s="105">
        <f t="shared" si="1163"/>
        <v>0.58600000000000008</v>
      </c>
      <c r="AJ246" s="105">
        <f t="shared" si="1163"/>
        <v>0.58600000000000008</v>
      </c>
      <c r="AK246" s="105"/>
      <c r="AL246" s="105"/>
      <c r="AM246" s="105"/>
      <c r="AN246" s="105"/>
      <c r="AO246" s="105"/>
      <c r="AP246" s="105"/>
      <c r="AQ246" s="105"/>
      <c r="AR246" s="105"/>
      <c r="AS246" s="105"/>
      <c r="AT246" s="105"/>
      <c r="AU246" s="105"/>
      <c r="AV246" s="105"/>
      <c r="AW246" s="105"/>
      <c r="AX246" s="105"/>
      <c r="AY246" s="105"/>
      <c r="AZ246" s="105"/>
      <c r="BA246" s="105"/>
      <c r="BB246" s="105"/>
      <c r="BC246" s="105"/>
      <c r="BD246" s="105"/>
      <c r="BE246" s="105"/>
      <c r="BF246" s="105"/>
      <c r="BG246" s="105"/>
      <c r="BH246" s="105"/>
      <c r="BI246" s="105"/>
      <c r="BJ246" s="105"/>
      <c r="BK246" s="105"/>
      <c r="BL246" s="105"/>
      <c r="BM246" s="105"/>
      <c r="BN246" s="105"/>
      <c r="BO246" s="105"/>
      <c r="BP246" s="105"/>
      <c r="BQ246" s="105"/>
      <c r="BR246" s="105"/>
      <c r="BS246" s="105"/>
      <c r="BT246" s="105"/>
    </row>
    <row r="247" spans="1:72" hidden="1" outlineLevel="1" x14ac:dyDescent="0.25">
      <c r="A247" s="112" t="s">
        <v>682</v>
      </c>
      <c r="B247" s="105">
        <f t="shared" ref="B247:AJ247" ca="1" si="1164">IFERROR(1+(B140+IF(B3="Burst", B175, 0)+IF(B3 = "Skill", B176))*(B141+IF(B3="Burst", B177, 0)+IF(B3 = "Skill", B178, 0)),0)</f>
        <v>1.9837376999999998</v>
      </c>
      <c r="C247" s="105">
        <f t="shared" ca="1" si="1164"/>
        <v>1.9837376999999998</v>
      </c>
      <c r="D247" s="105">
        <f t="shared" ca="1" si="1164"/>
        <v>1.9837376999999998</v>
      </c>
      <c r="E247" s="105">
        <f t="shared" ca="1" si="1164"/>
        <v>1.9837376999999998</v>
      </c>
      <c r="F247" s="105">
        <f t="shared" ca="1" si="1164"/>
        <v>1.76860756</v>
      </c>
      <c r="G247" s="105">
        <f t="shared" ca="1" si="1164"/>
        <v>1.76860756</v>
      </c>
      <c r="H247" s="105">
        <f t="shared" ca="1" si="1164"/>
        <v>1.76860756</v>
      </c>
      <c r="I247" s="105">
        <f t="shared" ca="1" si="1164"/>
        <v>1.76860756</v>
      </c>
      <c r="J247" s="105">
        <f t="shared" ca="1" si="1164"/>
        <v>1.2701612799999999</v>
      </c>
      <c r="K247" s="105">
        <f t="shared" ca="1" si="1164"/>
        <v>1.2701612799999999</v>
      </c>
      <c r="L247" s="105">
        <f t="shared" ca="1" si="1164"/>
        <v>1.2701612799999999</v>
      </c>
      <c r="M247" s="105">
        <f t="shared" ca="1" si="1164"/>
        <v>1.76139176</v>
      </c>
      <c r="N247" s="105">
        <f t="shared" ca="1" si="1164"/>
        <v>1.76139176</v>
      </c>
      <c r="O247" s="105">
        <f t="shared" ca="1" si="1164"/>
        <v>1.76139176</v>
      </c>
      <c r="P247" s="105">
        <f t="shared" ca="1" si="1164"/>
        <v>1.9246637599999998</v>
      </c>
      <c r="Q247" s="105">
        <f t="shared" ca="1" si="1164"/>
        <v>1.9246637599999998</v>
      </c>
      <c r="R247" s="105">
        <f t="shared" ca="1" si="1164"/>
        <v>1.9246637599999998</v>
      </c>
      <c r="S247" s="105">
        <f t="shared" ca="1" si="1164"/>
        <v>1.9246637599999998</v>
      </c>
      <c r="T247" s="105">
        <f t="shared" ca="1" si="1164"/>
        <v>1.9246637599999998</v>
      </c>
      <c r="U247" s="105">
        <f t="shared" ca="1" si="1164"/>
        <v>1.9246637599999998</v>
      </c>
      <c r="V247" s="105">
        <f t="shared" ca="1" si="1164"/>
        <v>1.9246637599999998</v>
      </c>
      <c r="W247" s="105">
        <f t="shared" ca="1" si="1164"/>
        <v>1.76139176</v>
      </c>
      <c r="X247" s="105">
        <f t="shared" ca="1" si="1164"/>
        <v>2.1628977000000003</v>
      </c>
      <c r="Y247" s="105">
        <f t="shared" ca="1" si="1164"/>
        <v>2.1628977000000003</v>
      </c>
      <c r="Z247" s="105">
        <f t="shared" ca="1" si="1164"/>
        <v>2.1628977000000003</v>
      </c>
      <c r="AA247" s="105">
        <f t="shared" ca="1" si="1164"/>
        <v>2.1628977000000003</v>
      </c>
      <c r="AB247" s="105">
        <f t="shared" ca="1" si="1164"/>
        <v>2.1628977000000003</v>
      </c>
      <c r="AC247" s="105">
        <f t="shared" ca="1" si="1164"/>
        <v>2.1628977000000003</v>
      </c>
      <c r="AD247" s="105">
        <f t="shared" ca="1" si="1164"/>
        <v>2.1628977000000003</v>
      </c>
      <c r="AE247" s="105">
        <f t="shared" ca="1" si="1164"/>
        <v>2.1628977000000003</v>
      </c>
      <c r="AF247" s="105">
        <f t="shared" ca="1" si="1164"/>
        <v>2.1628977000000003</v>
      </c>
      <c r="AG247" s="105">
        <f t="shared" ca="1" si="1164"/>
        <v>1.9246637599999998</v>
      </c>
      <c r="AH247" s="105">
        <f t="shared" ca="1" si="1164"/>
        <v>1.76139176</v>
      </c>
      <c r="AI247" s="105">
        <f t="shared" ca="1" si="1164"/>
        <v>1.2701612799999999</v>
      </c>
      <c r="AJ247" s="105">
        <f t="shared" ca="1" si="1164"/>
        <v>1.2701612799999999</v>
      </c>
      <c r="AK247" s="105"/>
      <c r="AL247" s="105"/>
      <c r="AM247" s="105"/>
      <c r="AN247" s="105"/>
      <c r="AO247" s="105"/>
      <c r="AP247" s="105"/>
      <c r="AQ247" s="105"/>
      <c r="AR247" s="105"/>
      <c r="AS247" s="105"/>
      <c r="AT247" s="105"/>
      <c r="AU247" s="105"/>
      <c r="AV247" s="105"/>
      <c r="AW247" s="105"/>
      <c r="AX247" s="105"/>
      <c r="AY247" s="105"/>
      <c r="AZ247" s="105"/>
      <c r="BA247" s="105"/>
      <c r="BB247" s="105"/>
      <c r="BC247" s="105"/>
      <c r="BD247" s="105"/>
      <c r="BE247" s="105"/>
      <c r="BF247" s="105"/>
      <c r="BG247" s="105"/>
      <c r="BH247" s="105"/>
      <c r="BI247" s="105"/>
      <c r="BJ247" s="105"/>
      <c r="BK247" s="105"/>
      <c r="BL247" s="105"/>
      <c r="BM247" s="105"/>
      <c r="BN247" s="105"/>
      <c r="BO247" s="105"/>
      <c r="BP247" s="105"/>
      <c r="BQ247" s="105"/>
      <c r="BR247" s="105"/>
      <c r="BS247" s="105"/>
      <c r="BT247" s="105"/>
    </row>
    <row r="248" spans="1:72" hidden="1" outlineLevel="1" x14ac:dyDescent="0.25">
      <c r="A248" s="112" t="s">
        <v>684</v>
      </c>
      <c r="B248" s="105">
        <f>VLOOKUP(B$21, 'Data Val'!$O$13:$P$17, 2, 0)</f>
        <v>0.48648648648648651</v>
      </c>
      <c r="C248" s="105">
        <f>VLOOKUP(C$21, 'Data Val'!$O$13:$P$17, 2, 0)</f>
        <v>0.48648648648648651</v>
      </c>
      <c r="D248" s="105">
        <f>VLOOKUP(D$21, 'Data Val'!$O$13:$P$17, 2, 0)</f>
        <v>0.48648648648648651</v>
      </c>
      <c r="E248" s="105">
        <f>VLOOKUP(E$21, 'Data Val'!$O$13:$P$17, 2, 0)</f>
        <v>0.48648648648648651</v>
      </c>
      <c r="F248" s="105">
        <f>VLOOKUP(F$21, 'Data Val'!$O$13:$P$17, 2, 0)</f>
        <v>0.48648648648648651</v>
      </c>
      <c r="G248" s="105">
        <f>VLOOKUP(G$21, 'Data Val'!$O$13:$P$17, 2, 0)</f>
        <v>0.48648648648648651</v>
      </c>
      <c r="H248" s="105">
        <f>VLOOKUP(H$21, 'Data Val'!$O$13:$P$17, 2, 0)</f>
        <v>0.48648648648648651</v>
      </c>
      <c r="I248" s="105">
        <f>VLOOKUP(I$21, 'Data Val'!$O$13:$P$17, 2, 0)</f>
        <v>0.48648648648648651</v>
      </c>
      <c r="J248" s="105">
        <f>VLOOKUP(J$21, 'Data Val'!$O$13:$P$17, 2, 0)</f>
        <v>0.48648648648648651</v>
      </c>
      <c r="K248" s="105">
        <f>VLOOKUP(K$21, 'Data Val'!$O$13:$P$17, 2, 0)</f>
        <v>0.48648648648648651</v>
      </c>
      <c r="L248" s="105">
        <f>VLOOKUP(L$21, 'Data Val'!$O$13:$P$17, 2, 0)</f>
        <v>0.48648648648648651</v>
      </c>
      <c r="M248" s="105">
        <f>VLOOKUP(M$21, 'Data Val'!$O$13:$P$17, 2, 0)</f>
        <v>0.5</v>
      </c>
      <c r="N248" s="105">
        <f>VLOOKUP(N$21, 'Data Val'!$O$13:$P$17, 2, 0)</f>
        <v>0.5</v>
      </c>
      <c r="O248" s="105">
        <f>VLOOKUP(O$21, 'Data Val'!$O$13:$P$17, 2, 0)</f>
        <v>0.5</v>
      </c>
      <c r="P248" s="105">
        <f>VLOOKUP(P$21, 'Data Val'!$O$13:$P$17, 2, 0)</f>
        <v>0.5</v>
      </c>
      <c r="Q248" s="105">
        <f>VLOOKUP(Q$21, 'Data Val'!$O$13:$P$17, 2, 0)</f>
        <v>0.5</v>
      </c>
      <c r="R248" s="105">
        <f>VLOOKUP(R$21, 'Data Val'!$O$13:$P$17, 2, 0)</f>
        <v>0.5</v>
      </c>
      <c r="S248" s="105">
        <f>VLOOKUP(S$21, 'Data Val'!$O$13:$P$17, 2, 0)</f>
        <v>0.5</v>
      </c>
      <c r="T248" s="105">
        <f>VLOOKUP(T$21, 'Data Val'!$O$13:$P$17, 2, 0)</f>
        <v>0.5</v>
      </c>
      <c r="U248" s="105">
        <f>VLOOKUP(U$21, 'Data Val'!$O$13:$P$17, 2, 0)</f>
        <v>0.5</v>
      </c>
      <c r="V248" s="105">
        <f>VLOOKUP(V$21, 'Data Val'!$O$13:$P$17, 2, 0)</f>
        <v>0.5</v>
      </c>
      <c r="W248" s="105">
        <f>VLOOKUP(W$21, 'Data Val'!$O$13:$P$17, 2, 0)</f>
        <v>0.5</v>
      </c>
      <c r="X248" s="105">
        <f>VLOOKUP(X$21, 'Data Val'!$O$13:$P$17, 2, 0)</f>
        <v>0.48648648648648651</v>
      </c>
      <c r="Y248" s="105">
        <f>VLOOKUP(Y$21, 'Data Val'!$O$13:$P$17, 2, 0)</f>
        <v>0.48648648648648651</v>
      </c>
      <c r="Z248" s="105">
        <f>VLOOKUP(Z$21, 'Data Val'!$O$13:$P$17, 2, 0)</f>
        <v>0.48648648648648651</v>
      </c>
      <c r="AA248" s="105">
        <f>VLOOKUP(AA$21, 'Data Val'!$O$13:$P$17, 2, 0)</f>
        <v>0.48648648648648651</v>
      </c>
      <c r="AB248" s="105">
        <f>VLOOKUP(AB$21, 'Data Val'!$O$13:$P$17, 2, 0)</f>
        <v>0.48648648648648651</v>
      </c>
      <c r="AC248" s="105">
        <f>VLOOKUP(AC$21, 'Data Val'!$O$13:$P$17, 2, 0)</f>
        <v>0.48648648648648651</v>
      </c>
      <c r="AD248" s="105">
        <f>VLOOKUP(AD$21, 'Data Val'!$O$13:$P$17, 2, 0)</f>
        <v>0.48648648648648651</v>
      </c>
      <c r="AE248" s="105">
        <f>VLOOKUP(AE$21, 'Data Val'!$O$13:$P$17, 2, 0)</f>
        <v>0.48648648648648651</v>
      </c>
      <c r="AF248" s="105">
        <f>VLOOKUP(AF$21, 'Data Val'!$O$13:$P$17, 2, 0)</f>
        <v>0.48648648648648651</v>
      </c>
      <c r="AG248" s="105">
        <f>VLOOKUP(AG$21, 'Data Val'!$O$13:$P$17, 2, 0)</f>
        <v>0.5</v>
      </c>
      <c r="AH248" s="105">
        <f>VLOOKUP(AH$21, 'Data Val'!$O$13:$P$17, 2, 0)</f>
        <v>0.5</v>
      </c>
      <c r="AI248" s="105">
        <f>VLOOKUP(AI$21, 'Data Val'!$O$13:$P$17, 2, 0)</f>
        <v>0.48648648648648651</v>
      </c>
      <c r="AJ248" s="105">
        <f>VLOOKUP(AJ$21, 'Data Val'!$O$13:$P$17, 2, 0)</f>
        <v>0.48648648648648651</v>
      </c>
      <c r="AK248" s="105"/>
      <c r="AL248" s="105"/>
      <c r="AM248" s="105"/>
      <c r="AN248" s="105"/>
      <c r="AO248" s="105"/>
      <c r="AP248" s="105"/>
      <c r="AQ248" s="105"/>
      <c r="AR248" s="105"/>
      <c r="AS248" s="105"/>
      <c r="AT248" s="105"/>
      <c r="AU248" s="105"/>
      <c r="AV248" s="105"/>
      <c r="AW248" s="105"/>
      <c r="AX248" s="105"/>
      <c r="AY248" s="105"/>
      <c r="AZ248" s="105"/>
      <c r="BA248" s="105"/>
      <c r="BB248" s="105"/>
      <c r="BC248" s="105"/>
      <c r="BD248" s="105"/>
      <c r="BE248" s="105"/>
      <c r="BF248" s="105"/>
      <c r="BG248" s="105"/>
      <c r="BH248" s="105"/>
      <c r="BI248" s="105"/>
      <c r="BJ248" s="105"/>
      <c r="BK248" s="105"/>
      <c r="BL248" s="105"/>
      <c r="BM248" s="105"/>
      <c r="BN248" s="105"/>
      <c r="BO248" s="105"/>
      <c r="BP248" s="105"/>
      <c r="BQ248" s="105"/>
      <c r="BR248" s="105"/>
      <c r="BS248" s="105"/>
      <c r="BT248" s="105"/>
    </row>
    <row r="249" spans="1:72" hidden="1" outlineLevel="1" x14ac:dyDescent="0.25">
      <c r="A249" s="112" t="s">
        <v>685</v>
      </c>
      <c r="B249" s="105">
        <f t="shared" ref="B249:AJ249" si="1165">IFERROR(1-INDEX(B213:B219, MATCH(B3, $A$213:$A$219, 0), 1),1)</f>
        <v>0.9</v>
      </c>
      <c r="C249" s="105">
        <f t="shared" si="1165"/>
        <v>0.9</v>
      </c>
      <c r="D249" s="105">
        <f t="shared" si="1165"/>
        <v>0.9</v>
      </c>
      <c r="E249" s="105">
        <f t="shared" si="1165"/>
        <v>1</v>
      </c>
      <c r="F249" s="105">
        <f t="shared" si="1165"/>
        <v>0.9</v>
      </c>
      <c r="G249" s="105">
        <f t="shared" si="1165"/>
        <v>0.9</v>
      </c>
      <c r="H249" s="105">
        <f t="shared" si="1165"/>
        <v>1.0249999999999999</v>
      </c>
      <c r="I249" s="105">
        <f t="shared" si="1165"/>
        <v>1</v>
      </c>
      <c r="J249" s="105">
        <f t="shared" si="1165"/>
        <v>0.9</v>
      </c>
      <c r="K249" s="105">
        <f t="shared" si="1165"/>
        <v>1</v>
      </c>
      <c r="L249" s="105">
        <f t="shared" si="1165"/>
        <v>0.9</v>
      </c>
      <c r="M249" s="105">
        <f t="shared" si="1165"/>
        <v>1.0249999999999999</v>
      </c>
      <c r="N249" s="105">
        <f t="shared" si="1165"/>
        <v>1.0249999999999999</v>
      </c>
      <c r="O249" s="105">
        <f t="shared" si="1165"/>
        <v>1</v>
      </c>
      <c r="P249" s="105">
        <f t="shared" si="1165"/>
        <v>0.9</v>
      </c>
      <c r="Q249" s="105">
        <f t="shared" si="1165"/>
        <v>0.9</v>
      </c>
      <c r="R249" s="105">
        <f t="shared" si="1165"/>
        <v>0.9</v>
      </c>
      <c r="S249" s="105">
        <f t="shared" si="1165"/>
        <v>0.9</v>
      </c>
      <c r="T249" s="105">
        <f t="shared" si="1165"/>
        <v>0.9</v>
      </c>
      <c r="U249" s="105">
        <f t="shared" si="1165"/>
        <v>1.0249999999999999</v>
      </c>
      <c r="V249" s="105">
        <f t="shared" si="1165"/>
        <v>1.0249999999999999</v>
      </c>
      <c r="W249" s="105">
        <f t="shared" si="1165"/>
        <v>1</v>
      </c>
      <c r="X249" s="105">
        <f t="shared" si="1165"/>
        <v>0.9</v>
      </c>
      <c r="Y249" s="105">
        <f t="shared" si="1165"/>
        <v>0.9</v>
      </c>
      <c r="Z249" s="105">
        <f t="shared" si="1165"/>
        <v>0.9</v>
      </c>
      <c r="AA249" s="105">
        <f t="shared" si="1165"/>
        <v>0.9</v>
      </c>
      <c r="AB249" s="105">
        <f t="shared" si="1165"/>
        <v>0.9</v>
      </c>
      <c r="AC249" s="105">
        <f t="shared" si="1165"/>
        <v>0.9</v>
      </c>
      <c r="AD249" s="105">
        <f t="shared" si="1165"/>
        <v>0.9</v>
      </c>
      <c r="AE249" s="105">
        <f t="shared" si="1165"/>
        <v>0.9</v>
      </c>
      <c r="AF249" s="105">
        <f t="shared" si="1165"/>
        <v>0.9</v>
      </c>
      <c r="AG249" s="105">
        <f t="shared" si="1165"/>
        <v>0.9</v>
      </c>
      <c r="AH249" s="105">
        <f t="shared" si="1165"/>
        <v>0.9</v>
      </c>
      <c r="AI249" s="105">
        <f t="shared" si="1165"/>
        <v>0.9</v>
      </c>
      <c r="AJ249" s="105">
        <f t="shared" si="1165"/>
        <v>0.9</v>
      </c>
      <c r="AK249" s="105"/>
      <c r="AL249" s="105"/>
      <c r="AM249" s="105"/>
      <c r="AN249" s="105"/>
      <c r="AO249" s="105"/>
      <c r="AP249" s="105"/>
      <c r="AQ249" s="105"/>
      <c r="AR249" s="105"/>
      <c r="AS249" s="105"/>
      <c r="AT249" s="105"/>
      <c r="AU249" s="105"/>
      <c r="AV249" s="105"/>
      <c r="AW249" s="105"/>
      <c r="AX249" s="105"/>
      <c r="AY249" s="105"/>
      <c r="AZ249" s="105"/>
      <c r="BA249" s="105"/>
      <c r="BB249" s="105"/>
      <c r="BC249" s="105"/>
      <c r="BD249" s="105"/>
      <c r="BE249" s="105"/>
      <c r="BF249" s="105"/>
      <c r="BG249" s="105"/>
      <c r="BH249" s="105"/>
      <c r="BI249" s="105"/>
      <c r="BJ249" s="105"/>
      <c r="BK249" s="105"/>
      <c r="BL249" s="105"/>
      <c r="BM249" s="105"/>
      <c r="BN249" s="105"/>
      <c r="BO249" s="105"/>
      <c r="BP249" s="105"/>
      <c r="BQ249" s="105"/>
      <c r="BR249" s="105"/>
      <c r="BS249" s="105"/>
      <c r="BT249" s="105"/>
    </row>
    <row r="250" spans="1:72" s="131" customFormat="1" hidden="1" outlineLevel="1" x14ac:dyDescent="0.25">
      <c r="A250" s="112" t="s">
        <v>686</v>
      </c>
      <c r="B250" s="130">
        <f>VLOOKUP(B5, 'Data Val'!$D$2:$E$6, 2, 0)</f>
        <v>1</v>
      </c>
      <c r="C250" s="130">
        <f>VLOOKUP(C5, 'Data Val'!$D$2:$E$6, 2, 0)</f>
        <v>1</v>
      </c>
      <c r="D250" s="130">
        <f>VLOOKUP(D5, 'Data Val'!$D$2:$E$6, 2, 0)</f>
        <v>1</v>
      </c>
      <c r="E250" s="130">
        <f>VLOOKUP(E5, 'Data Val'!$D$2:$E$6, 2, 0)</f>
        <v>1</v>
      </c>
      <c r="F250" s="130">
        <f>VLOOKUP(F5, 'Data Val'!$D$2:$E$6, 2, 0)</f>
        <v>1</v>
      </c>
      <c r="G250" s="130">
        <f>VLOOKUP(G5, 'Data Val'!$D$2:$E$6, 2, 0)</f>
        <v>1</v>
      </c>
      <c r="H250" s="130">
        <f>VLOOKUP(H5, 'Data Val'!$D$2:$E$6, 2, 0)</f>
        <v>1</v>
      </c>
      <c r="I250" s="130">
        <f>VLOOKUP(I5, 'Data Val'!$D$2:$E$6, 2, 0)</f>
        <v>1</v>
      </c>
      <c r="J250" s="130">
        <f>VLOOKUP(J5, 'Data Val'!$D$2:$E$6, 2, 0)</f>
        <v>2</v>
      </c>
      <c r="K250" s="130">
        <f>VLOOKUP(K5, 'Data Val'!$D$2:$E$6, 2, 0)</f>
        <v>1</v>
      </c>
      <c r="L250" s="130">
        <f>VLOOKUP(L5, 'Data Val'!$D$2:$E$6, 2, 0)</f>
        <v>2</v>
      </c>
      <c r="M250" s="130">
        <f>VLOOKUP(M5, 'Data Val'!$D$2:$E$6, 2, 0)</f>
        <v>2</v>
      </c>
      <c r="N250" s="130">
        <f>VLOOKUP(N5, 'Data Val'!$D$2:$E$6, 2, 0)</f>
        <v>1</v>
      </c>
      <c r="O250" s="130">
        <f>VLOOKUP(O5, 'Data Val'!$D$2:$E$6, 2, 0)</f>
        <v>1</v>
      </c>
      <c r="P250" s="130">
        <f>VLOOKUP(P5, 'Data Val'!$D$2:$E$6, 2, 0)</f>
        <v>1</v>
      </c>
      <c r="Q250" s="130">
        <f>VLOOKUP(Q5, 'Data Val'!$D$2:$E$6, 2, 0)</f>
        <v>1</v>
      </c>
      <c r="R250" s="130">
        <f>VLOOKUP(R5, 'Data Val'!$D$2:$E$6, 2, 0)</f>
        <v>1</v>
      </c>
      <c r="S250" s="130">
        <f>VLOOKUP(S5, 'Data Val'!$D$2:$E$6, 2, 0)</f>
        <v>2</v>
      </c>
      <c r="T250" s="130">
        <f>VLOOKUP(T5, 'Data Val'!$D$2:$E$6, 2, 0)</f>
        <v>1</v>
      </c>
      <c r="U250" s="130">
        <f>VLOOKUP(U5, 'Data Val'!$D$2:$E$6, 2, 0)</f>
        <v>1</v>
      </c>
      <c r="V250" s="130">
        <f>VLOOKUP(V5, 'Data Val'!$D$2:$E$6, 2, 0)</f>
        <v>2</v>
      </c>
      <c r="W250" s="130">
        <f>VLOOKUP(W5, 'Data Val'!$D$2:$E$6, 2, 0)</f>
        <v>1</v>
      </c>
      <c r="X250" s="130">
        <f>VLOOKUP(X5, 'Data Val'!$D$2:$E$6, 2, 0)</f>
        <v>1</v>
      </c>
      <c r="Y250" s="130">
        <f>VLOOKUP(Y5, 'Data Val'!$D$2:$E$6, 2, 0)</f>
        <v>1</v>
      </c>
      <c r="Z250" s="130">
        <f>VLOOKUP(Z5, 'Data Val'!$D$2:$E$6, 2, 0)</f>
        <v>1</v>
      </c>
      <c r="AA250" s="130">
        <f>VLOOKUP(AA5, 'Data Val'!$D$2:$E$6, 2, 0)</f>
        <v>1</v>
      </c>
      <c r="AB250" s="130">
        <f>VLOOKUP(AB5, 'Data Val'!$D$2:$E$6, 2, 0)</f>
        <v>1</v>
      </c>
      <c r="AC250" s="130">
        <f>VLOOKUP(AC5, 'Data Val'!$D$2:$E$6, 2, 0)</f>
        <v>1</v>
      </c>
      <c r="AD250" s="130">
        <f>VLOOKUP(AD5, 'Data Val'!$D$2:$E$6, 2, 0)</f>
        <v>1</v>
      </c>
      <c r="AE250" s="130">
        <f>VLOOKUP(AE5, 'Data Val'!$D$2:$E$6, 2, 0)</f>
        <v>1</v>
      </c>
      <c r="AF250" s="130">
        <f>VLOOKUP(AF5, 'Data Val'!$D$2:$E$6, 2, 0)</f>
        <v>1</v>
      </c>
      <c r="AG250" s="130">
        <f>VLOOKUP(AG5, 'Data Val'!$D$2:$E$6, 2, 0)</f>
        <v>1</v>
      </c>
      <c r="AH250" s="130">
        <f>VLOOKUP(AH5, 'Data Val'!$D$2:$E$6, 2, 0)</f>
        <v>1</v>
      </c>
      <c r="AI250" s="130">
        <f>VLOOKUP(AI5, 'Data Val'!$D$2:$E$6, 2, 0)</f>
        <v>1</v>
      </c>
      <c r="AJ250" s="130">
        <f>VLOOKUP(AJ5, 'Data Val'!$D$2:$E$6, 2, 0)</f>
        <v>1</v>
      </c>
      <c r="AK250" s="130"/>
      <c r="AL250" s="130"/>
      <c r="AM250" s="130"/>
      <c r="AN250" s="130"/>
      <c r="AO250" s="130"/>
      <c r="AP250" s="130"/>
      <c r="AQ250" s="130"/>
      <c r="AR250" s="130"/>
      <c r="AS250" s="130"/>
      <c r="AT250" s="130"/>
      <c r="AU250" s="130"/>
      <c r="AV250" s="130"/>
      <c r="AW250" s="130"/>
      <c r="AX250" s="130"/>
      <c r="AY250" s="130"/>
      <c r="AZ250" s="130"/>
      <c r="BA250" s="130"/>
      <c r="BB250" s="130"/>
      <c r="BC250" s="130"/>
      <c r="BD250" s="130"/>
      <c r="BE250" s="130"/>
      <c r="BF250" s="130"/>
      <c r="BG250" s="130"/>
      <c r="BH250" s="130"/>
      <c r="BI250" s="130"/>
      <c r="BJ250" s="130"/>
      <c r="BK250" s="130"/>
      <c r="BL250" s="130"/>
      <c r="BM250" s="130"/>
      <c r="BN250" s="130"/>
      <c r="BO250" s="130"/>
      <c r="BP250" s="130"/>
      <c r="BQ250" s="130"/>
      <c r="BR250" s="130"/>
      <c r="BS250" s="130"/>
      <c r="BT250" s="130"/>
    </row>
    <row r="251" spans="1:72" s="131" customFormat="1" hidden="1" outlineLevel="1" x14ac:dyDescent="0.25">
      <c r="A251" s="112" t="s">
        <v>782</v>
      </c>
      <c r="B251" s="130">
        <f t="shared" ref="B251:AJ251" si="1166">IF(OR(B5 = "Vape", B5 = "Reverse Vape"), B163, IF(OR(B5 = "Melt", B5 = "Reverse Melt"), B162, 0))</f>
        <v>0</v>
      </c>
      <c r="C251" s="130">
        <f t="shared" si="1166"/>
        <v>0</v>
      </c>
      <c r="D251" s="130">
        <f t="shared" si="1166"/>
        <v>0</v>
      </c>
      <c r="E251" s="130">
        <f t="shared" si="1166"/>
        <v>0</v>
      </c>
      <c r="F251" s="130">
        <f t="shared" si="1166"/>
        <v>0</v>
      </c>
      <c r="G251" s="130">
        <f t="shared" si="1166"/>
        <v>0</v>
      </c>
      <c r="H251" s="130">
        <f t="shared" si="1166"/>
        <v>0</v>
      </c>
      <c r="I251" s="130">
        <f t="shared" si="1166"/>
        <v>0</v>
      </c>
      <c r="J251" s="130">
        <f t="shared" si="1166"/>
        <v>0</v>
      </c>
      <c r="K251" s="130">
        <f t="shared" si="1166"/>
        <v>0</v>
      </c>
      <c r="L251" s="130">
        <f t="shared" si="1166"/>
        <v>0</v>
      </c>
      <c r="M251" s="130">
        <f t="shared" si="1166"/>
        <v>0.15</v>
      </c>
      <c r="N251" s="130">
        <f t="shared" si="1166"/>
        <v>0</v>
      </c>
      <c r="O251" s="130">
        <f t="shared" si="1166"/>
        <v>0</v>
      </c>
      <c r="P251" s="130">
        <f t="shared" si="1166"/>
        <v>0</v>
      </c>
      <c r="Q251" s="130">
        <f t="shared" si="1166"/>
        <v>0</v>
      </c>
      <c r="R251" s="130">
        <f t="shared" si="1166"/>
        <v>0</v>
      </c>
      <c r="S251" s="130">
        <f t="shared" si="1166"/>
        <v>0.15</v>
      </c>
      <c r="T251" s="130">
        <f t="shared" si="1166"/>
        <v>0</v>
      </c>
      <c r="U251" s="130">
        <f t="shared" si="1166"/>
        <v>0</v>
      </c>
      <c r="V251" s="130">
        <f t="shared" si="1166"/>
        <v>0.15</v>
      </c>
      <c r="W251" s="130">
        <f t="shared" si="1166"/>
        <v>0</v>
      </c>
      <c r="X251" s="130">
        <f t="shared" si="1166"/>
        <v>0</v>
      </c>
      <c r="Y251" s="130">
        <f t="shared" si="1166"/>
        <v>0</v>
      </c>
      <c r="Z251" s="130">
        <f t="shared" si="1166"/>
        <v>0</v>
      </c>
      <c r="AA251" s="130">
        <f t="shared" si="1166"/>
        <v>0</v>
      </c>
      <c r="AB251" s="130">
        <f t="shared" si="1166"/>
        <v>0</v>
      </c>
      <c r="AC251" s="130">
        <f t="shared" si="1166"/>
        <v>0</v>
      </c>
      <c r="AD251" s="130">
        <f t="shared" si="1166"/>
        <v>0</v>
      </c>
      <c r="AE251" s="130">
        <f t="shared" si="1166"/>
        <v>0</v>
      </c>
      <c r="AF251" s="130">
        <f t="shared" si="1166"/>
        <v>0</v>
      </c>
      <c r="AG251" s="130">
        <f t="shared" si="1166"/>
        <v>0</v>
      </c>
      <c r="AH251" s="130">
        <f t="shared" si="1166"/>
        <v>0</v>
      </c>
      <c r="AI251" s="130">
        <f t="shared" si="1166"/>
        <v>0</v>
      </c>
      <c r="AJ251" s="130">
        <f t="shared" si="1166"/>
        <v>0</v>
      </c>
      <c r="AK251" s="130"/>
      <c r="AL251" s="130"/>
      <c r="AM251" s="130"/>
      <c r="AN251" s="130"/>
      <c r="AO251" s="130"/>
      <c r="AP251" s="130"/>
      <c r="AQ251" s="130"/>
      <c r="AR251" s="130"/>
      <c r="AS251" s="130"/>
      <c r="AT251" s="130"/>
      <c r="AU251" s="130"/>
      <c r="AV251" s="130"/>
      <c r="AW251" s="130"/>
      <c r="AX251" s="130"/>
      <c r="AY251" s="130"/>
      <c r="AZ251" s="130"/>
      <c r="BA251" s="130"/>
      <c r="BB251" s="130"/>
      <c r="BC251" s="130"/>
      <c r="BD251" s="130"/>
      <c r="BE251" s="130"/>
      <c r="BF251" s="130"/>
      <c r="BG251" s="130"/>
      <c r="BH251" s="130"/>
      <c r="BI251" s="130"/>
      <c r="BJ251" s="130"/>
      <c r="BK251" s="130"/>
      <c r="BL251" s="130"/>
      <c r="BM251" s="130"/>
      <c r="BN251" s="130"/>
      <c r="BO251" s="130"/>
      <c r="BP251" s="130"/>
      <c r="BQ251" s="130"/>
      <c r="BR251" s="130"/>
      <c r="BS251" s="130"/>
      <c r="BT251" s="130"/>
    </row>
    <row r="252" spans="1:72" s="131" customFormat="1" hidden="1" outlineLevel="1" x14ac:dyDescent="0.25">
      <c r="A252" s="112" t="s">
        <v>687</v>
      </c>
      <c r="B252" s="214">
        <f t="shared" ref="B252:D252" si="1167">IF(B250=1, 1, B250*(1+(2.78*B136)/(1400+B136)+B251))</f>
        <v>1</v>
      </c>
      <c r="C252" s="214">
        <f t="shared" ref="C252" si="1168">IF(C250=1, 1, C250*(1+(2.78*C136)/(1400+C136)+C251))</f>
        <v>1</v>
      </c>
      <c r="D252" s="214">
        <f t="shared" si="1167"/>
        <v>1</v>
      </c>
      <c r="E252" s="214">
        <f t="shared" ref="E252" si="1169">IF(E250=1, 1, E250*(1+(2.78*E136)/(1400+E136)+E251))</f>
        <v>1</v>
      </c>
      <c r="F252" s="214">
        <f t="shared" ref="F252:L252" si="1170">IF(F250=1, 1, F250*(1+(2.78*F136)/(1400+F136)+F251))</f>
        <v>1</v>
      </c>
      <c r="G252" s="214">
        <f t="shared" si="1170"/>
        <v>1</v>
      </c>
      <c r="H252" s="214">
        <f t="shared" si="1170"/>
        <v>1</v>
      </c>
      <c r="I252" s="214">
        <f t="shared" si="1170"/>
        <v>1</v>
      </c>
      <c r="J252" s="214">
        <f t="shared" si="1170"/>
        <v>3.4192220614520386</v>
      </c>
      <c r="K252" s="214">
        <f t="shared" si="1170"/>
        <v>1</v>
      </c>
      <c r="L252" s="214">
        <f t="shared" si="1170"/>
        <v>3.4192220614520386</v>
      </c>
      <c r="M252" s="214">
        <f t="shared" ref="M252:AG252" ca="1" si="1171">IF(M250=1, 1, M250*(1+(2.78*M136)/(1400+M136)+M251))</f>
        <v>3.3413542005294197</v>
      </c>
      <c r="N252" s="214">
        <f t="shared" ref="N252:O252" si="1172">IF(N250=1, 1, N250*(1+(2.78*N136)/(1400+N136)+N251))</f>
        <v>1</v>
      </c>
      <c r="O252" s="214">
        <f t="shared" si="1172"/>
        <v>1</v>
      </c>
      <c r="P252" s="214">
        <f t="shared" si="1171"/>
        <v>1</v>
      </c>
      <c r="Q252" s="214">
        <f t="shared" si="1171"/>
        <v>1</v>
      </c>
      <c r="R252" s="214">
        <f t="shared" si="1171"/>
        <v>1</v>
      </c>
      <c r="S252" s="214">
        <f t="shared" ca="1" si="1171"/>
        <v>3.3413542005294197</v>
      </c>
      <c r="T252" s="214">
        <f t="shared" ref="T252:U252" si="1173">IF(T250=1, 1, T250*(1+(2.78*T136)/(1400+T136)+T251))</f>
        <v>1</v>
      </c>
      <c r="U252" s="214">
        <f t="shared" si="1173"/>
        <v>1</v>
      </c>
      <c r="V252" s="214">
        <f t="shared" ca="1" si="1171"/>
        <v>3.3413542005294197</v>
      </c>
      <c r="W252" s="214">
        <f t="shared" si="1171"/>
        <v>1</v>
      </c>
      <c r="X252" s="214">
        <f t="shared" si="1171"/>
        <v>1</v>
      </c>
      <c r="Y252" s="214">
        <f t="shared" si="1171"/>
        <v>1</v>
      </c>
      <c r="Z252" s="214">
        <f t="shared" si="1171"/>
        <v>1</v>
      </c>
      <c r="AA252" s="214">
        <f t="shared" ref="AA252:AC252" si="1174">IF(AA250=1, 1, AA250*(1+(2.78*AA136)/(1400+AA136)+AA251))</f>
        <v>1</v>
      </c>
      <c r="AB252" s="214">
        <f t="shared" si="1174"/>
        <v>1</v>
      </c>
      <c r="AC252" s="214">
        <f t="shared" si="1174"/>
        <v>1</v>
      </c>
      <c r="AD252" s="214">
        <f t="shared" ref="AD252" si="1175">IF(AD250=1, 1, AD250*(1+(2.78*AD136)/(1400+AD136)+AD251))</f>
        <v>1</v>
      </c>
      <c r="AE252" s="214">
        <f t="shared" ref="AE252:AF252" si="1176">IF(AE250=1, 1, AE250*(1+(2.78*AE136)/(1400+AE136)+AE251))</f>
        <v>1</v>
      </c>
      <c r="AF252" s="214">
        <f t="shared" si="1176"/>
        <v>1</v>
      </c>
      <c r="AG252" s="214">
        <f t="shared" si="1171"/>
        <v>1</v>
      </c>
      <c r="AH252" s="214">
        <f t="shared" ref="AH252:AI252" si="1177">IF(AH250=1, 1, AH250*(1+(2.78*AH136)/(1400+AH136)+AH251))</f>
        <v>1</v>
      </c>
      <c r="AI252" s="214">
        <f t="shared" si="1177"/>
        <v>1</v>
      </c>
      <c r="AJ252" s="214">
        <f t="shared" ref="AJ252" si="1178">IF(AJ250=1, 1, AJ250*(1+(2.78*AJ136)/(1400+AJ136)+AJ251))</f>
        <v>1</v>
      </c>
      <c r="AK252" s="214"/>
      <c r="AL252" s="214"/>
      <c r="AM252" s="130"/>
      <c r="AN252" s="130"/>
      <c r="AO252" s="130"/>
      <c r="AP252" s="130"/>
      <c r="AQ252" s="130"/>
      <c r="AR252" s="130"/>
      <c r="AS252" s="130"/>
      <c r="AT252" s="130"/>
      <c r="AU252" s="130"/>
      <c r="AV252" s="130"/>
      <c r="AW252" s="130"/>
      <c r="AX252" s="130"/>
      <c r="AY252" s="130"/>
      <c r="AZ252" s="130"/>
      <c r="BA252" s="130"/>
      <c r="BB252" s="130"/>
      <c r="BC252" s="130"/>
      <c r="BD252" s="130"/>
      <c r="BE252" s="130"/>
      <c r="BF252" s="130"/>
      <c r="BG252" s="130"/>
      <c r="BH252" s="130"/>
      <c r="BI252" s="130"/>
      <c r="BJ252" s="130"/>
      <c r="BK252" s="130"/>
      <c r="BL252" s="130"/>
      <c r="BM252" s="130"/>
      <c r="BN252" s="130"/>
      <c r="BO252" s="130"/>
      <c r="BP252" s="130"/>
      <c r="BQ252" s="130"/>
      <c r="BR252" s="130"/>
      <c r="BS252" s="130"/>
      <c r="BT252" s="130"/>
    </row>
    <row r="253" spans="1:72" s="131" customFormat="1" hidden="1" outlineLevel="1" x14ac:dyDescent="0.25">
      <c r="A253" s="112" t="s">
        <v>696</v>
      </c>
      <c r="B253" s="105">
        <f t="shared" ref="B253:L253" si="1179">IF(B19="",0,B19)</f>
        <v>1.9923999999999999</v>
      </c>
      <c r="C253" s="105">
        <f t="shared" si="1179"/>
        <v>0.71399999999999997</v>
      </c>
      <c r="D253" s="105">
        <f t="shared" si="1179"/>
        <v>0.71399999999999997</v>
      </c>
      <c r="E253" s="105">
        <f t="shared" si="1179"/>
        <v>0</v>
      </c>
      <c r="F253" s="105">
        <f t="shared" si="1179"/>
        <v>5.04</v>
      </c>
      <c r="G253" s="105">
        <f t="shared" si="1179"/>
        <v>5.7359999999999998</v>
      </c>
      <c r="H253" s="105">
        <f t="shared" si="1179"/>
        <v>1.0853999999999999</v>
      </c>
      <c r="I253" s="105">
        <f t="shared" si="1179"/>
        <v>0</v>
      </c>
      <c r="J253" s="105">
        <f t="shared" si="1179"/>
        <v>4.6559999999999997</v>
      </c>
      <c r="K253" s="105">
        <f t="shared" si="1179"/>
        <v>0</v>
      </c>
      <c r="L253" s="105">
        <f t="shared" si="1179"/>
        <v>2.7519999999999998</v>
      </c>
      <c r="M253" s="105">
        <f t="shared" ref="M253:AG253" si="1180">IF(M19="",0,M19)</f>
        <v>2.0030000000000001</v>
      </c>
      <c r="N253" s="105">
        <f t="shared" ref="N253:O253" si="1181">IF(N19="",0,N19)</f>
        <v>2.0030000000000001</v>
      </c>
      <c r="O253" s="105">
        <f t="shared" si="1181"/>
        <v>0</v>
      </c>
      <c r="P253" s="105">
        <f t="shared" si="1180"/>
        <v>1.44</v>
      </c>
      <c r="Q253" s="105">
        <f t="shared" si="1180"/>
        <v>1.76</v>
      </c>
      <c r="R253" s="105">
        <f t="shared" si="1180"/>
        <v>2.1920000000000002</v>
      </c>
      <c r="S253" s="105">
        <f t="shared" si="1180"/>
        <v>2.2400000000000002</v>
      </c>
      <c r="T253" s="105">
        <f t="shared" ref="T253:U253" si="1182">IF(T19="",0,T19)</f>
        <v>2.2400000000000002</v>
      </c>
      <c r="U253" s="105">
        <f t="shared" si="1182"/>
        <v>2.2400000000000002</v>
      </c>
      <c r="V253" s="105">
        <f t="shared" si="1180"/>
        <v>2.2400000000000002</v>
      </c>
      <c r="W253" s="105">
        <f t="shared" si="1180"/>
        <v>0</v>
      </c>
      <c r="X253" s="105">
        <f t="shared" si="1180"/>
        <v>6.8136000000000001</v>
      </c>
      <c r="Y253" s="105">
        <f t="shared" si="1180"/>
        <v>6.6100000000000006E-2</v>
      </c>
      <c r="Z253" s="105">
        <f t="shared" si="1180"/>
        <v>0.75239999999999996</v>
      </c>
      <c r="AA253" s="105">
        <f t="shared" ref="AA253:AC253" si="1183">IF(AA19="",0,AA19)</f>
        <v>0.73929999999999996</v>
      </c>
      <c r="AB253" s="105">
        <f t="shared" si="1183"/>
        <v>0.9052</v>
      </c>
      <c r="AC253" s="105">
        <f t="shared" si="1183"/>
        <v>1.036</v>
      </c>
      <c r="AD253" s="105">
        <f t="shared" ref="AD253" si="1184">IF(AD19="",0,AD19)</f>
        <v>1.2505999999999999</v>
      </c>
      <c r="AE253" s="105">
        <f t="shared" ref="AE253:AF253" si="1185">IF(AE19="",0,AE19)</f>
        <v>0.75239999999999996</v>
      </c>
      <c r="AF253" s="105">
        <f t="shared" si="1185"/>
        <v>1.23E-2</v>
      </c>
      <c r="AG253" s="105">
        <f t="shared" si="1180"/>
        <v>2.2400000000000002</v>
      </c>
      <c r="AH253" s="105">
        <f t="shared" ref="AH253:AI253" si="1186">IF(AH19="",0,AH19)</f>
        <v>2.0030000000000001</v>
      </c>
      <c r="AI253" s="105">
        <f t="shared" si="1186"/>
        <v>0.12</v>
      </c>
      <c r="AJ253" s="105">
        <f t="shared" ref="AJ253" si="1187">IF(AJ19="",0,AJ19)</f>
        <v>1477</v>
      </c>
      <c r="AK253" s="105"/>
      <c r="AL253" s="105"/>
      <c r="AM253" s="105"/>
      <c r="AN253" s="105"/>
      <c r="AO253" s="105"/>
      <c r="AP253" s="105"/>
      <c r="AQ253" s="105"/>
      <c r="AR253" s="105"/>
      <c r="AS253" s="105"/>
      <c r="AT253" s="105"/>
      <c r="AU253" s="105"/>
      <c r="AV253" s="105"/>
      <c r="AW253" s="105"/>
      <c r="AX253" s="105"/>
      <c r="AY253" s="105"/>
      <c r="AZ253" s="105"/>
      <c r="BA253" s="105"/>
      <c r="BB253" s="105"/>
      <c r="BC253" s="105"/>
      <c r="BD253" s="105"/>
      <c r="BE253" s="105"/>
      <c r="BF253" s="105"/>
      <c r="BG253" s="105"/>
      <c r="BH253" s="105"/>
      <c r="BI253" s="105"/>
      <c r="BJ253" s="105"/>
      <c r="BK253" s="105"/>
      <c r="BL253" s="105"/>
      <c r="BM253" s="105"/>
      <c r="BN253" s="105"/>
      <c r="BO253" s="105"/>
      <c r="BP253" s="105"/>
      <c r="BQ253" s="105"/>
      <c r="BR253" s="105"/>
      <c r="BS253" s="105"/>
      <c r="BT253" s="105"/>
    </row>
    <row r="254" spans="1:72" s="115" customFormat="1" collapsed="1" x14ac:dyDescent="0.25">
      <c r="A254" s="114" t="s">
        <v>667</v>
      </c>
    </row>
    <row r="255" spans="1:72" x14ac:dyDescent="0.25">
      <c r="A255" s="112" t="s">
        <v>121</v>
      </c>
      <c r="B255" s="40">
        <f ca="1">IF(B7=TRUE, 0, IF(ISBLANK(B16), IF(B3 = "Transformative", INDEX(B195:B203, MATCH(B2,$A$195:$A$203, 0), 1)*B252*B15,IF(B3 = "Weapon Proc", B243, B253*B245*(1+B246)*B247*B248*B249*B252*B15)), B16))</f>
        <v>6054.569337206869</v>
      </c>
      <c r="C255" s="40">
        <f ca="1">IF(C7=TRUE, 0, IF(ISBLANK(C16), IF(C3 = "Transformative", INDEX(C195:C203, MATCH(C2,$A$195:$A$203, 0), 1)*C252*C15,IF(C3 = "Weapon Proc", C243, C253*C245*(1+C246)*C247*C248*C249*C252*C15)), C16))</f>
        <v>10848.631064961115</v>
      </c>
      <c r="D255" s="40">
        <f ca="1">IF(D7=TRUE, 0, IF(ISBLANK(D16), IF(D3 = "Transformative", INDEX(D195:D203, MATCH(D2,$A$195:$A$203, 0), 1)*D252*D15,IF(D3 = "Weapon Proc", D243, D253*D245*(1+D246)*D247*D248*D249*D252*D15)), D16))</f>
        <v>36063.317070199613</v>
      </c>
      <c r="E255" s="40">
        <f>IF(E7=TRUE, 0, IF(ISBLANK(E16), IF(E3 = "Transformative", INDEX(E195:E203, MATCH(E2,$A$195:$A$203, 0), 1)*E252*E15,IF(E3 = "Weapon Proc", E243, E253*E245*(1+E246)*E247*E248*E249*E252*E15)), E16))</f>
        <v>5801.4769169461251</v>
      </c>
      <c r="F255" s="40">
        <f t="shared" ref="F255:AJ255" ca="1" si="1188">IF(F7, 0, IF(ISBLANK(F16), IF(F3 = "Transformative", INDEX(F195:F203, MATCH(F2,$A$195:$A$203, 0), 1)*F252*F15,IF(F3 = "Weapon Proc", F243, F253*F245*(1+F246)*F247*F248*F249*F252*F15)), F16))</f>
        <v>13700.156079781129</v>
      </c>
      <c r="G255" s="40">
        <f t="shared" ca="1" si="1188"/>
        <v>15592.082395560426</v>
      </c>
      <c r="H255" s="40">
        <f t="shared" ca="1" si="1188"/>
        <v>117607.2773473711</v>
      </c>
      <c r="I255" s="40">
        <f t="shared" si="1188"/>
        <v>12225.551356686468</v>
      </c>
      <c r="J255" s="40">
        <f t="shared" ca="1" si="1188"/>
        <v>39222.335627173248</v>
      </c>
      <c r="K255" s="40">
        <f t="shared" si="1188"/>
        <v>7957.7920887799182</v>
      </c>
      <c r="L255" s="40">
        <f t="shared" ca="1" si="1188"/>
        <v>23182.961264171132</v>
      </c>
      <c r="M255" s="40">
        <f t="shared" ca="1" si="1188"/>
        <v>77729.320953744362</v>
      </c>
      <c r="N255" s="40">
        <f t="shared" ca="1" si="1188"/>
        <v>7754.2732964804682</v>
      </c>
      <c r="O255" s="40">
        <f t="shared" ca="1" si="1188"/>
        <v>75414.143434519327</v>
      </c>
      <c r="P255" s="40">
        <f t="shared" ca="1" si="1188"/>
        <v>5348.6009724078503</v>
      </c>
      <c r="Q255" s="40">
        <f t="shared" ca="1" si="1188"/>
        <v>6537.1789662762612</v>
      </c>
      <c r="R255" s="40">
        <f t="shared" ca="1" si="1188"/>
        <v>9104.7112695892301</v>
      </c>
      <c r="S255" s="40">
        <f t="shared" ca="1" si="1188"/>
        <v>27800.220507283335</v>
      </c>
      <c r="T255" s="40">
        <f t="shared" ca="1" si="1188"/>
        <v>8320.0459570788807</v>
      </c>
      <c r="U255" s="40">
        <f t="shared" ca="1" si="1188"/>
        <v>9475.607895562056</v>
      </c>
      <c r="V255" s="40">
        <f t="shared" ca="1" si="1188"/>
        <v>253290.89795524807</v>
      </c>
      <c r="W255" s="40">
        <f t="shared" ca="1" si="1188"/>
        <v>10773.449062074189</v>
      </c>
      <c r="X255" s="40">
        <f t="shared" ca="1" si="1188"/>
        <v>37522.850630041663</v>
      </c>
      <c r="Y255" s="40">
        <f t="shared" ca="1" si="1188"/>
        <v>20384.904293202162</v>
      </c>
      <c r="Z255" s="40">
        <f t="shared" ca="1" si="1188"/>
        <v>12430.518146373435</v>
      </c>
      <c r="AA255" s="40">
        <f t="shared" ca="1" si="1188"/>
        <v>12214.090996297025</v>
      </c>
      <c r="AB255" s="40">
        <f t="shared" ca="1" si="1188"/>
        <v>14954.950858715092</v>
      </c>
      <c r="AC255" s="40">
        <f t="shared" ca="1" si="1188"/>
        <v>22821.224170907106</v>
      </c>
      <c r="AD255" s="40">
        <f t="shared" ca="1" si="1188"/>
        <v>27548.477749166435</v>
      </c>
      <c r="AE255" s="40">
        <f t="shared" ca="1" si="1188"/>
        <v>4143.5060487911451</v>
      </c>
      <c r="AF255" s="40">
        <f t="shared" ca="1" si="1188"/>
        <v>68278.635559984235</v>
      </c>
      <c r="AG255" s="40">
        <f t="shared" ca="1" si="1188"/>
        <v>7837.7913964616027</v>
      </c>
      <c r="AH255" s="40">
        <f t="shared" ca="1" si="1188"/>
        <v>6413.9817939735003</v>
      </c>
      <c r="AI255" s="40">
        <f t="shared" si="1188"/>
        <v>0</v>
      </c>
      <c r="AJ255" s="40">
        <f t="shared" si="1188"/>
        <v>0</v>
      </c>
      <c r="AK255" s="40"/>
      <c r="AL255" s="40"/>
    </row>
    <row r="256" spans="1:72" x14ac:dyDescent="0.25">
      <c r="A256" s="112" t="s">
        <v>958</v>
      </c>
      <c r="B256" s="40">
        <f>IF(B7 = TRUE, IF(B8="Percentage", B245*B19*(1+VLOOKUP(char1Name, 'Data Val'!$O$35:$Q$39, 2, 0))*(1+VLOOKUP(B$6, 'Data Val'!$O$35:$Q$39, 3, 0)), IF(B8="Flat", B19*(1+VLOOKUP(char1Name, 'Data Val'!$O$35:$Q$39, 2, 0)), 0)), 0)</f>
        <v>0</v>
      </c>
      <c r="C256" s="40">
        <f>IF(C7 = TRUE, IF(C8="Percentage", C245*C19*(1+VLOOKUP(char1Name, 'Data Val'!$O$35:$Q$39, 2, 0))*(1+VLOOKUP(C$6, 'Data Val'!$O$35:$Q$39, 3, 0)), IF(C8="Flat", C19*(1+VLOOKUP(char1Name, 'Data Val'!$O$35:$Q$39, 2, 0)), 0)), 0)</f>
        <v>0</v>
      </c>
      <c r="D256" s="40">
        <f>IF(D7 = TRUE, IF(D8="Percentage", D245*D19*(1+VLOOKUP(char1Name, 'Data Val'!$O$35:$Q$39, 2, 0))*(1+VLOOKUP(D$6, 'Data Val'!$O$35:$Q$39, 3, 0)), IF(D8="Flat", D19*(1+VLOOKUP(char1Name, 'Data Val'!$O$35:$Q$39, 2, 0)), 0)), 0)</f>
        <v>0</v>
      </c>
      <c r="E256" s="40">
        <f>IF(E7 = TRUE, IF(E8="Percentage", E245*E19*(1+VLOOKUP(char1Name, 'Data Val'!$O$35:$Q$39, 2, 0))*(1+VLOOKUP(E$6, 'Data Val'!$O$35:$Q$39, 3, 0)), IF(E8="Flat", E19*(1+VLOOKUP(char1Name, 'Data Val'!$O$35:$Q$39, 2, 0)), 0)), 0)</f>
        <v>0</v>
      </c>
      <c r="F256" s="40">
        <f>IF(F7 = TRUE, IF(F8="Percentage", F245*F19*(1+VLOOKUP(char1Name, 'Data Val'!$O$35:$Q$39, 2, 0))*(1+VLOOKUP(F$6, 'Data Val'!$O$35:$Q$39, 3, 0)), IF(F8="Flat", F19*(1+VLOOKUP(char1Name, 'Data Val'!$O$35:$Q$39, 2, 0)), 0)), 0)</f>
        <v>0</v>
      </c>
      <c r="G256" s="40">
        <f>IF(G7 = TRUE, IF(G8="Percentage", G245*G19*(1+VLOOKUP(char1Name, 'Data Val'!$O$35:$Q$39, 2, 0))*(1+VLOOKUP(G$6, 'Data Val'!$O$35:$Q$39, 3, 0)), IF(G8="Flat", G19*(1+VLOOKUP(char1Name, 'Data Val'!$O$35:$Q$39, 2, 0)), 0)), 0)</f>
        <v>0</v>
      </c>
      <c r="H256" s="40">
        <f>IF(H7 = TRUE, IF(H8="Percentage", H245*H19*(1+VLOOKUP(char1Name, 'Data Val'!$O$35:$Q$39, 2, 0))*(1+VLOOKUP(H$6, 'Data Val'!$O$35:$Q$39, 3, 0)), IF(H8="Flat", H19*(1+VLOOKUP(char1Name, 'Data Val'!$O$35:$Q$39, 2, 0)), 0)), 0)</f>
        <v>0</v>
      </c>
      <c r="I256" s="40">
        <f>IF(I7 = TRUE, IF(I8="Percentage", I245*I19*(1+VLOOKUP(char1Name, 'Data Val'!$O$35:$Q$39, 2, 0))*(1+VLOOKUP(I$6, 'Data Val'!$O$35:$Q$39, 3, 0)), IF(I8="Flat", I19*(1+VLOOKUP(char1Name, 'Data Val'!$O$35:$Q$39, 2, 0)), 0)), 0)</f>
        <v>0</v>
      </c>
      <c r="J256" s="40">
        <f>IF(J7 = TRUE, IF(J8="Percentage", J245*J19*(1+VLOOKUP(char1Name, 'Data Val'!$O$35:$Q$39, 2, 0))*(1+VLOOKUP(J$6, 'Data Val'!$O$35:$Q$39, 3, 0)), IF(J8="Flat", J19*(1+VLOOKUP(char1Name, 'Data Val'!$O$35:$Q$39, 2, 0)), 0)), 0)</f>
        <v>0</v>
      </c>
      <c r="K256" s="40">
        <f>IF(K7 = TRUE, IF(K8="Percentage", K245*K19*(1+VLOOKUP(char1Name, 'Data Val'!$O$35:$Q$39, 2, 0))*(1+VLOOKUP(K$6, 'Data Val'!$O$35:$Q$39, 3, 0)), IF(K8="Flat", K19*(1+VLOOKUP(char1Name, 'Data Val'!$O$35:$Q$39, 2, 0)), 0)), 0)</f>
        <v>0</v>
      </c>
      <c r="L256" s="40">
        <f>IF(L7 = TRUE, IF(L8="Percentage", L245*L19*(1+VLOOKUP(char1Name, 'Data Val'!$O$35:$Q$39, 2, 0))*(1+VLOOKUP(L$6, 'Data Val'!$O$35:$Q$39, 3, 0)), IF(L8="Flat", L19*(1+VLOOKUP(char1Name, 'Data Val'!$O$35:$Q$39, 2, 0)), 0)), 0)</f>
        <v>0</v>
      </c>
      <c r="M256" s="40">
        <f>IF(M7 = TRUE, IF(M8="Percentage", M245*M19*(1+VLOOKUP(char1Name, 'Data Val'!$O$35:$Q$39, 2, 0))*(1+VLOOKUP(M$6, 'Data Val'!$O$35:$Q$39, 3, 0)), IF(M8="Flat", M19*(1+VLOOKUP(char1Name, 'Data Val'!$O$35:$Q$39, 2, 0)), 0)), 0)</f>
        <v>0</v>
      </c>
      <c r="N256" s="40">
        <f>IF(N7 = TRUE, IF(N8="Percentage", N245*N19*(1+VLOOKUP(char1Name, 'Data Val'!$O$35:$Q$39, 2, 0))*(1+VLOOKUP(N$6, 'Data Val'!$O$35:$Q$39, 3, 0)), IF(N8="Flat", N19*(1+VLOOKUP(char1Name, 'Data Val'!$O$35:$Q$39, 2, 0)), 0)), 0)</f>
        <v>0</v>
      </c>
      <c r="O256" s="40">
        <f>IF(O7 = TRUE, IF(O8="Percentage", O245*O19*(1+VLOOKUP(char1Name, 'Data Val'!$O$35:$Q$39, 2, 0))*(1+VLOOKUP(O$6, 'Data Val'!$O$35:$Q$39, 3, 0)), IF(O8="Flat", O19*(1+VLOOKUP(char1Name, 'Data Val'!$O$35:$Q$39, 2, 0)), 0)), 0)</f>
        <v>0</v>
      </c>
      <c r="P256" s="40">
        <f>IF(P7 = TRUE, IF(P8="Percentage", P245*P19*(1+VLOOKUP(char1Name, 'Data Val'!$O$35:$Q$39, 2, 0))*(1+VLOOKUP(P$6, 'Data Val'!$O$35:$Q$39, 3, 0)), IF(P8="Flat", P19*(1+VLOOKUP(char1Name, 'Data Val'!$O$35:$Q$39, 2, 0)), 0)), 0)</f>
        <v>0</v>
      </c>
      <c r="Q256" s="40">
        <f>IF(Q7 = TRUE, IF(Q8="Percentage", Q245*Q19*(1+VLOOKUP(char1Name, 'Data Val'!$O$35:$Q$39, 2, 0))*(1+VLOOKUP(Q$6, 'Data Val'!$O$35:$Q$39, 3, 0)), IF(Q8="Flat", Q19*(1+VLOOKUP(char1Name, 'Data Val'!$O$35:$Q$39, 2, 0)), 0)), 0)</f>
        <v>0</v>
      </c>
      <c r="R256" s="40">
        <f>IF(R7 = TRUE, IF(R8="Percentage", R245*R19*(1+VLOOKUP(char1Name, 'Data Val'!$O$35:$Q$39, 2, 0))*(1+VLOOKUP(R$6, 'Data Val'!$O$35:$Q$39, 3, 0)), IF(R8="Flat", R19*(1+VLOOKUP(char1Name, 'Data Val'!$O$35:$Q$39, 2, 0)), 0)), 0)</f>
        <v>0</v>
      </c>
      <c r="S256" s="40">
        <f>IF(S7 = TRUE, IF(S8="Percentage", S245*S19*(1+VLOOKUP(char1Name, 'Data Val'!$O$35:$Q$39, 2, 0))*(1+VLOOKUP(S$6, 'Data Val'!$O$35:$Q$39, 3, 0)), IF(S8="Flat", S19*(1+VLOOKUP(char1Name, 'Data Val'!$O$35:$Q$39, 2, 0)), 0)), 0)</f>
        <v>0</v>
      </c>
      <c r="T256" s="40">
        <f>IF(T7 = TRUE, IF(T8="Percentage", T245*T19*(1+VLOOKUP(char1Name, 'Data Val'!$O$35:$Q$39, 2, 0))*(1+VLOOKUP(T$6, 'Data Val'!$O$35:$Q$39, 3, 0)), IF(T8="Flat", T19*(1+VLOOKUP(char1Name, 'Data Val'!$O$35:$Q$39, 2, 0)), 0)), 0)</f>
        <v>0</v>
      </c>
      <c r="U256" s="40">
        <f>IF(U7 = TRUE, IF(U8="Percentage", U245*U19*(1+VLOOKUP(char1Name, 'Data Val'!$O$35:$Q$39, 2, 0))*(1+VLOOKUP(U$6, 'Data Val'!$O$35:$Q$39, 3, 0)), IF(U8="Flat", U19*(1+VLOOKUP(char1Name, 'Data Val'!$O$35:$Q$39, 2, 0)), 0)), 0)</f>
        <v>0</v>
      </c>
      <c r="V256" s="40">
        <f>IF(V7 = TRUE, IF(V8="Percentage", V245*V19*(1+VLOOKUP(char1Name, 'Data Val'!$O$35:$Q$39, 2, 0))*(1+VLOOKUP(V$6, 'Data Val'!$O$35:$Q$39, 3, 0)), IF(V8="Flat", V19*(1+VLOOKUP(char1Name, 'Data Val'!$O$35:$Q$39, 2, 0)), 0)), 0)</f>
        <v>0</v>
      </c>
      <c r="W256" s="40">
        <f>IF(W7 = TRUE, IF(W8="Percentage", W245*W19*(1+VLOOKUP(char1Name, 'Data Val'!$O$35:$Q$39, 2, 0))*(1+VLOOKUP(W$6, 'Data Val'!$O$35:$Q$39, 3, 0)), IF(W8="Flat", W19*(1+VLOOKUP(char1Name, 'Data Val'!$O$35:$Q$39, 2, 0)), 0)), 0)</f>
        <v>0</v>
      </c>
      <c r="X256" s="40">
        <f>IF(X7 = TRUE, IF(X8="Percentage", X245*X19*(1+VLOOKUP(char1Name, 'Data Val'!$O$35:$Q$39, 2, 0))*(1+VLOOKUP(X$6, 'Data Val'!$O$35:$Q$39, 3, 0)), IF(X8="Flat", X19*(1+VLOOKUP(char1Name, 'Data Val'!$O$35:$Q$39, 2, 0)), 0)), 0)</f>
        <v>0</v>
      </c>
      <c r="Y256" s="40">
        <f>IF(Y7 = TRUE, IF(Y8="Percentage", Y245*Y19*(1+VLOOKUP(char1Name, 'Data Val'!$O$35:$Q$39, 2, 0))*(1+VLOOKUP(Y$6, 'Data Val'!$O$35:$Q$39, 3, 0)), IF(Y8="Flat", Y19*(1+VLOOKUP(char1Name, 'Data Val'!$O$35:$Q$39, 2, 0)), 0)), 0)</f>
        <v>0</v>
      </c>
      <c r="Z256" s="40">
        <f>IF(Z7 = TRUE, IF(Z8="Percentage", Z245*Z19*(1+VLOOKUP(char1Name, 'Data Val'!$O$35:$Q$39, 2, 0))*(1+VLOOKUP(Z$6, 'Data Val'!$O$35:$Q$39, 3, 0)), IF(Z8="Flat", Z19*(1+VLOOKUP(char1Name, 'Data Val'!$O$35:$Q$39, 2, 0)), 0)), 0)</f>
        <v>0</v>
      </c>
      <c r="AA256" s="40">
        <f>IF(AA7 = TRUE, IF(AA8="Percentage", AA245*AA19*(1+VLOOKUP(char1Name, 'Data Val'!$O$35:$Q$39, 2, 0))*(1+VLOOKUP(AA$6, 'Data Val'!$O$35:$Q$39, 3, 0)), IF(AA8="Flat", AA19*(1+VLOOKUP(char1Name, 'Data Val'!$O$35:$Q$39, 2, 0)), 0)), 0)</f>
        <v>0</v>
      </c>
      <c r="AB256" s="40">
        <f>IF(AB7 = TRUE, IF(AB8="Percentage", AB245*AB19*(1+VLOOKUP(char1Name, 'Data Val'!$O$35:$Q$39, 2, 0))*(1+VLOOKUP(AB$6, 'Data Val'!$O$35:$Q$39, 3, 0)), IF(AB8="Flat", AB19*(1+VLOOKUP(char1Name, 'Data Val'!$O$35:$Q$39, 2, 0)), 0)), 0)</f>
        <v>0</v>
      </c>
      <c r="AC256" s="40">
        <f>IF(AC7 = TRUE, IF(AC8="Percentage", AC245*AC19*(1+VLOOKUP(char1Name, 'Data Val'!$O$35:$Q$39, 2, 0))*(1+VLOOKUP(AC$6, 'Data Val'!$O$35:$Q$39, 3, 0)), IF(AC8="Flat", AC19*(1+VLOOKUP(char1Name, 'Data Val'!$O$35:$Q$39, 2, 0)), 0)), 0)</f>
        <v>0</v>
      </c>
      <c r="AD256" s="40">
        <f>IF(AD7 = TRUE, IF(AD8="Percentage", AD245*AD19*(1+VLOOKUP(char1Name, 'Data Val'!$O$35:$Q$39, 2, 0))*(1+VLOOKUP(AD$6, 'Data Val'!$O$35:$Q$39, 3, 0)), IF(AD8="Flat", AD19*(1+VLOOKUP(char1Name, 'Data Val'!$O$35:$Q$39, 2, 0)), 0)), 0)</f>
        <v>0</v>
      </c>
      <c r="AE256" s="40">
        <f>IF(AE7 = TRUE, IF(AE8="Percentage", AE245*AE19*(1+VLOOKUP(char1Name, 'Data Val'!$O$35:$Q$39, 2, 0))*(1+VLOOKUP(AE$6, 'Data Val'!$O$35:$Q$39, 3, 0)), IF(AE8="Flat", AE19*(1+VLOOKUP(char1Name, 'Data Val'!$O$35:$Q$39, 2, 0)), 0)), 0)</f>
        <v>0</v>
      </c>
      <c r="AF256" s="40">
        <f>IF(AF7 = TRUE, IF(AF8="Percentage", AF245*AF19*(1+VLOOKUP(char1Name, 'Data Val'!$O$35:$Q$39, 2, 0))*(1+VLOOKUP(AF$6, 'Data Val'!$O$35:$Q$39, 3, 0)), IF(AF8="Flat", AF19*(1+VLOOKUP(char1Name, 'Data Val'!$O$35:$Q$39, 2, 0)), 0)), 0)</f>
        <v>0</v>
      </c>
      <c r="AG256" s="40">
        <f>IF(AG7 = TRUE, IF(AG8="Percentage", AG245*AG19*(1+VLOOKUP(char1Name, 'Data Val'!$O$35:$Q$39, 2, 0))*(1+VLOOKUP(AG$6, 'Data Val'!$O$35:$Q$39, 3, 0)), IF(AG8="Flat", AG19*(1+VLOOKUP(char1Name, 'Data Val'!$O$35:$Q$39, 2, 0)), 0)), 0)</f>
        <v>0</v>
      </c>
      <c r="AH256" s="40">
        <f>IF(AH7 = TRUE, IF(AH8="Percentage", AH245*AH19*(1+VLOOKUP(char1Name, 'Data Val'!$O$35:$Q$39, 2, 0))*(1+VLOOKUP(AH$6, 'Data Val'!$O$35:$Q$39, 3, 0)), IF(AH8="Flat", AH19*(1+VLOOKUP(char1Name, 'Data Val'!$O$35:$Q$39, 2, 0)), 0)), 0)</f>
        <v>0</v>
      </c>
      <c r="AI256" s="40">
        <f ca="1">IF(AI7 = TRUE, IF(AI8="Percentage", AI245*AI19*(1+VLOOKUP(char1Name, 'Data Val'!$O$35:$Q$39, 2, 0))*(1+VLOOKUP(AI$6, 'Data Val'!$O$35:$Q$39, 3, 0)), IF(AI8="Flat", AI19*(1+VLOOKUP(char1Name, 'Data Val'!$O$35:$Q$39, 2, 0)), 0)), 0)</f>
        <v>2156.5858560000001</v>
      </c>
      <c r="AJ256" s="40">
        <f>IF(AJ7 = TRUE, IF(AJ8="Percentage", AJ245*AJ19*(1+VLOOKUP(char1Name, 'Data Val'!$O$35:$Q$39, 2, 0))*(1+VLOOKUP(AJ$6, 'Data Val'!$O$35:$Q$39, 3, 0)), IF(AJ8="Flat", AJ19*(1+VLOOKUP(char1Name, 'Data Val'!$O$35:$Q$39, 2, 0)), 0)), 0)</f>
        <v>1477</v>
      </c>
      <c r="AK256" s="40"/>
      <c r="AL256" s="40"/>
    </row>
    <row r="257" spans="1:38" x14ac:dyDescent="0.25">
      <c r="A257" s="112"/>
      <c r="B257" s="40"/>
      <c r="C257" s="40"/>
      <c r="D257" s="40"/>
      <c r="E257" s="40"/>
      <c r="F257" s="40"/>
      <c r="G257" s="40"/>
      <c r="H257" s="40"/>
      <c r="I257" s="40"/>
      <c r="J257" s="40"/>
      <c r="K257" s="40"/>
      <c r="L257" s="40"/>
      <c r="M257" s="40"/>
      <c r="N257" s="40"/>
      <c r="O257" s="40"/>
      <c r="P257" s="40"/>
      <c r="Q257" s="40"/>
      <c r="R257" s="40"/>
      <c r="S257" s="40"/>
      <c r="T257" s="40"/>
      <c r="U257" s="40"/>
      <c r="V257" s="40"/>
      <c r="W257" s="40"/>
      <c r="X257" s="40"/>
      <c r="Y257" s="40"/>
      <c r="Z257" s="40"/>
      <c r="AA257" s="40"/>
      <c r="AB257" s="40"/>
      <c r="AC257" s="40"/>
      <c r="AD257" s="40"/>
      <c r="AE257" s="40"/>
      <c r="AF257" s="40"/>
      <c r="AG257" s="40"/>
      <c r="AH257" s="40"/>
      <c r="AI257" s="40"/>
      <c r="AJ257" s="40"/>
      <c r="AK257" s="40"/>
      <c r="AL257" s="40"/>
    </row>
    <row r="258" spans="1:38" s="115" customFormat="1" x14ac:dyDescent="0.25">
      <c r="A258" s="114" t="s">
        <v>964</v>
      </c>
      <c r="B258" s="216"/>
      <c r="C258" s="216"/>
      <c r="D258" s="216"/>
      <c r="E258" s="216"/>
      <c r="F258" s="216"/>
      <c r="G258" s="216"/>
      <c r="H258" s="216"/>
      <c r="I258" s="216"/>
      <c r="J258" s="216"/>
      <c r="K258" s="216"/>
      <c r="L258" s="216"/>
      <c r="M258" s="216"/>
      <c r="N258" s="216"/>
      <c r="O258" s="216"/>
      <c r="P258" s="216"/>
      <c r="Q258" s="216"/>
      <c r="R258" s="216"/>
      <c r="S258" s="216"/>
      <c r="T258" s="216"/>
      <c r="U258" s="216"/>
      <c r="V258" s="216"/>
      <c r="W258" s="216"/>
      <c r="X258" s="216"/>
      <c r="Y258" s="216"/>
      <c r="Z258" s="216"/>
      <c r="AA258" s="216"/>
      <c r="AB258" s="216"/>
      <c r="AC258" s="216"/>
      <c r="AD258" s="216"/>
      <c r="AE258" s="216"/>
      <c r="AF258" s="216"/>
      <c r="AG258" s="216"/>
      <c r="AH258" s="216"/>
      <c r="AI258" s="216"/>
      <c r="AJ258" s="216"/>
      <c r="AK258" s="216"/>
      <c r="AL258" s="216"/>
    </row>
    <row r="259" spans="1:38" hidden="1" outlineLevel="1" x14ac:dyDescent="0.25">
      <c r="A259" s="112" t="s">
        <v>966</v>
      </c>
      <c r="B259" s="40">
        <f>B187</f>
        <v>0.1</v>
      </c>
      <c r="C259" s="40">
        <f>C187</f>
        <v>0.1</v>
      </c>
      <c r="D259" s="40">
        <f>D187</f>
        <v>0.1</v>
      </c>
      <c r="E259" s="40">
        <f>E187</f>
        <v>0.1</v>
      </c>
      <c r="F259" s="40">
        <f t="shared" ref="F259:AG259" si="1189">F187</f>
        <v>0.1</v>
      </c>
      <c r="G259" s="40">
        <f t="shared" si="1189"/>
        <v>0.1</v>
      </c>
      <c r="H259" s="40">
        <f t="shared" ref="H259" si="1190">H187</f>
        <v>0.1</v>
      </c>
      <c r="I259" s="40">
        <f t="shared" ref="I259" si="1191">I187</f>
        <v>0.1</v>
      </c>
      <c r="J259" s="40">
        <f t="shared" si="1189"/>
        <v>0.1</v>
      </c>
      <c r="K259" s="40">
        <f t="shared" ref="K259" si="1192">K187</f>
        <v>0.1</v>
      </c>
      <c r="L259" s="40">
        <f t="shared" si="1189"/>
        <v>0.1</v>
      </c>
      <c r="M259" s="40">
        <f t="shared" si="1189"/>
        <v>0.1</v>
      </c>
      <c r="N259" s="40">
        <f t="shared" ref="N259:O259" si="1193">N187</f>
        <v>0.1</v>
      </c>
      <c r="O259" s="40">
        <f t="shared" si="1193"/>
        <v>0.1</v>
      </c>
      <c r="P259" s="40">
        <f t="shared" si="1189"/>
        <v>0.1</v>
      </c>
      <c r="Q259" s="40">
        <f t="shared" si="1189"/>
        <v>0.1</v>
      </c>
      <c r="R259" s="40">
        <f t="shared" si="1189"/>
        <v>0.1</v>
      </c>
      <c r="S259" s="40">
        <f t="shared" si="1189"/>
        <v>0.1</v>
      </c>
      <c r="T259" s="40">
        <f t="shared" ref="T259:U259" si="1194">T187</f>
        <v>0.1</v>
      </c>
      <c r="U259" s="40">
        <f t="shared" si="1194"/>
        <v>0.1</v>
      </c>
      <c r="V259" s="40">
        <f t="shared" si="1189"/>
        <v>0.1</v>
      </c>
      <c r="W259" s="40">
        <f t="shared" si="1189"/>
        <v>0.1</v>
      </c>
      <c r="X259" s="40">
        <f t="shared" si="1189"/>
        <v>0.1</v>
      </c>
      <c r="Y259" s="40">
        <f t="shared" si="1189"/>
        <v>0.1</v>
      </c>
      <c r="Z259" s="40">
        <f t="shared" si="1189"/>
        <v>0.1</v>
      </c>
      <c r="AA259" s="40">
        <f t="shared" ref="AA259:AC259" si="1195">AA187</f>
        <v>0.1</v>
      </c>
      <c r="AB259" s="40">
        <f t="shared" si="1195"/>
        <v>0.1</v>
      </c>
      <c r="AC259" s="40">
        <f t="shared" si="1195"/>
        <v>0.1</v>
      </c>
      <c r="AD259" s="40">
        <f t="shared" ref="AD259" si="1196">AD187</f>
        <v>0.1</v>
      </c>
      <c r="AE259" s="40">
        <f t="shared" ref="AE259:AF259" si="1197">AE187</f>
        <v>0.1</v>
      </c>
      <c r="AF259" s="40">
        <f t="shared" si="1197"/>
        <v>0.1</v>
      </c>
      <c r="AG259" s="40">
        <f t="shared" si="1189"/>
        <v>0.1</v>
      </c>
      <c r="AH259" s="40">
        <f t="shared" ref="AH259:AL259" si="1198">AH187</f>
        <v>0.1</v>
      </c>
      <c r="AI259" s="40">
        <f t="shared" si="1198"/>
        <v>0.1</v>
      </c>
      <c r="AJ259" s="40"/>
      <c r="AK259" s="40">
        <f t="shared" si="1198"/>
        <v>0</v>
      </c>
      <c r="AL259" s="40">
        <f t="shared" si="1198"/>
        <v>0</v>
      </c>
    </row>
    <row r="260" spans="1:38" hidden="1" outlineLevel="1" x14ac:dyDescent="0.25">
      <c r="A260" s="112" t="s">
        <v>968</v>
      </c>
      <c r="B260" s="40"/>
      <c r="C260" s="40"/>
      <c r="D260" s="40"/>
      <c r="E260" s="40"/>
      <c r="F260" s="40"/>
      <c r="G260" s="40"/>
      <c r="H260" s="40"/>
      <c r="I260" s="40"/>
      <c r="J260" s="40"/>
      <c r="K260" s="40"/>
      <c r="L260" s="40"/>
      <c r="M260" s="40"/>
      <c r="N260" s="40"/>
      <c r="O260" s="40"/>
      <c r="P260" s="40"/>
      <c r="Q260" s="40"/>
      <c r="R260" s="40"/>
      <c r="S260" s="40"/>
      <c r="T260" s="40"/>
      <c r="U260" s="40"/>
      <c r="V260" s="40"/>
      <c r="W260" s="40"/>
      <c r="X260" s="40"/>
      <c r="Y260" s="40"/>
      <c r="Z260" s="40"/>
      <c r="AA260" s="40"/>
      <c r="AB260" s="40"/>
      <c r="AC260" s="40"/>
      <c r="AD260" s="40"/>
      <c r="AE260" s="40"/>
      <c r="AF260" s="40"/>
      <c r="AG260" s="40"/>
      <c r="AH260" s="40"/>
      <c r="AI260" s="40"/>
      <c r="AJ260" s="40"/>
      <c r="AK260" s="40"/>
      <c r="AL260" s="40"/>
    </row>
    <row r="261" spans="1:38" hidden="1" outlineLevel="1" x14ac:dyDescent="0.25">
      <c r="A261" s="112" t="s">
        <v>967</v>
      </c>
      <c r="B261" s="40">
        <f>B259*B260</f>
        <v>0</v>
      </c>
      <c r="C261" s="40">
        <f>C259*C260</f>
        <v>0</v>
      </c>
      <c r="D261" s="40">
        <f>D259*D260</f>
        <v>0</v>
      </c>
      <c r="E261" s="40">
        <f>E259*E260</f>
        <v>0</v>
      </c>
      <c r="F261" s="40">
        <f t="shared" ref="F261:AG261" si="1199">F259*F260</f>
        <v>0</v>
      </c>
      <c r="G261" s="40">
        <f t="shared" si="1199"/>
        <v>0</v>
      </c>
      <c r="H261" s="40">
        <f t="shared" si="1199"/>
        <v>0</v>
      </c>
      <c r="I261" s="40">
        <f t="shared" si="1199"/>
        <v>0</v>
      </c>
      <c r="J261" s="40">
        <f t="shared" si="1199"/>
        <v>0</v>
      </c>
      <c r="K261" s="40">
        <f t="shared" si="1199"/>
        <v>0</v>
      </c>
      <c r="L261" s="40">
        <f t="shared" si="1199"/>
        <v>0</v>
      </c>
      <c r="M261" s="40">
        <f t="shared" si="1199"/>
        <v>0</v>
      </c>
      <c r="N261" s="40">
        <f t="shared" si="1199"/>
        <v>0</v>
      </c>
      <c r="O261" s="40">
        <f t="shared" si="1199"/>
        <v>0</v>
      </c>
      <c r="P261" s="40">
        <f t="shared" si="1199"/>
        <v>0</v>
      </c>
      <c r="Q261" s="40">
        <f t="shared" si="1199"/>
        <v>0</v>
      </c>
      <c r="R261" s="40">
        <f t="shared" si="1199"/>
        <v>0</v>
      </c>
      <c r="S261" s="40">
        <f t="shared" si="1199"/>
        <v>0</v>
      </c>
      <c r="T261" s="40">
        <f t="shared" si="1199"/>
        <v>0</v>
      </c>
      <c r="U261" s="40">
        <f t="shared" si="1199"/>
        <v>0</v>
      </c>
      <c r="V261" s="40">
        <f t="shared" si="1199"/>
        <v>0</v>
      </c>
      <c r="W261" s="40">
        <f t="shared" si="1199"/>
        <v>0</v>
      </c>
      <c r="X261" s="40">
        <f t="shared" si="1199"/>
        <v>0</v>
      </c>
      <c r="Y261" s="40">
        <f t="shared" si="1199"/>
        <v>0</v>
      </c>
      <c r="Z261" s="40">
        <f t="shared" si="1199"/>
        <v>0</v>
      </c>
      <c r="AA261" s="40">
        <f t="shared" ref="AA261" si="1200">AA259*AA260</f>
        <v>0</v>
      </c>
      <c r="AB261" s="40">
        <f t="shared" ref="AB261" si="1201">AB259*AB260</f>
        <v>0</v>
      </c>
      <c r="AC261" s="40">
        <f t="shared" ref="AC261:AF261" si="1202">AC259*AC260</f>
        <v>0</v>
      </c>
      <c r="AD261" s="40">
        <f t="shared" si="1202"/>
        <v>0</v>
      </c>
      <c r="AE261" s="40">
        <f t="shared" si="1202"/>
        <v>0</v>
      </c>
      <c r="AF261" s="40">
        <f t="shared" si="1202"/>
        <v>0</v>
      </c>
      <c r="AG261" s="40">
        <f t="shared" si="1199"/>
        <v>0</v>
      </c>
      <c r="AH261" s="40">
        <f t="shared" ref="AH261:AL261" si="1203">AH259*AH260</f>
        <v>0</v>
      </c>
      <c r="AI261" s="40">
        <f t="shared" si="1203"/>
        <v>0</v>
      </c>
      <c r="AJ261" s="40"/>
      <c r="AK261" s="40">
        <f t="shared" si="1203"/>
        <v>0</v>
      </c>
      <c r="AL261" s="40">
        <f t="shared" si="1203"/>
        <v>0</v>
      </c>
    </row>
    <row r="262" spans="1:38" hidden="1" outlineLevel="1" x14ac:dyDescent="0.25">
      <c r="A262" s="112" t="s">
        <v>965</v>
      </c>
      <c r="B262" s="40">
        <f>SUM(261:261)</f>
        <v>0</v>
      </c>
      <c r="C262" s="40"/>
      <c r="D262" s="40"/>
      <c r="E262" s="40"/>
      <c r="G262" s="40"/>
      <c r="H262" s="40"/>
      <c r="I262" s="40"/>
      <c r="J262" s="40"/>
      <c r="K262" s="40"/>
      <c r="L262" s="40"/>
      <c r="M262" s="40"/>
      <c r="N262" s="40"/>
      <c r="O262" s="40"/>
      <c r="P262" s="40"/>
      <c r="Q262" s="40"/>
      <c r="R262" s="40"/>
      <c r="S262" s="40"/>
      <c r="T262" s="40"/>
      <c r="U262" s="40"/>
      <c r="V262" s="40"/>
      <c r="W262" s="40"/>
      <c r="X262" s="40"/>
      <c r="Y262" s="40"/>
      <c r="Z262" s="40"/>
      <c r="AA262" s="40"/>
      <c r="AB262" s="40"/>
      <c r="AC262" s="40"/>
      <c r="AD262" s="40"/>
      <c r="AE262" s="40"/>
      <c r="AF262" s="40"/>
      <c r="AG262" s="40"/>
      <c r="AH262" s="40"/>
      <c r="AI262" s="40"/>
      <c r="AJ262" s="40"/>
      <c r="AK262" s="40"/>
      <c r="AL262" s="40"/>
    </row>
    <row r="263" spans="1:38" collapsed="1" x14ac:dyDescent="0.25">
      <c r="A263" s="112"/>
      <c r="B263" s="40"/>
      <c r="C263" s="40"/>
      <c r="D263" s="40"/>
      <c r="E263" s="40"/>
      <c r="F263" s="40"/>
      <c r="G263" s="40"/>
      <c r="H263" s="40"/>
      <c r="I263" s="40"/>
      <c r="J263" s="40"/>
      <c r="K263" s="40"/>
      <c r="L263" s="40"/>
      <c r="M263" s="40"/>
      <c r="N263" s="40"/>
      <c r="O263" s="40"/>
      <c r="P263" s="40"/>
      <c r="Q263" s="40"/>
      <c r="R263" s="40"/>
      <c r="S263" s="40"/>
      <c r="T263" s="40"/>
      <c r="U263" s="40"/>
      <c r="V263" s="40"/>
      <c r="W263" s="40"/>
      <c r="X263" s="40"/>
      <c r="Y263" s="40"/>
      <c r="Z263" s="40"/>
      <c r="AA263" s="40"/>
      <c r="AB263" s="40"/>
      <c r="AC263" s="40"/>
      <c r="AD263" s="40"/>
      <c r="AE263" s="40"/>
      <c r="AF263" s="40"/>
      <c r="AG263" s="40"/>
      <c r="AH263" s="40"/>
      <c r="AI263" s="40"/>
      <c r="AJ263" s="40"/>
      <c r="AK263" s="40"/>
      <c r="AL263" s="40"/>
    </row>
    <row r="264" spans="1:38" x14ac:dyDescent="0.25">
      <c r="A264" s="7" t="s">
        <v>962</v>
      </c>
      <c r="B264" s="40">
        <f ca="1">SUM(B255:XFD255)+B262</f>
        <v>1014355.5324630147</v>
      </c>
      <c r="C264" s="40"/>
      <c r="D264" s="40"/>
      <c r="E264" s="40"/>
      <c r="AI264" s="40"/>
    </row>
    <row r="265" spans="1:38" x14ac:dyDescent="0.25">
      <c r="A265" s="7" t="s">
        <v>963</v>
      </c>
      <c r="B265" s="40">
        <f ca="1">SUM(B256:XFD256)</f>
        <v>3633.5858560000001</v>
      </c>
      <c r="C265" s="40"/>
      <c r="D265" s="40"/>
      <c r="E265" s="40"/>
    </row>
    <row r="266" spans="1:38" x14ac:dyDescent="0.25">
      <c r="A266" s="7" t="s">
        <v>971</v>
      </c>
      <c r="B266" s="7">
        <v>21.5</v>
      </c>
    </row>
    <row r="267" spans="1:38" x14ac:dyDescent="0.25">
      <c r="A267" s="7" t="s">
        <v>972</v>
      </c>
      <c r="B267" s="7">
        <f ca="1">B264/B266</f>
        <v>47179.327091303006</v>
      </c>
    </row>
    <row r="269" spans="1:38" x14ac:dyDescent="0.25">
      <c r="A269" s="112" t="s">
        <v>694</v>
      </c>
      <c r="B269" s="112" t="s">
        <v>121</v>
      </c>
      <c r="C269" s="112" t="s">
        <v>790</v>
      </c>
    </row>
    <row r="270" spans="1:38" x14ac:dyDescent="0.25">
      <c r="A270" s="42" t="str">
        <f>IFERROR("Total "&amp;char1Name&amp;" Damage", "No Char 1")</f>
        <v>Total Raiden Damage</v>
      </c>
      <c r="B270" s="7">
        <f ca="1">SUMIF(B1:AU1, char1Name, B255:AU255)</f>
        <v>279067.15284279198</v>
      </c>
      <c r="C270" s="105">
        <f ca="1">B270/B264</f>
        <v>0.27511769188577606</v>
      </c>
    </row>
    <row r="271" spans="1:38" x14ac:dyDescent="0.25">
      <c r="A271" s="42" t="str">
        <f>IFERROR("Total "&amp;char2Name&amp;" Damage", "No Char 2")</f>
        <v>Total Xiangling Damage</v>
      </c>
      <c r="B271" s="7">
        <f ca="1">SUMIF(B1:AU1, char2Name, B255:AU255)</f>
        <v>505800.22346069914</v>
      </c>
      <c r="C271" s="105">
        <f ca="1">B271/B264</f>
        <v>0.49864195272099188</v>
      </c>
    </row>
    <row r="272" spans="1:38" x14ac:dyDescent="0.25">
      <c r="A272" s="42" t="str">
        <f>IFERROR("Total "&amp;char3Name&amp;" Damage", "No Char 3")</f>
        <v>Total Bennett Damage</v>
      </c>
      <c r="B272" s="7">
        <f ca="1">SUMIF(B1:AU1, char3Name, B255:AU255)</f>
        <v>70363.088980124303</v>
      </c>
      <c r="C272" s="105">
        <f ca="1">B272/B264</f>
        <v>6.9367284673128027E-2</v>
      </c>
    </row>
    <row r="273" spans="1:3" x14ac:dyDescent="0.25">
      <c r="A273" s="42" t="str">
        <f>IFERROR("Total "&amp;char4Name&amp;" Damage", "No Char 4")</f>
        <v>Total Xingqiu Damage</v>
      </c>
      <c r="B273" s="7">
        <f ca="1">SUMIF(B1:AU1, char4Name, B255:AU255)</f>
        <v>159125.06717939914</v>
      </c>
      <c r="C273" s="105">
        <f ca="1">B273/B264</f>
        <v>0.15687307072010387</v>
      </c>
    </row>
  </sheetData>
  <dataConsolidate/>
  <dataValidations count="2">
    <dataValidation type="list" allowBlank="1" showInputMessage="1" showErrorMessage="1" sqref="B10:AL10" xr:uid="{9759C21E-9B14-4AC7-8B62-DDC3FF474767}">
      <formula1>OFFSET(INDEX(weapProcTable, 0, MATCH(B$21, INDEX(weapProcTable, 1, 0), 0)), 1, 0, 3)</formula1>
    </dataValidation>
    <dataValidation type="list" allowBlank="1" showInputMessage="1" showErrorMessage="1" sqref="B2:AJ2" xr:uid="{C74E43D7-5D16-4E49-B3F9-45410FBC189B}">
      <formula1>OFFSET(INDEX(INDIRECT(B1&amp;"TalentScalings"), 0, 1), 1, 0, ROWS(INDEX(INDIRECT(B1&amp;"TalentScalings"), 0, 1))-1)</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2">
        <x14:dataValidation type="list" allowBlank="1" showInputMessage="1" showErrorMessage="1" xr:uid="{D0ECFD81-2D21-47B0-AE9B-10EA84983DE3}">
          <x14:formula1>
            <xm:f>'Data Val'!$A$2:$A$5</xm:f>
          </x14:formula1>
          <xm:sqref>B1:AJ1 B6:AL6</xm:sqref>
        </x14:dataValidation>
        <x14:dataValidation type="list" allowBlank="1" showInputMessage="1" showErrorMessage="1" xr:uid="{1CA024A7-69B8-40C2-810B-491562B7F7AC}">
          <x14:formula1>
            <xm:f>'Data Val'!$D$2:$D$6</xm:f>
          </x14:formula1>
          <xm:sqref>B5:AL5</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DDE288-45D2-4F30-8228-DBC1A36958C7}">
  <dimension ref="B2:AH212"/>
  <sheetViews>
    <sheetView topLeftCell="K31" workbookViewId="0">
      <selection activeCell="W48" sqref="W48"/>
    </sheetView>
  </sheetViews>
  <sheetFormatPr defaultRowHeight="15" x14ac:dyDescent="0.25"/>
  <cols>
    <col min="1" max="2" width="2.7109375" style="7" customWidth="1"/>
    <col min="3" max="11" width="20.7109375" style="7" customWidth="1"/>
    <col min="12" max="14" width="2.7109375" style="7" customWidth="1"/>
    <col min="15" max="17" width="9.140625" style="7"/>
    <col min="18" max="19" width="2.7109375" style="7" customWidth="1"/>
    <col min="20" max="20" width="9.140625" style="7" customWidth="1"/>
    <col min="21" max="21" width="10.140625" style="7" bestFit="1" customWidth="1"/>
    <col min="22" max="27" width="9.140625" style="7"/>
    <col min="28" max="28" width="2.7109375" style="7" customWidth="1"/>
    <col min="29" max="33" width="9.140625" style="7"/>
    <col min="34" max="34" width="2.7109375" style="7" customWidth="1"/>
    <col min="35" max="16384" width="9.140625" style="7"/>
  </cols>
  <sheetData>
    <row r="2" spans="2:34" x14ac:dyDescent="0.25">
      <c r="B2" s="35"/>
      <c r="C2" s="35"/>
      <c r="D2" s="35"/>
      <c r="E2" s="35"/>
      <c r="F2" s="35"/>
      <c r="G2" s="35"/>
      <c r="H2" s="35"/>
      <c r="I2" s="35"/>
      <c r="J2" s="35"/>
      <c r="K2" s="35"/>
      <c r="L2" s="35"/>
      <c r="N2" s="35"/>
      <c r="O2" s="35"/>
      <c r="P2" s="35"/>
      <c r="Q2" s="35"/>
      <c r="R2" s="35"/>
      <c r="T2" s="209"/>
      <c r="U2" s="209" t="s">
        <v>402</v>
      </c>
      <c r="V2" s="209" t="s">
        <v>51</v>
      </c>
      <c r="W2" s="209" t="s">
        <v>805</v>
      </c>
      <c r="X2" s="209" t="s">
        <v>794</v>
      </c>
      <c r="AB2" s="35"/>
      <c r="AC2" s="35"/>
      <c r="AD2" s="35"/>
      <c r="AE2" s="35"/>
      <c r="AF2" s="35"/>
      <c r="AG2" s="35"/>
      <c r="AH2" s="35"/>
    </row>
    <row r="3" spans="2:34" x14ac:dyDescent="0.25">
      <c r="B3" s="35"/>
      <c r="C3" s="240" t="s">
        <v>409</v>
      </c>
      <c r="D3" s="240"/>
      <c r="E3" s="240"/>
      <c r="F3" s="240"/>
      <c r="G3" s="240"/>
      <c r="H3" s="240"/>
      <c r="I3" s="240"/>
      <c r="J3" s="240"/>
      <c r="K3" s="240"/>
      <c r="L3" s="35"/>
      <c r="N3" s="35"/>
      <c r="O3" s="238" t="s">
        <v>421</v>
      </c>
      <c r="P3" s="238"/>
      <c r="Q3" s="238"/>
      <c r="R3" s="35"/>
      <c r="T3" s="7" t="s">
        <v>792</v>
      </c>
      <c r="U3" s="7" t="s">
        <v>64</v>
      </c>
      <c r="V3" s="7">
        <f>'Character 1'!$L$23</f>
        <v>20</v>
      </c>
      <c r="W3" s="7">
        <f>MATCH('Character 1'!$L$24, 'Artifact Database'!$F$1:$F$66, 0)+1</f>
        <v>2</v>
      </c>
      <c r="X3" s="7" cm="1">
        <f t="array" ref="X3">INDEX('Artifact Database'!$F$1:$W$66, Calculations!W3+V3, MATCH(Calculations!U3,'Artifact Database'!$F$1:$W$1, 0))</f>
        <v>4780</v>
      </c>
      <c r="AB3" s="35"/>
      <c r="AC3" s="237" t="s">
        <v>791</v>
      </c>
      <c r="AD3" s="237"/>
      <c r="AE3" s="237"/>
      <c r="AF3" s="237"/>
      <c r="AG3" s="237"/>
      <c r="AH3" s="35"/>
    </row>
    <row r="4" spans="2:34" x14ac:dyDescent="0.25">
      <c r="B4" s="35"/>
      <c r="C4" s="240"/>
      <c r="D4" s="240"/>
      <c r="E4" s="240"/>
      <c r="F4" s="240"/>
      <c r="G4" s="240"/>
      <c r="H4" s="240"/>
      <c r="I4" s="240"/>
      <c r="J4" s="240"/>
      <c r="K4" s="240"/>
      <c r="L4" s="35"/>
      <c r="N4" s="35"/>
      <c r="O4" s="238"/>
      <c r="P4" s="238"/>
      <c r="Q4" s="238"/>
      <c r="R4" s="35"/>
      <c r="T4" s="7" t="s">
        <v>793</v>
      </c>
      <c r="U4" s="7" t="s">
        <v>62</v>
      </c>
      <c r="V4" s="7">
        <f>'Character 1'!$L$25</f>
        <v>20</v>
      </c>
      <c r="W4" s="7">
        <f>MATCH('Character 1'!$L$26, 'Artifact Database'!$F$1:$F$66, 0)+1</f>
        <v>2</v>
      </c>
      <c r="X4" s="7" cm="1">
        <f t="array" ref="X4">INDEX('Artifact Database'!$F$1:$W$66, Calculations!W4+V4, MATCH(Calculations!U4,'Artifact Database'!$F$1:$W$1, 0))</f>
        <v>311</v>
      </c>
      <c r="AB4" s="35"/>
      <c r="AC4" s="237"/>
      <c r="AD4" s="237"/>
      <c r="AE4" s="237"/>
      <c r="AF4" s="237"/>
      <c r="AG4" s="237"/>
      <c r="AH4" s="35"/>
    </row>
    <row r="5" spans="2:34" x14ac:dyDescent="0.25">
      <c r="B5" s="35"/>
      <c r="C5" s="39" t="s">
        <v>402</v>
      </c>
      <c r="D5" s="38" t="s">
        <v>403</v>
      </c>
      <c r="E5" s="37" t="s">
        <v>404</v>
      </c>
      <c r="F5" s="38" t="s">
        <v>405</v>
      </c>
      <c r="G5" s="37" t="s">
        <v>406</v>
      </c>
      <c r="H5" s="38" t="s">
        <v>407</v>
      </c>
      <c r="I5" s="37" t="s">
        <v>61</v>
      </c>
      <c r="J5" s="38" t="s">
        <v>570</v>
      </c>
      <c r="K5" s="37" t="s">
        <v>408</v>
      </c>
      <c r="L5" s="35"/>
      <c r="N5" s="35"/>
      <c r="O5" s="239" t="s">
        <v>422</v>
      </c>
      <c r="P5" s="239"/>
      <c r="Q5" s="40" t="str">
        <f>char1Level</f>
        <v>80+</v>
      </c>
      <c r="R5" s="35"/>
      <c r="T5" s="7" t="s">
        <v>441</v>
      </c>
      <c r="U5" s="7" t="str">
        <f>'Character 1'!$L$28</f>
        <v>atk%</v>
      </c>
      <c r="V5" s="7">
        <f>'Character 1'!$L$27</f>
        <v>20</v>
      </c>
      <c r="W5" s="7">
        <f>MATCH('Character 1'!$L$29, 'Artifact Database'!$F$1:$F$66, 0)+1</f>
        <v>2</v>
      </c>
      <c r="X5" s="7" cm="1">
        <f t="array" ref="X5">INDEX('Artifact Database'!$F$1:$W$66, Calculations!W5+V5, MATCH(Calculations!U5,'Artifact Database'!$F$1:$W$1, 0))</f>
        <v>46.6</v>
      </c>
      <c r="AB5" s="35"/>
      <c r="AC5" s="39" t="s">
        <v>402</v>
      </c>
      <c r="AD5" s="7" t="s">
        <v>631</v>
      </c>
      <c r="AE5" s="7" t="s">
        <v>632</v>
      </c>
      <c r="AF5" s="7" t="s">
        <v>633</v>
      </c>
      <c r="AG5" s="7" t="s">
        <v>634</v>
      </c>
      <c r="AH5" s="35"/>
    </row>
    <row r="6" spans="2:34" x14ac:dyDescent="0.25">
      <c r="B6" s="35"/>
      <c r="C6" s="36" t="s">
        <v>62</v>
      </c>
      <c r="D6" s="38">
        <f>X4</f>
        <v>311</v>
      </c>
      <c r="E6" s="47">
        <v>0</v>
      </c>
      <c r="F6" s="38">
        <f>INDEX(char1Weapons, MATCH(C6, weaponsDB!$A$1:$A$48, 0), MATCH(char1WeaponName, weaponsDB!$A$1:$CS$1, 0))</f>
        <v>0</v>
      </c>
      <c r="G6" s="37">
        <f>IFERROR(INDEX(char1ArtiSetStats, MATCH('Character 1'!$L$14, artisDB!$A$1:$A$53, 0), MATCH(Calculations!C6, artisDB!$A$1:$AP$1, 0))+INDEX(char1ArtiSetStats, MATCH('Character 1'!$L$15, artisDB!$A$1:$A$53, 0), MATCH(Calculations!C6, artisDB!$A$1:$AP$1, 0)),0)</f>
        <v>0</v>
      </c>
      <c r="H6" s="38">
        <f>IFERROR(INDEX('Character 1'!$X$19:$Z$28, MATCH(C6, 'Character 1'!$X$19:$X$28, 0), 3)*HLOOKUP('Character 1'!$Z$7, artifactSubstatValues, MATCH(Calculations!C6, 'Artifact Database'!$A$1:$A$11, 0)),0)</f>
        <v>33.08</v>
      </c>
      <c r="I6" s="37">
        <f>VLOOKUP(C6, 'Character 1'!$R$5:$T$50, 3,0)</f>
        <v>0</v>
      </c>
      <c r="J6" s="38"/>
      <c r="K6" s="37">
        <f>SUM(D6:J6)</f>
        <v>344.08</v>
      </c>
      <c r="L6" s="35"/>
      <c r="N6" s="35"/>
      <c r="O6" s="35"/>
      <c r="P6" s="35"/>
      <c r="Q6" s="35"/>
      <c r="R6" s="35"/>
      <c r="T6" s="7" t="s">
        <v>440</v>
      </c>
      <c r="U6" s="7" t="str">
        <f>'Character 1'!$L$31</f>
        <v>Electro DMG%</v>
      </c>
      <c r="V6" s="7">
        <f>'Character 1'!$L$30</f>
        <v>20</v>
      </c>
      <c r="W6" s="7">
        <f>MATCH('Character 1'!$L$32, 'Artifact Database'!$F$1:$F$66, 0)+1</f>
        <v>2</v>
      </c>
      <c r="X6" s="7" cm="1">
        <f t="array" ref="X6">INDEX('Artifact Database'!$F$1:$W$66, Calculations!W6+V6, MATCH(Calculations!U6,'Artifact Database'!$F$1:$W$1, 0))</f>
        <v>46.6</v>
      </c>
      <c r="AB6" s="35"/>
      <c r="AC6" s="36" t="s">
        <v>62</v>
      </c>
      <c r="AD6" s="7">
        <f t="shared" ref="AD6:AD51" si="0">K6</f>
        <v>344.08</v>
      </c>
      <c r="AE6" s="7">
        <f t="shared" ref="AE6:AE51" si="1">K58</f>
        <v>1397.44</v>
      </c>
      <c r="AF6" s="7">
        <f t="shared" ref="AF6:AF51" si="2">K110</f>
        <v>344.08</v>
      </c>
      <c r="AG6" s="7">
        <f t="shared" ref="AG6:AG51" si="3">K162</f>
        <v>344.08</v>
      </c>
      <c r="AH6" s="35"/>
    </row>
    <row r="7" spans="2:34" x14ac:dyDescent="0.25">
      <c r="B7" s="35"/>
      <c r="C7" s="36" t="s">
        <v>63</v>
      </c>
      <c r="D7" s="38">
        <v>0</v>
      </c>
      <c r="E7" s="47">
        <v>0</v>
      </c>
      <c r="F7" s="38">
        <f>INDEX(char1Weapons, MATCH(C7, weaponsDB!$A$1:$A$48, 0), MATCH(char1WeaponName, weaponsDB!$A$1:$CS$1, 0))</f>
        <v>0</v>
      </c>
      <c r="G7" s="37">
        <f>IFERROR(INDEX(char1ArtiSetStats, MATCH('Character 1'!$L$14, artisDB!$A$1:$A$53, 0), MATCH(Calculations!C7, artisDB!$A$1:$AP$1, 0))+INDEX(char1ArtiSetStats, MATCH('Character 1'!$L$15, artisDB!$A$1:$A$53, 0), MATCH(Calculations!C7, artisDB!$A$1:$AP$1, 0)),0)</f>
        <v>0</v>
      </c>
      <c r="H7" s="38">
        <f>IFERROR(INDEX('Character 1'!$X$19:$Z$28, MATCH(Calculations!C7, 'Character 1'!$X$19:$X$28, 0), 3)*HLOOKUP('Character 1'!$Z$7, artifactSubstatValues, MATCH(Calculations!C7, 'Artifact Database'!$A$1:$A$11, 0)),0)</f>
        <v>39.36</v>
      </c>
      <c r="I7" s="37">
        <f>VLOOKUP(C7, 'Character 1'!$R$5:$T$50, 3,0)</f>
        <v>0</v>
      </c>
      <c r="J7" s="38"/>
      <c r="K7" s="37">
        <f t="shared" ref="K7:K51" si="4">SUM(D7:J7)</f>
        <v>39.36</v>
      </c>
      <c r="L7" s="35"/>
      <c r="T7" s="7" t="s">
        <v>442</v>
      </c>
      <c r="U7" s="7" t="str">
        <f>'Character 1'!$L$34</f>
        <v>CR%</v>
      </c>
      <c r="V7" s="7">
        <f>'Character 1'!$L$33</f>
        <v>20</v>
      </c>
      <c r="W7" s="7">
        <f>MATCH('Character 1'!$L$35, 'Artifact Database'!$F$1:$F$66, 0)+1</f>
        <v>2</v>
      </c>
      <c r="X7" s="7" cm="1">
        <f t="array" ref="X7">INDEX('Artifact Database'!$F$1:$W$66, Calculations!W7+V7, MATCH(Calculations!U7,'Artifact Database'!$F$1:$W$1, 0))</f>
        <v>31.1</v>
      </c>
      <c r="AB7" s="35"/>
      <c r="AC7" s="36" t="s">
        <v>63</v>
      </c>
      <c r="AD7" s="7">
        <f t="shared" si="0"/>
        <v>39.36</v>
      </c>
      <c r="AE7" s="7">
        <f t="shared" si="1"/>
        <v>39.36</v>
      </c>
      <c r="AF7" s="7">
        <f t="shared" si="2"/>
        <v>39.36</v>
      </c>
      <c r="AG7" s="7">
        <f t="shared" si="3"/>
        <v>39.36</v>
      </c>
      <c r="AH7" s="35"/>
    </row>
    <row r="8" spans="2:34" x14ac:dyDescent="0.25">
      <c r="B8" s="35"/>
      <c r="C8" s="36" t="s">
        <v>64</v>
      </c>
      <c r="D8" s="38">
        <f>X3</f>
        <v>4780</v>
      </c>
      <c r="E8" s="47">
        <v>0</v>
      </c>
      <c r="F8" s="38">
        <f>INDEX(char1Weapons, MATCH(C8, weaponsDB!$A$1:$A$48, 0), MATCH(char1WeaponName, weaponsDB!$A$1:$CS$1, 0))</f>
        <v>0</v>
      </c>
      <c r="G8" s="37">
        <f>IFERROR(INDEX(char1ArtiSetStats, MATCH('Character 1'!$L$14, artisDB!$A$1:$A$53, 0), MATCH(Calculations!C8, artisDB!$A$1:$AP$1, 0))+INDEX(char1ArtiSetStats, MATCH('Character 1'!$L$15, artisDB!$A$1:$A$53, 0), MATCH(Calculations!C8, artisDB!$A$1:$AP$1, 0)),0)</f>
        <v>0</v>
      </c>
      <c r="H8" s="38">
        <f>IFERROR(INDEX('Character 1'!$X$19:$Z$28, MATCH(Calculations!C8, 'Character 1'!$X$19:$X$28, 0), 3)*HLOOKUP('Character 1'!$Z$7, artifactSubstatValues, MATCH(Calculations!C8, 'Artifact Database'!$A$1:$A$11, 0)),0)</f>
        <v>507.88</v>
      </c>
      <c r="I8" s="37">
        <f>VLOOKUP(C8, 'Character 1'!$R$5:$T$50, 3,0)</f>
        <v>0</v>
      </c>
      <c r="J8" s="38"/>
      <c r="K8" s="37">
        <f t="shared" si="4"/>
        <v>5287.88</v>
      </c>
      <c r="L8" s="35"/>
      <c r="AB8" s="35"/>
      <c r="AC8" s="36" t="s">
        <v>64</v>
      </c>
      <c r="AD8" s="7">
        <f t="shared" si="0"/>
        <v>5287.88</v>
      </c>
      <c r="AE8" s="7">
        <f t="shared" si="1"/>
        <v>2240.88</v>
      </c>
      <c r="AF8" s="7">
        <f t="shared" si="2"/>
        <v>5287.88</v>
      </c>
      <c r="AG8" s="7">
        <f t="shared" si="3"/>
        <v>5287.88</v>
      </c>
      <c r="AH8" s="35"/>
    </row>
    <row r="9" spans="2:34" x14ac:dyDescent="0.25">
      <c r="B9" s="35"/>
      <c r="C9" s="36" t="s">
        <v>69</v>
      </c>
      <c r="D9" s="38">
        <f>IF(C9=$U$5, $X$5, 0)+IF(C9=$U$6, $X$6, 0)+IF(C9 = $U$7, $X$7, 0)</f>
        <v>0</v>
      </c>
      <c r="E9" s="47">
        <f>IFERROR(VLOOKUP(C9,$T$10:$U$15, 2, 0), 0)</f>
        <v>0</v>
      </c>
      <c r="F9" s="38">
        <f>INDEX(char1Weapons, MATCH(C9, weaponsDB!$A$1:$A$48, 0), MATCH(char1WeaponName, weaponsDB!$A$1:$CS$1, 0))</f>
        <v>0</v>
      </c>
      <c r="G9" s="37">
        <f>IFERROR(INDEX(char1ArtiSetStats, MATCH('Character 1'!$L$14, artisDB!$A$1:$A$53, 0), MATCH(Calculations!C9, artisDB!$A$1:$AP$1, 0))+INDEX(char1ArtiSetStats, MATCH('Character 1'!$L$15, artisDB!$A$1:$A$53, 0), MATCH(Calculations!C9, artisDB!$A$1:$AP$1, 0)),0)</f>
        <v>0</v>
      </c>
      <c r="H9" s="48">
        <f>IFERROR(INDEX('Character 1'!$X$19:$Z$28, MATCH(Calculations!C9, 'Character 1'!$X$19:$X$28, 0), 3)*HLOOKUP('Character 1'!$Z$7, artifactSubstatValues, MATCH(Calculations!C9, 'Artifact Database'!$A$1:$A$11, 0)),0)</f>
        <v>39.64</v>
      </c>
      <c r="I9" s="37">
        <f>VLOOKUP(C9, 'Character 1'!$R$5:$T$50, 3,0)</f>
        <v>0</v>
      </c>
      <c r="J9" s="38"/>
      <c r="K9" s="37">
        <f t="shared" si="4"/>
        <v>39.64</v>
      </c>
      <c r="L9" s="35"/>
      <c r="T9" s="7" t="s">
        <v>805</v>
      </c>
      <c r="U9" s="7">
        <f>MATCH(char1Name, 'Char Stats'!$A$1:$A$660, 0)</f>
        <v>406</v>
      </c>
      <c r="AB9" s="35"/>
      <c r="AC9" s="36" t="s">
        <v>69</v>
      </c>
      <c r="AD9" s="7">
        <f t="shared" si="0"/>
        <v>39.64</v>
      </c>
      <c r="AE9" s="7">
        <f t="shared" ca="1" si="1"/>
        <v>322.64</v>
      </c>
      <c r="AF9" s="7">
        <f t="shared" si="2"/>
        <v>479.84000000000003</v>
      </c>
      <c r="AG9" s="7">
        <f t="shared" si="3"/>
        <v>39.64</v>
      </c>
      <c r="AH9" s="35"/>
    </row>
    <row r="10" spans="2:34" x14ac:dyDescent="0.25">
      <c r="B10" s="35"/>
      <c r="C10" s="36" t="s">
        <v>65</v>
      </c>
      <c r="D10" s="45">
        <f t="shared" ref="D10:D51" si="5">(IF(C10=$U$5, $X$5, 0)+IF(C10=$U$6, $X$6, 0)+IF(C10 = $U$7, $X$7, 0))/100</f>
        <v>0.46600000000000003</v>
      </c>
      <c r="E10" s="41">
        <f>IFERROR(VLOOKUP(C10,$T$10:$U$15, 2, 0), 0)</f>
        <v>0</v>
      </c>
      <c r="F10" s="45">
        <f>INDEX(char1Weapons, MATCH(C10, weaponsDB!$A$1:$A$48, 0), MATCH(char1WeaponName, weaponsDB!$A$1:$CS$1, 0))</f>
        <v>0</v>
      </c>
      <c r="G10" s="83">
        <f>IFERROR(INDEX(char1ArtiSetStats, MATCH('Character 1'!$L$14, artisDB!$A$1:$A$53, 0), MATCH(Calculations!C10, artisDB!$A$1:$AP$1, 0))+INDEX(char1ArtiSetStats, MATCH('Character 1'!$L$15, artisDB!$A$1:$A$53, 0), MATCH(Calculations!C10, artisDB!$A$1:$AP$1, 0)),0)</f>
        <v>0</v>
      </c>
      <c r="H10" s="45">
        <f>IFERROR(INDEX('Character 1'!$X$19:$Z$28, MATCH(Calculations!C10, 'Character 1'!$X$19:$X$28, 0), 3)*HLOOKUP('Character 1'!$Z$7, artifactSubstatValues, MATCH(Calculations!C10, 'Artifact Database'!$A$1:$A$11, 0)),0)</f>
        <v>9.9199999999999997E-2</v>
      </c>
      <c r="I10" s="83">
        <f>VLOOKUP(C10, 'Character 1'!$R$5:$T$50, 3,0)</f>
        <v>0.25</v>
      </c>
      <c r="J10" s="38"/>
      <c r="K10" s="83">
        <f t="shared" si="4"/>
        <v>0.81520000000000004</v>
      </c>
      <c r="L10" s="35"/>
      <c r="T10" s="7" t="s">
        <v>410</v>
      </c>
      <c r="U10" s="7" cm="1">
        <f t="array" ref="U10">INDEX('Char Stats'!$A$1:$G$660, MATCH(Calculations!$Q$5, 'Char Stats'!$A$1:$A$15, 0)+$U$9-1, MATCH(Calculations!T10, 'Char Stats'!$A$1:$G$1, 0))</f>
        <v>12000</v>
      </c>
      <c r="AB10" s="35"/>
      <c r="AC10" s="36" t="s">
        <v>65</v>
      </c>
      <c r="AD10" s="105">
        <f t="shared" si="0"/>
        <v>0.81520000000000004</v>
      </c>
      <c r="AE10" s="105">
        <f t="shared" si="1"/>
        <v>0.34920000000000001</v>
      </c>
      <c r="AF10" s="105">
        <f t="shared" si="2"/>
        <v>0.54920000000000002</v>
      </c>
      <c r="AG10" s="105">
        <f t="shared" ca="1" si="3"/>
        <v>1.2021999999999999</v>
      </c>
      <c r="AH10" s="35"/>
    </row>
    <row r="11" spans="2:34" x14ac:dyDescent="0.25">
      <c r="B11" s="35"/>
      <c r="C11" s="36" t="s">
        <v>66</v>
      </c>
      <c r="D11" s="45">
        <f t="shared" si="5"/>
        <v>0</v>
      </c>
      <c r="E11" s="41">
        <f t="shared" ref="E11:E51" si="6">IFERROR(VLOOKUP(C11,$T$10:$U$15, 2, 0), 0)</f>
        <v>0</v>
      </c>
      <c r="F11" s="45">
        <f>INDEX(char1Weapons, MATCH(C11, weaponsDB!$A$1:$A$48, 0), MATCH(char1WeaponName, weaponsDB!$A$1:$CS$1, 0))</f>
        <v>0</v>
      </c>
      <c r="G11" s="83">
        <f>IFERROR(INDEX(char1ArtiSetStats, MATCH('Character 1'!$L$14, artisDB!$A$1:$A$53, 0), MATCH(Calculations!C11, artisDB!$A$1:$AP$1, 0))+INDEX(char1ArtiSetStats, MATCH('Character 1'!$L$15, artisDB!$A$1:$A$53, 0), MATCH(Calculations!C11, artisDB!$A$1:$AP$1, 0)),0)</f>
        <v>0</v>
      </c>
      <c r="H11" s="45">
        <f>IFERROR(INDEX('Character 1'!$X$19:$Z$28, MATCH(Calculations!C11, 'Character 1'!$X$19:$X$28, 0), 3)*HLOOKUP('Character 1'!$Z$7, artifactSubstatValues, MATCH(Calculations!C11, 'Artifact Database'!$A$1:$A$11, 0)),0)</f>
        <v>0.124</v>
      </c>
      <c r="I11" s="83">
        <f>VLOOKUP(C11, 'Character 1'!$R$5:$T$50, 3,0)</f>
        <v>0</v>
      </c>
      <c r="J11" s="38"/>
      <c r="K11" s="83">
        <f t="shared" si="4"/>
        <v>0.124</v>
      </c>
      <c r="L11" s="35"/>
      <c r="T11" s="7" t="s">
        <v>411</v>
      </c>
      <c r="U11" s="7" cm="1">
        <f t="array" ref="U11">INDEX('Char Stats'!$A$1:$G$660, MATCH(Calculations!$Q$5, 'Char Stats'!$A$1:$A$15, 0)+$U$9-1, MATCH(Calculations!T11, 'Char Stats'!$A$1:$G$1, 0))</f>
        <v>314</v>
      </c>
      <c r="AB11" s="35"/>
      <c r="AC11" s="36" t="s">
        <v>66</v>
      </c>
      <c r="AD11" s="105">
        <f t="shared" si="0"/>
        <v>0.124</v>
      </c>
      <c r="AE11" s="105">
        <f t="shared" si="1"/>
        <v>0.124</v>
      </c>
      <c r="AF11" s="105">
        <f t="shared" si="2"/>
        <v>0.124</v>
      </c>
      <c r="AG11" s="105">
        <f t="shared" si="3"/>
        <v>0.124</v>
      </c>
      <c r="AH11" s="35"/>
    </row>
    <row r="12" spans="2:34" x14ac:dyDescent="0.25">
      <c r="B12" s="35"/>
      <c r="C12" s="36" t="s">
        <v>67</v>
      </c>
      <c r="D12" s="45">
        <f t="shared" si="5"/>
        <v>0</v>
      </c>
      <c r="E12" s="41">
        <f t="shared" si="6"/>
        <v>0</v>
      </c>
      <c r="F12" s="45">
        <f>INDEX(char1Weapons, MATCH(C12, weaponsDB!$A$1:$A$48, 0), MATCH(char1WeaponName, weaponsDB!$A$1:$CS$1, 0))</f>
        <v>0</v>
      </c>
      <c r="G12" s="83">
        <f>IFERROR(INDEX(char1ArtiSetStats, MATCH('Character 1'!$L$14, artisDB!$A$1:$A$53, 0), MATCH(Calculations!C12, artisDB!$A$1:$AP$1, 0))+INDEX(char1ArtiSetStats, MATCH('Character 1'!$L$15, artisDB!$A$1:$A$53, 0), MATCH(Calculations!C12, artisDB!$A$1:$AP$1, 0)),0)</f>
        <v>0</v>
      </c>
      <c r="H12" s="45">
        <f>IFERROR(INDEX('Character 1'!$X$19:$Z$28, MATCH(Calculations!C12, 'Character 1'!$X$19:$X$28, 0), 3)*HLOOKUP('Character 1'!$Z$7, artifactSubstatValues, MATCH(Calculations!C12, 'Artifact Database'!$A$1:$A$11, 0)),0)</f>
        <v>9.9199999999999997E-2</v>
      </c>
      <c r="I12" s="83">
        <f>VLOOKUP(C12, 'Character 1'!$R$5:$T$50, 3,0)</f>
        <v>0</v>
      </c>
      <c r="J12" s="38"/>
      <c r="K12" s="83">
        <f t="shared" si="4"/>
        <v>9.9199999999999997E-2</v>
      </c>
      <c r="L12" s="35"/>
      <c r="O12" s="33"/>
      <c r="P12" s="33"/>
      <c r="Q12" s="33"/>
      <c r="T12" s="7" t="s">
        <v>412</v>
      </c>
      <c r="U12" s="7" cm="1">
        <f t="array" ref="U12">INDEX('Char Stats'!$A$1:$G$660, MATCH(Calculations!$Q$5, 'Char Stats'!$A$1:$A$15, 0)+$U$9-1, MATCH(Calculations!T12, 'Char Stats'!$A$1:$G$1, 0))</f>
        <v>734</v>
      </c>
      <c r="AB12" s="35"/>
      <c r="AC12" s="36" t="s">
        <v>67</v>
      </c>
      <c r="AD12" s="105">
        <f t="shared" si="0"/>
        <v>9.9199999999999997E-2</v>
      </c>
      <c r="AE12" s="105">
        <f t="shared" si="1"/>
        <v>9.9199999999999997E-2</v>
      </c>
      <c r="AF12" s="105">
        <f t="shared" si="2"/>
        <v>9.9199999999999997E-2</v>
      </c>
      <c r="AG12" s="105">
        <f t="shared" si="3"/>
        <v>9.9199999999999997E-2</v>
      </c>
      <c r="AH12" s="35"/>
    </row>
    <row r="13" spans="2:34" x14ac:dyDescent="0.25">
      <c r="B13" s="35"/>
      <c r="C13" s="36" t="s">
        <v>413</v>
      </c>
      <c r="D13" s="45">
        <f t="shared" si="5"/>
        <v>0.311</v>
      </c>
      <c r="E13" s="41">
        <f t="shared" ca="1" si="6"/>
        <v>0.05</v>
      </c>
      <c r="F13" s="45">
        <f>INDEX(char1Weapons, MATCH(C13, weaponsDB!$A$1:$A$48, 0), MATCH(char1WeaponName, weaponsDB!$A$1:$CS$1, 0))</f>
        <v>0</v>
      </c>
      <c r="G13" s="83">
        <f>IFERROR(INDEX(char1ArtiSetStats, MATCH('Character 1'!$L$14, artisDB!$A$1:$A$53, 0), MATCH(Calculations!C13, artisDB!$A$1:$AP$1, 0))+INDEX(char1ArtiSetStats, MATCH('Character 1'!$L$15, artisDB!$A$1:$A$53, 0), MATCH(Calculations!C13, artisDB!$A$1:$AP$1, 0)),0)</f>
        <v>0</v>
      </c>
      <c r="H13" s="45">
        <f>IFERROR(INDEX('Character 1'!$X$19:$Z$28, MATCH(Calculations!C13, 'Character 1'!$X$19:$X$28, 0), 3)*HLOOKUP('Character 1'!$Z$7, artifactSubstatValues, MATCH(Calculations!C13, 'Artifact Database'!$A$1:$A$11, 0)),0)</f>
        <v>0.2979</v>
      </c>
      <c r="I13" s="83">
        <f>VLOOKUP(C13, 'Character 1'!$R$5:$T$50, 3,0)</f>
        <v>0</v>
      </c>
      <c r="J13" s="38"/>
      <c r="K13" s="83">
        <f ca="1">IF(SUM(D13:J13)&gt;100%, 100%, IF(SUM(D13:J13)&lt;0%, 0%, SUM(D13:J13)))</f>
        <v>0.65890000000000004</v>
      </c>
      <c r="L13" s="35"/>
      <c r="N13" s="35"/>
      <c r="O13" s="35"/>
      <c r="P13" s="35"/>
      <c r="Q13" s="35"/>
      <c r="R13" s="35"/>
      <c r="T13" s="7" t="str" cm="1">
        <f t="array" ref="T13">INDEX('Char Stats'!$A$1:$G$660, Calculations!$U$9, 5)</f>
        <v>ER%</v>
      </c>
      <c r="U13" s="105">
        <f ca="1">INDEX(INDIRECT(char1Name&amp;"BaseStats"), MATCH(char1Level,  INDEX(INDIRECT(char1Name&amp;"BaseStats"), 0, 1), 0), MATCH(T13, INDEX(INDIRECT(char1Name&amp;"BaseStats"), 1, 0), 0))*IF(NOT(T13="EM"), 0.01, 1)</f>
        <v>0.32</v>
      </c>
      <c r="AB13" s="35"/>
      <c r="AC13" s="36" t="s">
        <v>413</v>
      </c>
      <c r="AD13" s="105">
        <f t="shared" ca="1" si="0"/>
        <v>0.65890000000000004</v>
      </c>
      <c r="AE13" s="105">
        <f t="shared" ca="1" si="1"/>
        <v>0.55959999999999999</v>
      </c>
      <c r="AF13" s="105">
        <f t="shared" ca="1" si="2"/>
        <v>0.42719999999999997</v>
      </c>
      <c r="AG13" s="105">
        <f t="shared" ca="1" si="3"/>
        <v>0.62579999999999991</v>
      </c>
      <c r="AH13" s="35"/>
    </row>
    <row r="14" spans="2:34" x14ac:dyDescent="0.25">
      <c r="B14" s="35"/>
      <c r="C14" s="36" t="s">
        <v>414</v>
      </c>
      <c r="D14" s="45">
        <f t="shared" si="5"/>
        <v>0</v>
      </c>
      <c r="E14" s="41">
        <f t="shared" ca="1" si="6"/>
        <v>0.5</v>
      </c>
      <c r="F14" s="45">
        <f>INDEX(char1Weapons, MATCH(C14, weaponsDB!$A$1:$A$48, 0), MATCH(char1WeaponName, weaponsDB!$A$1:$CS$1, 0))</f>
        <v>0</v>
      </c>
      <c r="G14" s="83">
        <f>IFERROR(INDEX(char1ArtiSetStats, MATCH('Character 1'!$L$14, artisDB!$A$1:$A$53, 0), MATCH(Calculations!C14, artisDB!$A$1:$AP$1, 0))+INDEX(char1ArtiSetStats, MATCH('Character 1'!$L$15, artisDB!$A$1:$A$53, 0), MATCH(Calculations!C14, artisDB!$A$1:$AP$1, 0)),0)</f>
        <v>0</v>
      </c>
      <c r="H14" s="45">
        <f>IFERROR(INDEX('Character 1'!$X$19:$Z$28, MATCH(Calculations!C14, 'Character 1'!$X$19:$X$28, 0), 3)*HLOOKUP('Character 1'!$Z$7, artifactSubstatValues, MATCH(Calculations!C14, 'Artifact Database'!$A$1:$A$11, 0)),0)</f>
        <v>0.99299999999999988</v>
      </c>
      <c r="I14" s="83">
        <f>VLOOKUP(C14, 'Character 1'!$R$5:$T$50, 3,0)</f>
        <v>0</v>
      </c>
      <c r="J14" s="38"/>
      <c r="K14" s="83">
        <f t="shared" ca="1" si="4"/>
        <v>1.4929999999999999</v>
      </c>
      <c r="L14" s="35"/>
      <c r="N14" s="35"/>
      <c r="O14" s="238" t="s">
        <v>628</v>
      </c>
      <c r="P14" s="238"/>
      <c r="Q14" s="238"/>
      <c r="R14" s="35"/>
      <c r="T14" s="7" t="str" cm="1">
        <f t="array" ref="T14">INDEX('Char Stats'!$A$1:$G$660, Calculations!$U$9, 6)</f>
        <v>CR%</v>
      </c>
      <c r="U14" s="105">
        <f ca="1">INDEX(INDIRECT(char1Name&amp;"BaseStats"), MATCH(char1Level,  INDEX(INDIRECT(char1Name&amp;"BaseStats"), 0, 1), 0), MATCH(T14, INDEX(INDIRECT(char1Name&amp;"BaseStats"), 1, 0), 0))*IF(NOT(T14="EM"), 0.01, 1)</f>
        <v>0.05</v>
      </c>
      <c r="AB14" s="35"/>
      <c r="AC14" s="36" t="s">
        <v>414</v>
      </c>
      <c r="AD14" s="105">
        <f t="shared" ca="1" si="0"/>
        <v>1.4929999999999999</v>
      </c>
      <c r="AE14" s="105">
        <f t="shared" ca="1" si="1"/>
        <v>1.3605999999999998</v>
      </c>
      <c r="AF14" s="105">
        <f t="shared" ca="1" si="2"/>
        <v>0.63239999999999996</v>
      </c>
      <c r="AG14" s="105">
        <f t="shared" ca="1" si="3"/>
        <v>1.2282</v>
      </c>
      <c r="AH14" s="35"/>
    </row>
    <row r="15" spans="2:34" x14ac:dyDescent="0.25">
      <c r="B15" s="35"/>
      <c r="C15" s="36" t="s">
        <v>68</v>
      </c>
      <c r="D15" s="45">
        <f t="shared" si="5"/>
        <v>0</v>
      </c>
      <c r="E15" s="41">
        <f t="shared" ca="1" si="6"/>
        <v>0.32</v>
      </c>
      <c r="F15" s="45">
        <f>INDEX(char1Weapons, MATCH(C15, weaponsDB!$A$1:$A$48, 0), MATCH(char1WeaponName, weaponsDB!$A$1:$CS$1, 0))</f>
        <v>0.45900000000000002</v>
      </c>
      <c r="G15" s="83">
        <f>IFERROR(INDEX(char1ArtiSetStats, MATCH('Character 1'!$L$14, artisDB!$A$1:$A$53, 0), MATCH(Calculations!C15, artisDB!$A$1:$AP$1, 0))+INDEX(char1ArtiSetStats, MATCH('Character 1'!$L$15, artisDB!$A$1:$A$53, 0), MATCH(Calculations!C15, artisDB!$A$1:$AP$1, 0)),0)</f>
        <v>0.2</v>
      </c>
      <c r="H15" s="45">
        <f>IFERROR(INDEX('Character 1'!$X$19:$Z$28, MATCH(Calculations!C15, 'Character 1'!$X$19:$X$28, 0), 3)*HLOOKUP('Character 1'!$Z$7, artifactSubstatValues, MATCH(Calculations!C15, 'Artifact Database'!$A$1:$A$11, 0)),0)</f>
        <v>0.11020000000000001</v>
      </c>
      <c r="I15" s="83">
        <f>VLOOKUP(C15, 'Character 1'!$R$5:$T$50, 3,0)</f>
        <v>0</v>
      </c>
      <c r="J15" s="38"/>
      <c r="K15" s="83">
        <f ca="1">SUM(D15:J15)+100%</f>
        <v>2.0891999999999999</v>
      </c>
      <c r="L15" s="35"/>
      <c r="N15" s="35"/>
      <c r="O15" s="238"/>
      <c r="P15" s="238"/>
      <c r="Q15" s="238"/>
      <c r="R15" s="35"/>
      <c r="T15" s="7" t="str" cm="1">
        <f t="array" ref="T15">IF(INDEX('Char Stats'!$A$1:$G$660, Calculations!$U$9, 7)=0, "", INDEX('Char Stats'!$A$1:$G$660, Calculations!$U$9, 7))</f>
        <v>CDMG%</v>
      </c>
      <c r="U15" s="105">
        <f ca="1">INDEX(INDIRECT(char1Name&amp;"BaseStats"), MATCH(char1Level, INDEX(INDIRECT(char1Name&amp;"BaseStats"), 0, 1), 0), MATCH(T15, INDEX(INDIRECT(char1Name&amp;"BaseStats"), 1, 0), 0))*IF(NOT(T15="EM"), 0.01, 1)</f>
        <v>0.5</v>
      </c>
      <c r="AB15" s="35"/>
      <c r="AC15" s="36" t="s">
        <v>68</v>
      </c>
      <c r="AD15" s="105">
        <f t="shared" ca="1" si="0"/>
        <v>2.0891999999999999</v>
      </c>
      <c r="AE15" s="105">
        <f t="shared" si="1"/>
        <v>1.8447</v>
      </c>
      <c r="AF15" s="105">
        <f t="shared" ca="1" si="2"/>
        <v>1.3772</v>
      </c>
      <c r="AG15" s="105">
        <f t="shared" si="3"/>
        <v>1.8281999999999998</v>
      </c>
      <c r="AH15" s="35"/>
    </row>
    <row r="16" spans="2:34" x14ac:dyDescent="0.25">
      <c r="B16" s="35"/>
      <c r="C16" s="36" t="s">
        <v>82</v>
      </c>
      <c r="D16" s="45">
        <f t="shared" si="5"/>
        <v>0</v>
      </c>
      <c r="E16" s="41">
        <f t="shared" si="6"/>
        <v>0</v>
      </c>
      <c r="F16" s="45">
        <f>INDEX(char1Weapons, MATCH(C16, weaponsDB!$A$1:$A$48, 0), MATCH(char1WeaponName, weaponsDB!$A$1:$CS$1, 0))</f>
        <v>0</v>
      </c>
      <c r="G16" s="83">
        <f>IFERROR(INDEX(char1ArtiSetStats, MATCH('Character 1'!$L$14, artisDB!$A$1:$A$53, 0), MATCH(Calculations!C16, artisDB!$A$1:$AP$1, 0))+INDEX(char1ArtiSetStats, MATCH('Character 1'!$L$15, artisDB!$A$1:$A$53, 0), MATCH(Calculations!C16, artisDB!$A$1:$AP$1, 0)),0)</f>
        <v>0</v>
      </c>
      <c r="H16" s="45">
        <f>IFERROR(INDEX('Character 1'!$X$19:$Z$28, MATCH(Calculations!C16, 'Character 1'!$X$19:$X$28, 0), 3)*HLOOKUP('Character 1'!$Z$7, artifactSubstatValues, MATCH(Calculations!C16, 'Artifact Database'!$A$1:$A$11, 0)),0)</f>
        <v>0</v>
      </c>
      <c r="I16" s="83">
        <f>VLOOKUP(C16, 'Character 1'!$R$5:$T$50, 3,0)</f>
        <v>0</v>
      </c>
      <c r="J16" s="38"/>
      <c r="K16" s="83">
        <f t="shared" si="4"/>
        <v>0</v>
      </c>
      <c r="L16" s="35"/>
      <c r="N16" s="35"/>
      <c r="O16" s="239" t="s">
        <v>422</v>
      </c>
      <c r="P16" s="239"/>
      <c r="Q16" s="104">
        <f>VALUE(LEFT(Q5, 2))</f>
        <v>80</v>
      </c>
      <c r="R16" s="35"/>
      <c r="AB16" s="35"/>
      <c r="AC16" s="36" t="s">
        <v>82</v>
      </c>
      <c r="AD16" s="105">
        <f t="shared" si="0"/>
        <v>0</v>
      </c>
      <c r="AE16" s="105">
        <f t="shared" si="1"/>
        <v>0</v>
      </c>
      <c r="AF16" s="105">
        <f t="shared" si="2"/>
        <v>0.12</v>
      </c>
      <c r="AG16" s="105">
        <f t="shared" si="3"/>
        <v>0.2</v>
      </c>
      <c r="AH16" s="35"/>
    </row>
    <row r="17" spans="2:34" x14ac:dyDescent="0.25">
      <c r="B17" s="35"/>
      <c r="C17" s="36" t="s">
        <v>70</v>
      </c>
      <c r="D17" s="45">
        <f t="shared" si="5"/>
        <v>0</v>
      </c>
      <c r="E17" s="41">
        <f t="shared" si="6"/>
        <v>0</v>
      </c>
      <c r="F17" s="45">
        <f>INDEX(char1Weapons, MATCH(C17, weaponsDB!$A$1:$A$48, 0), MATCH(char1WeaponName, weaponsDB!$A$1:$CS$1, 0))</f>
        <v>0</v>
      </c>
      <c r="G17" s="83">
        <f>IFERROR(INDEX(char1ArtiSetStats, MATCH('Character 1'!$L$14, artisDB!$A$1:$A$53, 0), MATCH(Calculations!C17, artisDB!$A$1:$AP$1, 0))+INDEX(char1ArtiSetStats, MATCH('Character 1'!$L$15, artisDB!$A$1:$A$53, 0), MATCH(Calculations!C17, artisDB!$A$1:$AP$1, 0)),0)</f>
        <v>0</v>
      </c>
      <c r="H17" s="45">
        <f>IFERROR(INDEX('Character 1'!$X$19:$Z$28, MATCH(Calculations!C17, 'Character 1'!$X$19:$X$28, 0), 3)*HLOOKUP('Character 1'!$Z$7, artifactSubstatValues, MATCH(Calculations!C17, 'Artifact Database'!$A$1:$A$11, 0)),0)</f>
        <v>0</v>
      </c>
      <c r="I17" s="83">
        <f>VLOOKUP(C17, 'Character 1'!$R$5:$T$50, 3,0)</f>
        <v>0</v>
      </c>
      <c r="J17" s="38"/>
      <c r="K17" s="83">
        <f t="shared" si="4"/>
        <v>0</v>
      </c>
      <c r="L17" s="35"/>
      <c r="N17" s="35"/>
      <c r="O17" s="239" t="s">
        <v>25</v>
      </c>
      <c r="P17" s="239"/>
      <c r="Q17" s="7">
        <f>'Character 1'!E29</f>
        <v>90</v>
      </c>
      <c r="R17" s="35"/>
      <c r="AB17" s="35"/>
      <c r="AC17" s="36" t="s">
        <v>70</v>
      </c>
      <c r="AD17" s="105">
        <f t="shared" si="0"/>
        <v>0</v>
      </c>
      <c r="AE17" s="105">
        <f t="shared" si="1"/>
        <v>0</v>
      </c>
      <c r="AF17" s="105">
        <f t="shared" si="2"/>
        <v>0</v>
      </c>
      <c r="AG17" s="105">
        <f t="shared" si="3"/>
        <v>0</v>
      </c>
      <c r="AH17" s="35"/>
    </row>
    <row r="18" spans="2:34" x14ac:dyDescent="0.25">
      <c r="B18" s="35"/>
      <c r="C18" s="36" t="s">
        <v>71</v>
      </c>
      <c r="D18" s="45">
        <f t="shared" si="5"/>
        <v>0</v>
      </c>
      <c r="E18" s="41">
        <f t="shared" si="6"/>
        <v>0</v>
      </c>
      <c r="F18" s="45">
        <f>INDEX(char1Weapons, MATCH(C18, weaponsDB!$A$1:$A$48, 0), MATCH(char1WeaponName, weaponsDB!$A$1:$CS$1, 0))</f>
        <v>0</v>
      </c>
      <c r="G18" s="83">
        <f>IFERROR(INDEX(char1ArtiSetStats, MATCH('Character 1'!$L$14, artisDB!$A$1:$A$53, 0), MATCH(Calculations!C18, artisDB!$A$1:$AP$1, 0))+INDEX(char1ArtiSetStats, MATCH('Character 1'!$L$15, artisDB!$A$1:$A$53, 0), MATCH(Calculations!C18, artisDB!$A$1:$AP$1, 0)),0)</f>
        <v>0</v>
      </c>
      <c r="H18" s="45">
        <f>IFERROR(INDEX('Character 1'!$X$19:$Z$28, MATCH(Calculations!C18, 'Character 1'!$X$19:$X$28, 0), 3)*HLOOKUP('Character 1'!$Z$7, artifactSubstatValues, MATCH(Calculations!C18, 'Artifact Database'!$A$1:$A$11, 0)),0)</f>
        <v>0</v>
      </c>
      <c r="I18" s="83">
        <f>VLOOKUP(C18, 'Character 1'!$R$5:$T$50, 3,0)</f>
        <v>0</v>
      </c>
      <c r="J18" s="38"/>
      <c r="K18" s="83">
        <f t="shared" si="4"/>
        <v>0</v>
      </c>
      <c r="L18" s="35"/>
      <c r="N18" s="35"/>
      <c r="O18" s="239" t="s">
        <v>649</v>
      </c>
      <c r="P18" s="239"/>
      <c r="Q18" s="7">
        <f>IF(Q16&lt;60, 0.0002325*Q16^3+0.05547*Q16^2-0.2523*Q16+14.47, 0.00194*Q16^3-0.319*Q16^2+30.7*Q16-868)</f>
        <v>539.67999999999984</v>
      </c>
      <c r="R18" s="35"/>
      <c r="AB18" s="35"/>
      <c r="AC18" s="36" t="s">
        <v>71</v>
      </c>
      <c r="AD18" s="105">
        <f t="shared" si="0"/>
        <v>0</v>
      </c>
      <c r="AE18" s="105">
        <f t="shared" si="1"/>
        <v>0</v>
      </c>
      <c r="AF18" s="105">
        <f t="shared" si="2"/>
        <v>0</v>
      </c>
      <c r="AG18" s="105">
        <f t="shared" si="3"/>
        <v>0</v>
      </c>
      <c r="AH18" s="35"/>
    </row>
    <row r="19" spans="2:34" x14ac:dyDescent="0.25">
      <c r="B19" s="35"/>
      <c r="C19" s="36" t="s">
        <v>72</v>
      </c>
      <c r="D19" s="45">
        <f t="shared" si="5"/>
        <v>0</v>
      </c>
      <c r="E19" s="41">
        <f t="shared" si="6"/>
        <v>0</v>
      </c>
      <c r="F19" s="45">
        <f>INDEX(char1Weapons, MATCH(C19, weaponsDB!$A$1:$A$48, 0), MATCH(char1WeaponName, weaponsDB!$A$1:$CS$1, 0))</f>
        <v>0</v>
      </c>
      <c r="G19" s="83">
        <f>IFERROR(INDEX(char1ArtiSetStats, MATCH('Character 1'!$L$14, artisDB!$A$1:$A$53, 0), MATCH(Calculations!C19, artisDB!$A$1:$AP$1, 0))+INDEX(char1ArtiSetStats, MATCH('Character 1'!$L$15, artisDB!$A$1:$A$53, 0), MATCH(Calculations!C19, artisDB!$A$1:$AP$1, 0)),0)</f>
        <v>0</v>
      </c>
      <c r="H19" s="45">
        <f>IFERROR(INDEX('Character 1'!$X$19:$Z$28, MATCH(Calculations!C19, 'Character 1'!$X$19:$X$28, 0), 3)*HLOOKUP('Character 1'!$Z$7, artifactSubstatValues, MATCH(Calculations!C19, 'Artifact Database'!$A$1:$A$11, 0)),0)</f>
        <v>0</v>
      </c>
      <c r="I19" s="83">
        <f>VLOOKUP(C19, 'Character 1'!$R$5:$T$50, 3,0)</f>
        <v>0</v>
      </c>
      <c r="J19" s="38"/>
      <c r="K19" s="83">
        <f t="shared" si="4"/>
        <v>0</v>
      </c>
      <c r="L19" s="35"/>
      <c r="N19" s="35"/>
      <c r="O19" s="35"/>
      <c r="P19" s="35"/>
      <c r="Q19" s="35"/>
      <c r="R19" s="35"/>
      <c r="AB19" s="35"/>
      <c r="AC19" s="36" t="s">
        <v>72</v>
      </c>
      <c r="AD19" s="105">
        <f t="shared" si="0"/>
        <v>0</v>
      </c>
      <c r="AE19" s="105">
        <f t="shared" si="1"/>
        <v>0</v>
      </c>
      <c r="AF19" s="105">
        <f t="shared" si="2"/>
        <v>0</v>
      </c>
      <c r="AG19" s="105">
        <f t="shared" si="3"/>
        <v>0</v>
      </c>
      <c r="AH19" s="35"/>
    </row>
    <row r="20" spans="2:34" x14ac:dyDescent="0.25">
      <c r="B20" s="35"/>
      <c r="C20" s="36" t="s">
        <v>73</v>
      </c>
      <c r="D20" s="45">
        <f t="shared" si="5"/>
        <v>0</v>
      </c>
      <c r="E20" s="41">
        <f t="shared" si="6"/>
        <v>0</v>
      </c>
      <c r="F20" s="45">
        <f>INDEX(char1Weapons, MATCH(C20, weaponsDB!$A$1:$A$48, 0), MATCH(char1WeaponName, weaponsDB!$A$1:$CS$1, 0))</f>
        <v>0</v>
      </c>
      <c r="G20" s="83">
        <f>IFERROR(INDEX(char1ArtiSetStats, MATCH('Character 1'!$L$14, artisDB!$A$1:$A$53, 0), MATCH(Calculations!C20, artisDB!$A$1:$AP$1, 0))+INDEX(char1ArtiSetStats, MATCH('Character 1'!$L$15, artisDB!$A$1:$A$53, 0), MATCH(Calculations!C20, artisDB!$A$1:$AP$1, 0)),0)</f>
        <v>0</v>
      </c>
      <c r="H20" s="45">
        <f>IFERROR(INDEX('Character 1'!$X$19:$Z$28, MATCH(Calculations!C20, 'Character 1'!$X$19:$X$28, 0), 3)*HLOOKUP('Character 1'!$Z$7, artifactSubstatValues, MATCH(Calculations!C20, 'Artifact Database'!$A$1:$A$11, 0)),0)</f>
        <v>0</v>
      </c>
      <c r="I20" s="83">
        <f>VLOOKUP(C20, 'Character 1'!$R$5:$T$50, 3,0)</f>
        <v>0</v>
      </c>
      <c r="J20" s="38"/>
      <c r="K20" s="83">
        <f t="shared" si="4"/>
        <v>0</v>
      </c>
      <c r="L20" s="35"/>
      <c r="AB20" s="35"/>
      <c r="AC20" s="36" t="s">
        <v>73</v>
      </c>
      <c r="AD20" s="105">
        <f t="shared" si="0"/>
        <v>0</v>
      </c>
      <c r="AE20" s="105">
        <f t="shared" si="1"/>
        <v>0.69100000000000006</v>
      </c>
      <c r="AF20" s="105">
        <f t="shared" si="2"/>
        <v>0.46600000000000003</v>
      </c>
      <c r="AG20" s="105">
        <f t="shared" si="3"/>
        <v>0</v>
      </c>
      <c r="AH20" s="35"/>
    </row>
    <row r="21" spans="2:34" x14ac:dyDescent="0.25">
      <c r="B21" s="35"/>
      <c r="C21" s="36" t="s">
        <v>74</v>
      </c>
      <c r="D21" s="45">
        <f t="shared" si="5"/>
        <v>0</v>
      </c>
      <c r="E21" s="41">
        <f t="shared" si="6"/>
        <v>0</v>
      </c>
      <c r="F21" s="45">
        <f>INDEX(char1Weapons, MATCH(C21, weaponsDB!$A$1:$A$48, 0), MATCH(char1WeaponName, weaponsDB!$A$1:$CS$1, 0))</f>
        <v>0</v>
      </c>
      <c r="G21" s="83">
        <f>IFERROR(INDEX(char1ArtiSetStats, MATCH('Character 1'!$L$14, artisDB!$A$1:$A$53, 0), MATCH(Calculations!C21, artisDB!$A$1:$AP$1, 0))+INDEX(char1ArtiSetStats, MATCH('Character 1'!$L$15, artisDB!$A$1:$A$53, 0), MATCH(Calculations!C21, artisDB!$A$1:$AP$1, 0)),0)</f>
        <v>0</v>
      </c>
      <c r="H21" s="45">
        <f>IFERROR(INDEX('Character 1'!$X$19:$Z$28, MATCH(Calculations!C21, 'Character 1'!$X$19:$X$28, 0), 3)*HLOOKUP('Character 1'!$Z$7, artifactSubstatValues, MATCH(Calculations!C21, 'Artifact Database'!$A$1:$A$11, 0)),0)</f>
        <v>0</v>
      </c>
      <c r="I21" s="83">
        <f>VLOOKUP(C21, 'Character 1'!$R$5:$T$50, 3,0)</f>
        <v>0</v>
      </c>
      <c r="J21" s="38"/>
      <c r="K21" s="83">
        <f t="shared" si="4"/>
        <v>0</v>
      </c>
      <c r="L21" s="35"/>
      <c r="N21" s="35"/>
      <c r="O21" s="35"/>
      <c r="P21" s="35"/>
      <c r="Q21" s="35"/>
      <c r="R21" s="35"/>
      <c r="AB21" s="35"/>
      <c r="AC21" s="36" t="s">
        <v>74</v>
      </c>
      <c r="AD21" s="105">
        <f t="shared" si="0"/>
        <v>0</v>
      </c>
      <c r="AE21" s="105">
        <f t="shared" si="1"/>
        <v>0</v>
      </c>
      <c r="AF21" s="105">
        <f t="shared" si="2"/>
        <v>0</v>
      </c>
      <c r="AG21" s="105">
        <f t="shared" si="3"/>
        <v>0</v>
      </c>
      <c r="AH21" s="35"/>
    </row>
    <row r="22" spans="2:34" x14ac:dyDescent="0.25">
      <c r="B22" s="35"/>
      <c r="C22" s="36" t="s">
        <v>75</v>
      </c>
      <c r="D22" s="45">
        <f t="shared" si="5"/>
        <v>0</v>
      </c>
      <c r="E22" s="41">
        <f t="shared" si="6"/>
        <v>0</v>
      </c>
      <c r="F22" s="45">
        <f>INDEX(char1Weapons, MATCH(C22, weaponsDB!$A$1:$A$48, 0), MATCH(char1WeaponName, weaponsDB!$A$1:$CS$1, 0))</f>
        <v>0</v>
      </c>
      <c r="G22" s="83">
        <f>IFERROR(INDEX(char1ArtiSetStats, MATCH('Character 1'!$L$14, artisDB!$A$1:$A$53, 0), MATCH(Calculations!C22, artisDB!$A$1:$AP$1, 0))+INDEX(char1ArtiSetStats, MATCH('Character 1'!$L$15, artisDB!$A$1:$A$53, 0), MATCH(Calculations!C22, artisDB!$A$1:$AP$1, 0)),0)</f>
        <v>0</v>
      </c>
      <c r="H22" s="45">
        <f>IFERROR(INDEX('Character 1'!$X$19:$Z$28, MATCH(Calculations!C22, 'Character 1'!$X$19:$X$28, 0), 3)*HLOOKUP('Character 1'!$Z$7, artifactSubstatValues, MATCH(Calculations!C22, 'Artifact Database'!$A$1:$A$11, 0)),0)</f>
        <v>0</v>
      </c>
      <c r="I22" s="83">
        <f>VLOOKUP(C22, 'Character 1'!$R$5:$T$50, 3,0)</f>
        <v>0</v>
      </c>
      <c r="J22" s="38"/>
      <c r="K22" s="83">
        <f t="shared" si="4"/>
        <v>0</v>
      </c>
      <c r="L22" s="35"/>
      <c r="N22" s="35"/>
      <c r="O22" s="238" t="s">
        <v>637</v>
      </c>
      <c r="P22" s="238"/>
      <c r="Q22" s="238"/>
      <c r="R22" s="35"/>
      <c r="AB22" s="35"/>
      <c r="AC22" s="36" t="s">
        <v>75</v>
      </c>
      <c r="AD22" s="105">
        <f t="shared" si="0"/>
        <v>0</v>
      </c>
      <c r="AE22" s="105">
        <f t="shared" si="1"/>
        <v>0</v>
      </c>
      <c r="AF22" s="105">
        <f t="shared" si="2"/>
        <v>0</v>
      </c>
      <c r="AG22" s="105">
        <f t="shared" si="3"/>
        <v>0.66600000000000004</v>
      </c>
      <c r="AH22" s="35"/>
    </row>
    <row r="23" spans="2:34" x14ac:dyDescent="0.25">
      <c r="B23" s="35"/>
      <c r="C23" s="36" t="s">
        <v>76</v>
      </c>
      <c r="D23" s="45">
        <f t="shared" si="5"/>
        <v>0.46600000000000003</v>
      </c>
      <c r="E23" s="41">
        <f t="shared" si="6"/>
        <v>0</v>
      </c>
      <c r="F23" s="45">
        <f>INDEX(char1Weapons, MATCH(C23, weaponsDB!$A$1:$A$48, 0), MATCH(char1WeaponName, weaponsDB!$A$1:$CS$1, 0))</f>
        <v>0</v>
      </c>
      <c r="G23" s="83">
        <f>IFERROR(INDEX(char1ArtiSetStats, MATCH('Character 1'!$L$14, artisDB!$A$1:$A$53, 0), MATCH(Calculations!C23, artisDB!$A$1:$AP$1, 0))+INDEX(char1ArtiSetStats, MATCH('Character 1'!$L$15, artisDB!$A$1:$A$53, 0), MATCH(Calculations!C23, artisDB!$A$1:$AP$1, 0)),0)</f>
        <v>0</v>
      </c>
      <c r="H23" s="45">
        <f>IFERROR(INDEX('Character 1'!$X$19:$Z$28, MATCH(Calculations!C23, 'Character 1'!$X$19:$X$28, 0), 3)*HLOOKUP('Character 1'!$Z$7, artifactSubstatValues, MATCH(Calculations!C23, 'Artifact Database'!$A$1:$A$11, 0)),0)</f>
        <v>0</v>
      </c>
      <c r="I23" s="83">
        <f ca="1">VLOOKUP(C23, 'Character 1'!$R$5:$T$50, 3,0)</f>
        <v>0.43568000000000001</v>
      </c>
      <c r="J23" s="38"/>
      <c r="K23" s="83">
        <f t="shared" ca="1" si="4"/>
        <v>0.90168000000000004</v>
      </c>
      <c r="L23" s="35"/>
      <c r="N23" s="35"/>
      <c r="O23" s="238"/>
      <c r="P23" s="238"/>
      <c r="Q23" s="238"/>
      <c r="R23" s="35"/>
      <c r="AB23" s="35"/>
      <c r="AC23" s="36" t="s">
        <v>76</v>
      </c>
      <c r="AD23" s="105">
        <f t="shared" ca="1" si="0"/>
        <v>0.90168000000000004</v>
      </c>
      <c r="AE23" s="105">
        <f t="shared" si="1"/>
        <v>0</v>
      </c>
      <c r="AF23" s="105">
        <f t="shared" si="2"/>
        <v>0</v>
      </c>
      <c r="AG23" s="105">
        <f t="shared" si="3"/>
        <v>0</v>
      </c>
      <c r="AH23" s="35"/>
    </row>
    <row r="24" spans="2:34" x14ac:dyDescent="0.25">
      <c r="B24" s="35"/>
      <c r="C24" s="36" t="s">
        <v>77</v>
      </c>
      <c r="D24" s="45">
        <f t="shared" si="5"/>
        <v>0</v>
      </c>
      <c r="E24" s="41">
        <f t="shared" si="6"/>
        <v>0</v>
      </c>
      <c r="F24" s="45">
        <f>INDEX(char1Weapons, MATCH(C24, weaponsDB!$A$1:$A$48, 0), MATCH(char1WeaponName, weaponsDB!$A$1:$CS$1, 0))</f>
        <v>0</v>
      </c>
      <c r="G24" s="83">
        <f>IFERROR(INDEX(char1ArtiSetStats, MATCH('Character 1'!$L$14, artisDB!$A$1:$A$53, 0), MATCH(Calculations!C24, artisDB!$A$1:$AP$1, 0))+INDEX(char1ArtiSetStats, MATCH('Character 1'!$L$15, artisDB!$A$1:$A$53, 0), MATCH(Calculations!C24, artisDB!$A$1:$AP$1, 0)),0)</f>
        <v>0</v>
      </c>
      <c r="H24" s="45">
        <f>IFERROR(INDEX('Character 1'!$X$19:$Z$28, MATCH(Calculations!C24, 'Character 1'!$X$19:$X$28, 0), 3)*HLOOKUP('Character 1'!$Z$7, artifactSubstatValues, MATCH(Calculations!C24, 'Artifact Database'!$A$1:$A$11, 0)),0)</f>
        <v>0</v>
      </c>
      <c r="I24" s="83">
        <f>VLOOKUP(C24, 'Character 1'!$R$5:$T$50, 3,0)</f>
        <v>0</v>
      </c>
      <c r="J24" s="38"/>
      <c r="K24" s="83">
        <f t="shared" si="4"/>
        <v>0</v>
      </c>
      <c r="L24" s="35"/>
      <c r="N24" s="35"/>
      <c r="O24" s="239" t="s">
        <v>636</v>
      </c>
      <c r="P24" s="239"/>
      <c r="Q24" s="7">
        <f>INDEX(char1Weapons, MATCH("Base ATK", weaponsDB!$A$1:$A$48, 0), MATCH(char1WeaponName, weaponsDB!$A$1:$CS$1, 0))</f>
        <v>510</v>
      </c>
      <c r="R24" s="35"/>
      <c r="AB24" s="35"/>
      <c r="AC24" s="36" t="s">
        <v>77</v>
      </c>
      <c r="AD24" s="105">
        <f t="shared" si="0"/>
        <v>0</v>
      </c>
      <c r="AE24" s="105">
        <f t="shared" si="1"/>
        <v>0</v>
      </c>
      <c r="AF24" s="105">
        <f t="shared" si="2"/>
        <v>0</v>
      </c>
      <c r="AG24" s="105">
        <f t="shared" si="3"/>
        <v>0</v>
      </c>
      <c r="AH24" s="35"/>
    </row>
    <row r="25" spans="2:34" x14ac:dyDescent="0.25">
      <c r="B25" s="35"/>
      <c r="C25" s="36" t="s">
        <v>78</v>
      </c>
      <c r="D25" s="45">
        <f t="shared" si="5"/>
        <v>0</v>
      </c>
      <c r="E25" s="41">
        <f t="shared" si="6"/>
        <v>0</v>
      </c>
      <c r="F25" s="45">
        <f>INDEX(char1Weapons, MATCH(C25, weaponsDB!$A$1:$A$48, 0), MATCH(char1WeaponName, weaponsDB!$A$1:$CS$1, 0))</f>
        <v>0</v>
      </c>
      <c r="G25" s="83">
        <f>IFERROR(INDEX(char1ArtiSetStats, MATCH('Character 1'!$L$14, artisDB!$A$1:$A$53, 0), MATCH(Calculations!C25, artisDB!$A$1:$AP$1, 0))+INDEX(char1ArtiSetStats, MATCH('Character 1'!$L$15, artisDB!$A$1:$A$53, 0), MATCH(Calculations!C25, artisDB!$A$1:$AP$1, 0)),0)</f>
        <v>0</v>
      </c>
      <c r="H25" s="45">
        <f>IFERROR(INDEX('Character 1'!$X$19:$Z$28, MATCH(Calculations!C25, 'Character 1'!$X$19:$X$28, 0), 3)*HLOOKUP('Character 1'!$Z$7, artifactSubstatValues, MATCH(Calculations!C25, 'Artifact Database'!$A$1:$A$11, 0)),0)</f>
        <v>0</v>
      </c>
      <c r="I25" s="83">
        <f>VLOOKUP(C25, 'Character 1'!$R$5:$T$50, 3,0)</f>
        <v>0</v>
      </c>
      <c r="J25" s="38"/>
      <c r="K25" s="83">
        <f t="shared" si="4"/>
        <v>0</v>
      </c>
      <c r="L25" s="35"/>
      <c r="N25" s="35"/>
      <c r="O25" s="239" t="s">
        <v>629</v>
      </c>
      <c r="P25" s="239"/>
      <c r="Q25" s="7">
        <f>U11</f>
        <v>314</v>
      </c>
      <c r="R25" s="35"/>
      <c r="AB25" s="35"/>
      <c r="AC25" s="36" t="s">
        <v>78</v>
      </c>
      <c r="AD25" s="105">
        <f t="shared" si="0"/>
        <v>0</v>
      </c>
      <c r="AE25" s="105">
        <f t="shared" si="1"/>
        <v>0</v>
      </c>
      <c r="AF25" s="105">
        <f t="shared" si="2"/>
        <v>0</v>
      </c>
      <c r="AG25" s="105">
        <f t="shared" si="3"/>
        <v>0</v>
      </c>
      <c r="AH25" s="35"/>
    </row>
    <row r="26" spans="2:34" x14ac:dyDescent="0.25">
      <c r="B26" s="35"/>
      <c r="C26" s="36" t="s">
        <v>79</v>
      </c>
      <c r="D26" s="45">
        <f t="shared" si="5"/>
        <v>0</v>
      </c>
      <c r="E26" s="41">
        <f t="shared" si="6"/>
        <v>0</v>
      </c>
      <c r="F26" s="45">
        <f>INDEX(char1Weapons, MATCH(C26, weaponsDB!$A$1:$A$48, 0), MATCH(char1WeaponName, weaponsDB!$A$1:$CS$1, 0))</f>
        <v>0</v>
      </c>
      <c r="G26" s="83">
        <f>IFERROR(INDEX(char1ArtiSetStats, MATCH('Character 1'!$L$14, artisDB!$A$1:$A$53, 0), MATCH(Calculations!C26, artisDB!$A$1:$AP$1, 0))+INDEX(char1ArtiSetStats, MATCH('Character 1'!$L$15, artisDB!$A$1:$A$53, 0), MATCH(Calculations!C26, artisDB!$A$1:$AP$1, 0)),0)</f>
        <v>0</v>
      </c>
      <c r="H26" s="45">
        <f>IFERROR(INDEX('Character 1'!$X$19:$Z$28, MATCH(Calculations!C26, 'Character 1'!$X$19:$X$28, 0), 3)*HLOOKUP('Character 1'!$Z$7, artifactSubstatValues, MATCH(Calculations!C26, 'Artifact Database'!$A$1:$A$11, 0)),0)</f>
        <v>0</v>
      </c>
      <c r="I26" s="83">
        <f>VLOOKUP(C26, 'Character 1'!$R$5:$T$50, 3,0)</f>
        <v>0</v>
      </c>
      <c r="J26" s="38"/>
      <c r="K26" s="83">
        <f t="shared" si="4"/>
        <v>0</v>
      </c>
      <c r="L26" s="35"/>
      <c r="N26" s="35"/>
      <c r="O26" s="239" t="s">
        <v>638</v>
      </c>
      <c r="P26" s="239"/>
      <c r="Q26" s="7">
        <f>U12</f>
        <v>734</v>
      </c>
      <c r="R26" s="35"/>
      <c r="AB26" s="35"/>
      <c r="AC26" s="36" t="s">
        <v>79</v>
      </c>
      <c r="AD26" s="105">
        <f t="shared" si="0"/>
        <v>0</v>
      </c>
      <c r="AE26" s="105">
        <f t="shared" si="1"/>
        <v>0</v>
      </c>
      <c r="AF26" s="105">
        <f t="shared" si="2"/>
        <v>0</v>
      </c>
      <c r="AG26" s="105">
        <f t="shared" si="3"/>
        <v>0</v>
      </c>
      <c r="AH26" s="35"/>
    </row>
    <row r="27" spans="2:34" x14ac:dyDescent="0.25">
      <c r="B27" s="35"/>
      <c r="C27" s="36" t="s">
        <v>80</v>
      </c>
      <c r="D27" s="45">
        <f t="shared" si="5"/>
        <v>0</v>
      </c>
      <c r="E27" s="41">
        <f t="shared" si="6"/>
        <v>0</v>
      </c>
      <c r="F27" s="45">
        <f>INDEX(char1Weapons, MATCH(C27, weaponsDB!$A$1:$A$48, 0), MATCH(char1WeaponName, weaponsDB!$A$1:$CS$1, 0))</f>
        <v>0</v>
      </c>
      <c r="G27" s="83">
        <f>IFERROR(INDEX(char1ArtiSetStats, MATCH('Character 1'!$L$14, artisDB!$A$1:$A$53, 0), MATCH(Calculations!C27, artisDB!$A$1:$AP$1, 0))+INDEX(char1ArtiSetStats, MATCH('Character 1'!$L$15, artisDB!$A$1:$A$53, 0), MATCH(Calculations!C27, artisDB!$A$1:$AP$1, 0)),0)</f>
        <v>0</v>
      </c>
      <c r="H27" s="45">
        <f>IFERROR(INDEX('Character 1'!$X$19:$Z$28, MATCH(Calculations!C27, 'Character 1'!$X$19:$X$28, 0), 3)*HLOOKUP('Character 1'!$Z$7, artifactSubstatValues, MATCH(Calculations!C27, 'Artifact Database'!$A$1:$A$11, 0)),0)</f>
        <v>0</v>
      </c>
      <c r="I27" s="83">
        <f>VLOOKUP(C27, 'Character 1'!$R$5:$T$50, 3,0)</f>
        <v>0</v>
      </c>
      <c r="J27" s="38"/>
      <c r="K27" s="83">
        <f t="shared" si="4"/>
        <v>0</v>
      </c>
      <c r="L27" s="35"/>
      <c r="N27" s="35"/>
      <c r="O27" s="239" t="s">
        <v>639</v>
      </c>
      <c r="P27" s="239"/>
      <c r="Q27" s="7">
        <f>U10</f>
        <v>12000</v>
      </c>
      <c r="R27" s="35"/>
      <c r="AB27" s="35"/>
      <c r="AC27" s="36" t="s">
        <v>80</v>
      </c>
      <c r="AD27" s="105">
        <f t="shared" si="0"/>
        <v>0</v>
      </c>
      <c r="AE27" s="105">
        <f t="shared" si="1"/>
        <v>0</v>
      </c>
      <c r="AF27" s="105">
        <f t="shared" si="2"/>
        <v>0</v>
      </c>
      <c r="AG27" s="105">
        <f t="shared" si="3"/>
        <v>0</v>
      </c>
      <c r="AH27" s="35"/>
    </row>
    <row r="28" spans="2:34" x14ac:dyDescent="0.25">
      <c r="B28" s="35"/>
      <c r="C28" s="36" t="s">
        <v>81</v>
      </c>
      <c r="D28" s="45">
        <f t="shared" si="5"/>
        <v>0</v>
      </c>
      <c r="E28" s="41">
        <f t="shared" si="6"/>
        <v>0</v>
      </c>
      <c r="F28" s="45">
        <f>INDEX(char1Weapons, MATCH(C28, weaponsDB!$A$1:$A$48, 0), MATCH(char1WeaponName, weaponsDB!$A$1:$CS$1, 0))</f>
        <v>0.32</v>
      </c>
      <c r="G28" s="83">
        <f ca="1">IFERROR(INDEX(char1ArtiSetStats, MATCH('Character 1'!$L$14, artisDB!$A$1:$A$53, 0), MATCH(Calculations!C28, artisDB!$A$1:$AP$1, 0))+INDEX(char1ArtiSetStats, MATCH('Character 1'!$L$15, artisDB!$A$1:$A$53, 0), MATCH(Calculations!C28, artisDB!$A$1:$AP$1, 0)),0)</f>
        <v>0.52229999999999999</v>
      </c>
      <c r="H28" s="45">
        <f>IFERROR(INDEX('Character 1'!$X$19:$Z$28, MATCH(Calculations!C28, 'Character 1'!$X$19:$X$28, 0), 3)*HLOOKUP('Character 1'!$Z$7, artifactSubstatValues, MATCH(Calculations!C28, 'Artifact Database'!$A$1:$A$11, 0)),0)</f>
        <v>0</v>
      </c>
      <c r="I28" s="83">
        <f>VLOOKUP(C28, 'Character 1'!$R$5:$T$50, 3,0)</f>
        <v>0.27</v>
      </c>
      <c r="J28" s="38"/>
      <c r="K28" s="83">
        <f t="shared" ca="1" si="4"/>
        <v>1.1123000000000001</v>
      </c>
      <c r="L28" s="35"/>
      <c r="N28" s="35"/>
      <c r="O28" s="35"/>
      <c r="P28" s="35"/>
      <c r="Q28" s="35"/>
      <c r="R28" s="35"/>
      <c r="AB28" s="35"/>
      <c r="AC28" s="36" t="s">
        <v>81</v>
      </c>
      <c r="AD28" s="105">
        <f t="shared" ca="1" si="0"/>
        <v>1.1123000000000001</v>
      </c>
      <c r="AE28" s="105">
        <f t="shared" si="1"/>
        <v>0.56000000000000005</v>
      </c>
      <c r="AF28" s="105">
        <f t="shared" si="2"/>
        <v>0.38</v>
      </c>
      <c r="AG28" s="105">
        <f t="shared" si="3"/>
        <v>0.69704999999999995</v>
      </c>
      <c r="AH28" s="35"/>
    </row>
    <row r="29" spans="2:34" x14ac:dyDescent="0.25">
      <c r="B29" s="35"/>
      <c r="C29" s="36" t="s">
        <v>83</v>
      </c>
      <c r="D29" s="45">
        <f t="shared" si="5"/>
        <v>0</v>
      </c>
      <c r="E29" s="41">
        <f t="shared" si="6"/>
        <v>0</v>
      </c>
      <c r="F29" s="45">
        <f>INDEX(char1Weapons, MATCH(C29, weaponsDB!$A$1:$A$48, 0), MATCH(char1WeaponName, weaponsDB!$A$1:$CS$1, 0))</f>
        <v>0</v>
      </c>
      <c r="G29" s="83">
        <f>IFERROR(INDEX(char1ArtiSetStats, MATCH('Character 1'!$L$14, artisDB!$A$1:$A$53, 0), MATCH(Calculations!C29, artisDB!$A$1:$AP$1, 0))+INDEX(char1ArtiSetStats, MATCH('Character 1'!$L$15, artisDB!$A$1:$A$53, 0), MATCH(Calculations!C29, artisDB!$A$1:$AP$1, 0)),0)</f>
        <v>0</v>
      </c>
      <c r="H29" s="45">
        <f>IFERROR(INDEX('Character 1'!$X$19:$Z$28, MATCH(Calculations!C29, 'Character 1'!$X$19:$X$28, 0), 3)*HLOOKUP('Character 1'!$Z$7, artifactSubstatValues, MATCH(Calculations!C29, 'Artifact Database'!$A$1:$A$11, 0)),0)</f>
        <v>0</v>
      </c>
      <c r="I29" s="83">
        <f>VLOOKUP(C29, 'Character 1'!$R$5:$T$50, 3,0)</f>
        <v>0</v>
      </c>
      <c r="J29" s="38"/>
      <c r="K29" s="83">
        <f t="shared" si="4"/>
        <v>0</v>
      </c>
      <c r="L29" s="35"/>
      <c r="AB29" s="35"/>
      <c r="AC29" s="36" t="s">
        <v>83</v>
      </c>
      <c r="AD29" s="105">
        <f t="shared" si="0"/>
        <v>0</v>
      </c>
      <c r="AE29" s="105">
        <f t="shared" si="1"/>
        <v>0</v>
      </c>
      <c r="AF29" s="105">
        <f t="shared" si="2"/>
        <v>0</v>
      </c>
      <c r="AG29" s="105">
        <f t="shared" si="3"/>
        <v>0</v>
      </c>
      <c r="AH29" s="35"/>
    </row>
    <row r="30" spans="2:34" x14ac:dyDescent="0.25">
      <c r="B30" s="35"/>
      <c r="C30" s="36" t="s">
        <v>84</v>
      </c>
      <c r="D30" s="45">
        <f t="shared" si="5"/>
        <v>0</v>
      </c>
      <c r="E30" s="41">
        <f t="shared" si="6"/>
        <v>0</v>
      </c>
      <c r="F30" s="45">
        <f>INDEX(char1Weapons, MATCH(C30, weaponsDB!$A$1:$A$48, 0), MATCH(char1WeaponName, weaponsDB!$A$1:$CS$1, 0))</f>
        <v>0</v>
      </c>
      <c r="G30" s="83">
        <f>IFERROR(INDEX(char1ArtiSetStats, MATCH('Character 1'!$L$14, artisDB!$A$1:$A$53, 0), MATCH(Calculations!C30, artisDB!$A$1:$AP$1, 0))+INDEX(char1ArtiSetStats, MATCH('Character 1'!$L$15, artisDB!$A$1:$A$53, 0), MATCH(Calculations!C30, artisDB!$A$1:$AP$1, 0)),0)</f>
        <v>0</v>
      </c>
      <c r="H30" s="45">
        <f>IFERROR(INDEX('Character 1'!$X$19:$Z$28, MATCH(Calculations!C30, 'Character 1'!$X$19:$X$28, 0), 3)*HLOOKUP('Character 1'!$Z$7, artifactSubstatValues, MATCH(Calculations!C30, 'Artifact Database'!$A$1:$A$11, 0)),0)</f>
        <v>0</v>
      </c>
      <c r="I30" s="83">
        <f>VLOOKUP(C30, 'Character 1'!$R$5:$T$50, 3,0)</f>
        <v>0</v>
      </c>
      <c r="J30" s="38"/>
      <c r="K30" s="83">
        <f t="shared" si="4"/>
        <v>0</v>
      </c>
      <c r="L30" s="35"/>
      <c r="N30" s="35"/>
      <c r="O30" s="35"/>
      <c r="P30" s="35"/>
      <c r="Q30" s="35"/>
      <c r="R30" s="35"/>
      <c r="AB30" s="35"/>
      <c r="AC30" s="36" t="s">
        <v>84</v>
      </c>
      <c r="AD30" s="105">
        <f t="shared" si="0"/>
        <v>0</v>
      </c>
      <c r="AE30" s="105">
        <f t="shared" si="1"/>
        <v>0.4</v>
      </c>
      <c r="AF30" s="105">
        <f t="shared" si="2"/>
        <v>0</v>
      </c>
      <c r="AG30" s="105">
        <f t="shared" si="3"/>
        <v>0</v>
      </c>
      <c r="AH30" s="35"/>
    </row>
    <row r="31" spans="2:34" x14ac:dyDescent="0.25">
      <c r="B31" s="35"/>
      <c r="C31" s="36" t="s">
        <v>85</v>
      </c>
      <c r="D31" s="45">
        <f t="shared" si="5"/>
        <v>0</v>
      </c>
      <c r="E31" s="41">
        <f t="shared" si="6"/>
        <v>0</v>
      </c>
      <c r="F31" s="45">
        <f>INDEX(char1Weapons, MATCH(C31, weaponsDB!$A$1:$A$48, 0), MATCH(char1WeaponName, weaponsDB!$A$1:$CS$1, 0))</f>
        <v>0</v>
      </c>
      <c r="G31" s="83">
        <f>IFERROR(INDEX(char1ArtiSetStats, MATCH('Character 1'!$L$14, artisDB!$A$1:$A$53, 0), MATCH(Calculations!C31, artisDB!$A$1:$AP$1, 0))+INDEX(char1ArtiSetStats, MATCH('Character 1'!$L$15, artisDB!$A$1:$A$53, 0), MATCH(Calculations!C31, artisDB!$A$1:$AP$1, 0)),0)</f>
        <v>0</v>
      </c>
      <c r="H31" s="45">
        <f>IFERROR(INDEX('Character 1'!$X$19:$Z$28, MATCH(Calculations!C31, 'Character 1'!$X$19:$X$28, 0), 3)*HLOOKUP('Character 1'!$Z$7, artifactSubstatValues, MATCH(Calculations!C31, 'Artifact Database'!$A$1:$A$11, 0)),0)</f>
        <v>0</v>
      </c>
      <c r="I31" s="83">
        <f>VLOOKUP(C31, 'Character 1'!$R$5:$T$50, 3,0)</f>
        <v>0</v>
      </c>
      <c r="J31" s="38"/>
      <c r="K31" s="83">
        <f t="shared" si="4"/>
        <v>0</v>
      </c>
      <c r="L31" s="35"/>
      <c r="N31" s="35"/>
      <c r="O31" s="238" t="s">
        <v>676</v>
      </c>
      <c r="P31" s="238"/>
      <c r="Q31" s="238"/>
      <c r="R31" s="35"/>
      <c r="AB31" s="35"/>
      <c r="AC31" s="36" t="s">
        <v>85</v>
      </c>
      <c r="AD31" s="105">
        <f t="shared" si="0"/>
        <v>0</v>
      </c>
      <c r="AE31" s="105">
        <f t="shared" si="1"/>
        <v>0</v>
      </c>
      <c r="AF31" s="105">
        <f t="shared" si="2"/>
        <v>0</v>
      </c>
      <c r="AG31" s="105">
        <f t="shared" si="3"/>
        <v>0</v>
      </c>
      <c r="AH31" s="35"/>
    </row>
    <row r="32" spans="2:34" x14ac:dyDescent="0.25">
      <c r="B32" s="35"/>
      <c r="C32" s="36" t="s">
        <v>86</v>
      </c>
      <c r="D32" s="45">
        <f t="shared" si="5"/>
        <v>0</v>
      </c>
      <c r="E32" s="41">
        <f t="shared" si="6"/>
        <v>0</v>
      </c>
      <c r="F32" s="45">
        <f>INDEX(char1Weapons, MATCH(C32, weaponsDB!$A$1:$A$48, 0), MATCH(char1WeaponName, weaponsDB!$A$1:$CS$1, 0))</f>
        <v>0</v>
      </c>
      <c r="G32" s="83">
        <f>IFERROR(INDEX(char1ArtiSetStats, MATCH('Character 1'!$L$14, artisDB!$A$1:$A$53, 0), MATCH(Calculations!C32, artisDB!$A$1:$AP$1, 0))+INDEX(char1ArtiSetStats, MATCH('Character 1'!$L$15, artisDB!$A$1:$A$53, 0), MATCH(Calculations!C32, artisDB!$A$1:$AP$1, 0)),0)</f>
        <v>0</v>
      </c>
      <c r="H32" s="45">
        <f>IFERROR(INDEX('Character 1'!$X$19:$Z$28, MATCH(Calculations!C32, 'Character 1'!$X$19:$X$28, 0), 3)*HLOOKUP('Character 1'!$Z$7, artifactSubstatValues, MATCH(Calculations!C32, 'Artifact Database'!$A$1:$A$11, 0)),0)</f>
        <v>0</v>
      </c>
      <c r="I32" s="83">
        <f>VLOOKUP(C32, 'Character 1'!$R$5:$T$50, 3,0)</f>
        <v>0</v>
      </c>
      <c r="J32" s="38"/>
      <c r="K32" s="83">
        <f t="shared" si="4"/>
        <v>0</v>
      </c>
      <c r="L32" s="35"/>
      <c r="N32" s="35"/>
      <c r="O32" s="238"/>
      <c r="P32" s="238"/>
      <c r="Q32" s="238"/>
      <c r="R32" s="35"/>
      <c r="AB32" s="35"/>
      <c r="AC32" s="36" t="s">
        <v>86</v>
      </c>
      <c r="AD32" s="105">
        <f t="shared" si="0"/>
        <v>0</v>
      </c>
      <c r="AE32" s="105">
        <f t="shared" si="1"/>
        <v>0</v>
      </c>
      <c r="AF32" s="105">
        <f t="shared" si="2"/>
        <v>0</v>
      </c>
      <c r="AG32" s="105">
        <f t="shared" si="3"/>
        <v>0</v>
      </c>
      <c r="AH32" s="35"/>
    </row>
    <row r="33" spans="2:34" x14ac:dyDescent="0.25">
      <c r="B33" s="35"/>
      <c r="C33" s="36" t="s">
        <v>87</v>
      </c>
      <c r="D33" s="45">
        <f t="shared" si="5"/>
        <v>0</v>
      </c>
      <c r="E33" s="41">
        <f t="shared" si="6"/>
        <v>0</v>
      </c>
      <c r="F33" s="45">
        <f>INDEX(char1Weapons, MATCH(C33, weaponsDB!$A$1:$A$48, 0), MATCH(char1WeaponName, weaponsDB!$A$1:$CS$1, 0))</f>
        <v>0</v>
      </c>
      <c r="G33" s="83">
        <f>IFERROR(INDEX(char1ArtiSetStats, MATCH('Character 1'!$L$14, artisDB!$A$1:$A$53, 0), MATCH(Calculations!C33, artisDB!$A$1:$AP$1, 0))+INDEX(char1ArtiSetStats, MATCH('Character 1'!$L$15, artisDB!$A$1:$A$53, 0), MATCH(Calculations!C33, artisDB!$A$1:$AP$1, 0)),0)</f>
        <v>0</v>
      </c>
      <c r="H33" s="45">
        <f>IFERROR(INDEX('Character 1'!$X$19:$Z$28, MATCH(Calculations!C33, 'Character 1'!$X$19:$X$28, 0), 3)*HLOOKUP('Character 1'!$Z$7, artifactSubstatValues, MATCH(Calculations!C33, 'Artifact Database'!$A$1:$A$11, 0)),0)</f>
        <v>0</v>
      </c>
      <c r="I33" s="83">
        <f>VLOOKUP(C33, 'Character 1'!$R$5:$T$50, 3,0)</f>
        <v>0</v>
      </c>
      <c r="J33" s="38"/>
      <c r="K33" s="83">
        <f t="shared" si="4"/>
        <v>0</v>
      </c>
      <c r="L33" s="35"/>
      <c r="N33" s="35"/>
      <c r="O33" s="239" t="s">
        <v>677</v>
      </c>
      <c r="P33" s="239"/>
      <c r="Q33" s="7" t="str">
        <f>'Character 1'!E20</f>
        <v>Skill</v>
      </c>
      <c r="R33" s="35"/>
      <c r="AB33" s="35"/>
      <c r="AC33" s="36" t="s">
        <v>87</v>
      </c>
      <c r="AD33" s="105">
        <f t="shared" si="0"/>
        <v>0</v>
      </c>
      <c r="AE33" s="105">
        <f t="shared" si="1"/>
        <v>0</v>
      </c>
      <c r="AF33" s="105">
        <f t="shared" si="2"/>
        <v>0</v>
      </c>
      <c r="AG33" s="105">
        <f t="shared" si="3"/>
        <v>0</v>
      </c>
      <c r="AH33" s="35"/>
    </row>
    <row r="34" spans="2:34" x14ac:dyDescent="0.25">
      <c r="B34" s="35"/>
      <c r="C34" s="36" t="s">
        <v>90</v>
      </c>
      <c r="D34" s="45">
        <f t="shared" si="5"/>
        <v>0</v>
      </c>
      <c r="E34" s="41">
        <f t="shared" si="6"/>
        <v>0</v>
      </c>
      <c r="F34" s="45">
        <f>INDEX(char1Weapons, MATCH(C34, weaponsDB!$A$1:$A$48, 0), MATCH(char1WeaponName, weaponsDB!$A$1:$CS$1, 0))</f>
        <v>0</v>
      </c>
      <c r="G34" s="83">
        <f>IFERROR(INDEX(char1ArtiSetStats, MATCH('Character 1'!$L$14, artisDB!$A$1:$A$53, 0), MATCH(Calculations!C34, artisDB!$A$1:$AP$1, 0))+INDEX(char1ArtiSetStats, MATCH('Character 1'!$L$15, artisDB!$A$1:$A$53, 0), MATCH(Calculations!C34, artisDB!$A$1:$AP$1, 0)),0)</f>
        <v>0</v>
      </c>
      <c r="H34" s="45">
        <f>IFERROR(INDEX('Character 1'!$X$19:$Z$28, MATCH(Calculations!C34, 'Character 1'!$X$19:$X$28, 0), 3)*HLOOKUP('Character 1'!$Z$7, artifactSubstatValues, MATCH(Calculations!C34, 'Artifact Database'!$A$1:$A$11, 0)),0)</f>
        <v>0</v>
      </c>
      <c r="I34" s="83">
        <f>VLOOKUP(C34, 'Character 1'!$R$5:$T$50, 3,0)</f>
        <v>0</v>
      </c>
      <c r="J34" s="38"/>
      <c r="K34" s="83">
        <f t="shared" si="4"/>
        <v>0</v>
      </c>
      <c r="L34" s="35"/>
      <c r="N34" s="35"/>
      <c r="O34" s="239" t="s">
        <v>678</v>
      </c>
      <c r="P34" s="239"/>
      <c r="Q34" s="7" t="str">
        <f>'Character 1'!E23</f>
        <v>Burst</v>
      </c>
      <c r="R34" s="35"/>
      <c r="AB34" s="35"/>
      <c r="AC34" s="36" t="s">
        <v>90</v>
      </c>
      <c r="AD34" s="105">
        <f t="shared" si="0"/>
        <v>0</v>
      </c>
      <c r="AE34" s="105">
        <f t="shared" si="1"/>
        <v>0</v>
      </c>
      <c r="AF34" s="105">
        <f t="shared" si="2"/>
        <v>0</v>
      </c>
      <c r="AG34" s="105">
        <f t="shared" si="3"/>
        <v>0</v>
      </c>
      <c r="AH34" s="35"/>
    </row>
    <row r="35" spans="2:34" x14ac:dyDescent="0.25">
      <c r="B35" s="35"/>
      <c r="C35" s="36" t="s">
        <v>88</v>
      </c>
      <c r="D35" s="45">
        <f t="shared" si="5"/>
        <v>0</v>
      </c>
      <c r="E35" s="41">
        <f t="shared" si="6"/>
        <v>0</v>
      </c>
      <c r="F35" s="45">
        <f>INDEX(char1Weapons, MATCH(C35, weaponsDB!$A$1:$A$48, 0), MATCH(char1WeaponName, weaponsDB!$A$1:$CS$1, 0))</f>
        <v>0</v>
      </c>
      <c r="G35" s="83">
        <f>IFERROR(INDEX(char1ArtiSetStats, MATCH('Character 1'!$L$14, artisDB!$A$1:$A$53, 0), MATCH(Calculations!C35, artisDB!$A$1:$AP$1, 0))+INDEX(char1ArtiSetStats, MATCH('Character 1'!$L$15, artisDB!$A$1:$A$53, 0), MATCH(Calculations!C35, artisDB!$A$1:$AP$1, 0)),0)</f>
        <v>0</v>
      </c>
      <c r="H35" s="45">
        <f>IFERROR(INDEX('Character 1'!$X$19:$Z$28, MATCH(Calculations!C35, 'Character 1'!$X$19:$X$28, 0), 3)*HLOOKUP('Character 1'!$Z$7, artifactSubstatValues, MATCH(Calculations!C35, 'Artifact Database'!$A$1:$A$11, 0)),0)</f>
        <v>0</v>
      </c>
      <c r="I35" s="83">
        <f>VLOOKUP(C35, 'Character 1'!$R$5:$T$50, 3,0)</f>
        <v>0</v>
      </c>
      <c r="J35" s="38"/>
      <c r="K35" s="83">
        <f t="shared" si="4"/>
        <v>0</v>
      </c>
      <c r="L35" s="35"/>
      <c r="N35" s="35"/>
      <c r="O35" s="35"/>
      <c r="P35" s="35"/>
      <c r="Q35" s="35"/>
      <c r="R35" s="35"/>
      <c r="AB35" s="35"/>
      <c r="AC35" s="36" t="s">
        <v>88</v>
      </c>
      <c r="AD35" s="105">
        <f t="shared" si="0"/>
        <v>0</v>
      </c>
      <c r="AE35" s="105">
        <f t="shared" si="1"/>
        <v>0.15</v>
      </c>
      <c r="AF35" s="105">
        <f t="shared" si="2"/>
        <v>0</v>
      </c>
      <c r="AG35" s="105">
        <f t="shared" si="3"/>
        <v>0</v>
      </c>
      <c r="AH35" s="35"/>
    </row>
    <row r="36" spans="2:34" x14ac:dyDescent="0.25">
      <c r="B36" s="35"/>
      <c r="C36" s="36" t="s">
        <v>89</v>
      </c>
      <c r="D36" s="45">
        <f t="shared" si="5"/>
        <v>0</v>
      </c>
      <c r="E36" s="41">
        <f t="shared" si="6"/>
        <v>0</v>
      </c>
      <c r="F36" s="45">
        <f>INDEX(char1Weapons, MATCH(C36, weaponsDB!$A$1:$A$48, 0), MATCH(char1WeaponName, weaponsDB!$A$1:$CS$1, 0))</f>
        <v>0</v>
      </c>
      <c r="G36" s="83">
        <f>IFERROR(INDEX(char1ArtiSetStats, MATCH('Character 1'!$L$14, artisDB!$A$1:$A$53, 0), MATCH(Calculations!C36, artisDB!$A$1:$AP$1, 0))+INDEX(char1ArtiSetStats, MATCH('Character 1'!$L$15, artisDB!$A$1:$A$53, 0), MATCH(Calculations!C36, artisDB!$A$1:$AP$1, 0)),0)</f>
        <v>0</v>
      </c>
      <c r="H36" s="45">
        <f>IFERROR(INDEX('Character 1'!$X$19:$Z$28, MATCH(Calculations!C36, 'Character 1'!$X$19:$X$28, 0), 3)*HLOOKUP('Character 1'!$Z$7, artifactSubstatValues, MATCH(Calculations!C36, 'Artifact Database'!$A$1:$A$11, 0)),0)</f>
        <v>0</v>
      </c>
      <c r="I36" s="83">
        <f>VLOOKUP(C36, 'Character 1'!$R$5:$T$50, 3,0)</f>
        <v>0</v>
      </c>
      <c r="J36" s="38"/>
      <c r="K36" s="83">
        <f t="shared" si="4"/>
        <v>0</v>
      </c>
      <c r="L36" s="35"/>
      <c r="O36" s="221"/>
      <c r="P36" s="221"/>
      <c r="AB36" s="35"/>
      <c r="AC36" s="36" t="s">
        <v>89</v>
      </c>
      <c r="AD36" s="105">
        <f t="shared" si="0"/>
        <v>0</v>
      </c>
      <c r="AE36" s="105">
        <f t="shared" si="1"/>
        <v>0.15</v>
      </c>
      <c r="AF36" s="105">
        <f t="shared" si="2"/>
        <v>0</v>
      </c>
      <c r="AG36" s="105">
        <f t="shared" si="3"/>
        <v>0</v>
      </c>
      <c r="AH36" s="35"/>
    </row>
    <row r="37" spans="2:34" x14ac:dyDescent="0.25">
      <c r="B37" s="35"/>
      <c r="C37" s="36" t="s">
        <v>91</v>
      </c>
      <c r="D37" s="45">
        <f t="shared" si="5"/>
        <v>0</v>
      </c>
      <c r="E37" s="41">
        <f t="shared" si="6"/>
        <v>0</v>
      </c>
      <c r="F37" s="45">
        <f>INDEX(char1Weapons, MATCH(C37, weaponsDB!$A$1:$A$48, 0), MATCH(char1WeaponName, weaponsDB!$A$1:$CS$1, 0))</f>
        <v>0</v>
      </c>
      <c r="G37" s="83">
        <f>IFERROR(INDEX(char1ArtiSetStats, MATCH('Character 1'!$L$14, artisDB!$A$1:$A$53, 0), MATCH(Calculations!C37, artisDB!$A$1:$AP$1, 0))+INDEX(char1ArtiSetStats, MATCH('Character 1'!$L$15, artisDB!$A$1:$A$53, 0), MATCH(Calculations!C37, artisDB!$A$1:$AP$1, 0)),0)</f>
        <v>0</v>
      </c>
      <c r="H37" s="45">
        <f>IFERROR(INDEX('Character 1'!$X$19:$Z$28, MATCH(Calculations!C37, 'Character 1'!$X$19:$X$28, 0), 3)*HLOOKUP('Character 1'!$Z$7, artifactSubstatValues, MATCH(Calculations!C37, 'Artifact Database'!$A$1:$A$11, 0)),0)</f>
        <v>0</v>
      </c>
      <c r="I37" s="83">
        <f>VLOOKUP(C37, 'Character 1'!$R$5:$T$50, 3,0)</f>
        <v>0</v>
      </c>
      <c r="J37" s="38"/>
      <c r="K37" s="83">
        <f t="shared" si="4"/>
        <v>0</v>
      </c>
      <c r="L37" s="35"/>
      <c r="N37" s="35"/>
      <c r="O37" s="35"/>
      <c r="P37" s="35"/>
      <c r="Q37" s="35"/>
      <c r="R37" s="35"/>
      <c r="AB37" s="35"/>
      <c r="AC37" s="36" t="s">
        <v>91</v>
      </c>
      <c r="AD37" s="105">
        <f t="shared" si="0"/>
        <v>0</v>
      </c>
      <c r="AE37" s="105">
        <f t="shared" si="1"/>
        <v>0</v>
      </c>
      <c r="AF37" s="105">
        <f t="shared" si="2"/>
        <v>0</v>
      </c>
      <c r="AG37" s="105">
        <f t="shared" si="3"/>
        <v>0</v>
      </c>
      <c r="AH37" s="35"/>
    </row>
    <row r="38" spans="2:34" x14ac:dyDescent="0.25">
      <c r="B38" s="35"/>
      <c r="C38" s="36" t="s">
        <v>458</v>
      </c>
      <c r="D38" s="45">
        <f t="shared" si="5"/>
        <v>0</v>
      </c>
      <c r="E38" s="41">
        <f t="shared" si="6"/>
        <v>0</v>
      </c>
      <c r="F38" s="45">
        <f>INDEX(char1Weapons, MATCH(C38, weaponsDB!$A$1:$A$48, 0), MATCH(char1WeaponName, weaponsDB!$A$1:$CS$1, 0))</f>
        <v>0</v>
      </c>
      <c r="G38" s="83">
        <f>IFERROR(INDEX(char1ArtiSetStats, MATCH('Character 1'!$L$14, artisDB!$A$1:$A$53, 0), MATCH(Calculations!C38, artisDB!$A$1:$AP$1, 0))+INDEX(char1ArtiSetStats, MATCH('Character 1'!$L$15, artisDB!$A$1:$A$53, 0), MATCH(Calculations!C38, artisDB!$A$1:$AP$1, 0)),0)</f>
        <v>0</v>
      </c>
      <c r="H38" s="45">
        <f>IFERROR(INDEX('Character 1'!$X$19:$Z$28, MATCH(Calculations!C38, 'Character 1'!$X$19:$X$28, 0), 3)*HLOOKUP('Character 1'!$Z$7, artifactSubstatValues, MATCH(Calculations!C38, 'Artifact Database'!$A$1:$A$11, 0)),0)</f>
        <v>0</v>
      </c>
      <c r="I38" s="83">
        <f>VLOOKUP(C38, 'Character 1'!$R$5:$T$50, 3,0)</f>
        <v>0</v>
      </c>
      <c r="J38" s="38"/>
      <c r="K38" s="83">
        <f t="shared" si="4"/>
        <v>0</v>
      </c>
      <c r="L38" s="35"/>
      <c r="N38" s="35"/>
      <c r="O38" s="238" t="s">
        <v>683</v>
      </c>
      <c r="P38" s="238"/>
      <c r="Q38" s="238"/>
      <c r="R38" s="35"/>
      <c r="AB38" s="35"/>
      <c r="AC38" s="36" t="s">
        <v>458</v>
      </c>
      <c r="AD38" s="105">
        <f t="shared" si="0"/>
        <v>0</v>
      </c>
      <c r="AE38" s="105">
        <f t="shared" si="1"/>
        <v>0</v>
      </c>
      <c r="AF38" s="105">
        <f t="shared" si="2"/>
        <v>0</v>
      </c>
      <c r="AG38" s="105">
        <f t="shared" si="3"/>
        <v>0</v>
      </c>
      <c r="AH38" s="35"/>
    </row>
    <row r="39" spans="2:34" x14ac:dyDescent="0.25">
      <c r="B39" s="35"/>
      <c r="C39" s="36" t="s">
        <v>93</v>
      </c>
      <c r="D39" s="45">
        <f t="shared" si="5"/>
        <v>0</v>
      </c>
      <c r="E39" s="41">
        <f t="shared" si="6"/>
        <v>0</v>
      </c>
      <c r="F39" s="45">
        <f>INDEX(char1Weapons, MATCH(C39, weaponsDB!$A$1:$A$48, 0), MATCH(char1WeaponName, weaponsDB!$A$1:$CS$1, 0))</f>
        <v>0</v>
      </c>
      <c r="G39" s="83">
        <f>IFERROR(INDEX(char1ArtiSetStats, MATCH('Character 1'!$L$14, artisDB!$A$1:$A$53, 0), MATCH(Calculations!C39, artisDB!$A$1:$AP$1, 0))+INDEX(char1ArtiSetStats, MATCH('Character 1'!$L$15, artisDB!$A$1:$A$53, 0), MATCH(Calculations!C39, artisDB!$A$1:$AP$1, 0)),0)</f>
        <v>0</v>
      </c>
      <c r="H39" s="45">
        <f>IFERROR(INDEX('Character 1'!$X$19:$Z$28, MATCH(Calculations!C39, 'Character 1'!$X$19:$X$28, 0), 3)*HLOOKUP('Character 1'!$Z$7, artifactSubstatValues, MATCH(Calculations!C39, 'Artifact Database'!$A$1:$A$11, 0)),0)</f>
        <v>0</v>
      </c>
      <c r="I39" s="83">
        <f>VLOOKUP(C39, 'Character 1'!$R$5:$T$50, 3,0)</f>
        <v>0</v>
      </c>
      <c r="J39" s="38"/>
      <c r="K39" s="83">
        <f t="shared" si="4"/>
        <v>0</v>
      </c>
      <c r="L39" s="35"/>
      <c r="N39" s="35"/>
      <c r="O39" s="238"/>
      <c r="P39" s="238"/>
      <c r="Q39" s="238"/>
      <c r="R39" s="35"/>
      <c r="AB39" s="35"/>
      <c r="AC39" s="36" t="s">
        <v>93</v>
      </c>
      <c r="AD39" s="105">
        <f t="shared" si="0"/>
        <v>0</v>
      </c>
      <c r="AE39" s="105">
        <f t="shared" si="1"/>
        <v>0</v>
      </c>
      <c r="AF39" s="105">
        <f t="shared" si="2"/>
        <v>0</v>
      </c>
      <c r="AG39" s="105">
        <f t="shared" si="3"/>
        <v>0</v>
      </c>
      <c r="AH39" s="35"/>
    </row>
    <row r="40" spans="2:34" x14ac:dyDescent="0.25">
      <c r="B40" s="35"/>
      <c r="C40" s="36" t="s">
        <v>427</v>
      </c>
      <c r="D40" s="45">
        <f t="shared" si="5"/>
        <v>0</v>
      </c>
      <c r="E40" s="41">
        <f t="shared" si="6"/>
        <v>0</v>
      </c>
      <c r="F40" s="45">
        <f>INDEX(char1Weapons, MATCH(C40, weaponsDB!$A$1:$A$48, 0), MATCH(char1WeaponName, weaponsDB!$A$1:$CS$1, 0))</f>
        <v>0</v>
      </c>
      <c r="G40" s="83">
        <f>IFERROR(INDEX(char1ArtiSetStats, MATCH('Character 1'!$L$14, artisDB!$A$1:$A$53, 0), MATCH(Calculations!C40, artisDB!$A$1:$AP$1, 0))+INDEX(char1ArtiSetStats, MATCH('Character 1'!$L$15, artisDB!$A$1:$A$53, 0), MATCH(Calculations!C40, artisDB!$A$1:$AP$1, 0)),0)</f>
        <v>0</v>
      </c>
      <c r="H40" s="45">
        <f>IFERROR(INDEX('Character 1'!$X$19:$Z$28, MATCH(Calculations!C40, 'Character 1'!$X$19:$X$28, 0), 3)*HLOOKUP('Character 1'!$Z$7, artifactSubstatValues, MATCH(Calculations!C40, 'Artifact Database'!$A$1:$A$11, 0)),0)</f>
        <v>0</v>
      </c>
      <c r="I40" s="83">
        <f>VLOOKUP(C40, 'Character 1'!$R$5:$T$50, 3,0)</f>
        <v>0</v>
      </c>
      <c r="J40" s="38"/>
      <c r="K40" s="83">
        <f t="shared" si="4"/>
        <v>0</v>
      </c>
      <c r="L40" s="35"/>
      <c r="N40" s="35"/>
      <c r="O40" s="239" t="s">
        <v>398</v>
      </c>
      <c r="P40" s="239"/>
      <c r="Q40" s="7">
        <f>(char1LevelNum+100)/((char1LevelNum+100)+(enemyLevel+100)*(1-char1FinalDEFShred))</f>
        <v>0.48648648648648651</v>
      </c>
      <c r="R40" s="35"/>
      <c r="AB40" s="35"/>
      <c r="AC40" s="36" t="s">
        <v>427</v>
      </c>
      <c r="AD40" s="105">
        <f t="shared" si="0"/>
        <v>0</v>
      </c>
      <c r="AE40" s="105">
        <f t="shared" si="1"/>
        <v>0</v>
      </c>
      <c r="AF40" s="105">
        <f t="shared" si="2"/>
        <v>0</v>
      </c>
      <c r="AG40" s="105">
        <f t="shared" si="3"/>
        <v>0</v>
      </c>
      <c r="AH40" s="35"/>
    </row>
    <row r="41" spans="2:34" x14ac:dyDescent="0.25">
      <c r="B41" s="35"/>
      <c r="C41" s="36" t="s">
        <v>457</v>
      </c>
      <c r="D41" s="45">
        <f t="shared" si="5"/>
        <v>0</v>
      </c>
      <c r="E41" s="41">
        <f t="shared" si="6"/>
        <v>0</v>
      </c>
      <c r="F41" s="45">
        <f>INDEX(char1Weapons, MATCH(C41, weaponsDB!$A$1:$A$48, 0), MATCH(char1WeaponName, weaponsDB!$A$1:$CS$1, 0))</f>
        <v>0</v>
      </c>
      <c r="G41" s="83">
        <f>IFERROR(INDEX(char1ArtiSetStats, MATCH('Character 1'!$L$14, artisDB!$A$1:$A$53, 0), MATCH(Calculations!C41, artisDB!$A$1:$AP$1, 0))+INDEX(char1ArtiSetStats, MATCH('Character 1'!$L$15, artisDB!$A$1:$A$53, 0), MATCH(Calculations!C41, artisDB!$A$1:$AP$1, 0)),0)</f>
        <v>0</v>
      </c>
      <c r="H41" s="45">
        <f>IFERROR(INDEX('Character 1'!$X$19:$Z$28, MATCH(Calculations!C41, 'Character 1'!$X$19:$X$28, 0), 3)*HLOOKUP('Character 1'!$Z$7, artifactSubstatValues, MATCH(Calculations!C41, 'Artifact Database'!$A$1:$A$11, 0)),0)</f>
        <v>0</v>
      </c>
      <c r="I41" s="83">
        <f>VLOOKUP(C41, 'Character 1'!$R$5:$T$50, 3,0)</f>
        <v>0</v>
      </c>
      <c r="J41" s="38"/>
      <c r="K41" s="83">
        <f t="shared" si="4"/>
        <v>0</v>
      </c>
      <c r="L41" s="35"/>
      <c r="N41" s="35"/>
      <c r="O41" s="35"/>
      <c r="P41" s="35"/>
      <c r="Q41" s="35"/>
      <c r="R41" s="35"/>
      <c r="AB41" s="35"/>
      <c r="AC41" s="36" t="s">
        <v>457</v>
      </c>
      <c r="AD41" s="105">
        <f t="shared" si="0"/>
        <v>0</v>
      </c>
      <c r="AE41" s="105">
        <f t="shared" si="1"/>
        <v>0</v>
      </c>
      <c r="AF41" s="105">
        <f t="shared" si="2"/>
        <v>0</v>
      </c>
      <c r="AG41" s="105">
        <f t="shared" si="3"/>
        <v>0</v>
      </c>
      <c r="AH41" s="35"/>
    </row>
    <row r="42" spans="2:34" x14ac:dyDescent="0.25">
      <c r="B42" s="35"/>
      <c r="C42" s="36" t="s">
        <v>92</v>
      </c>
      <c r="D42" s="45">
        <f t="shared" si="5"/>
        <v>0</v>
      </c>
      <c r="E42" s="41">
        <f t="shared" si="6"/>
        <v>0</v>
      </c>
      <c r="F42" s="45">
        <f>INDEX(char1Weapons, MATCH(C42, weaponsDB!$A$1:$A$48, 0), MATCH(char1WeaponName, weaponsDB!$A$1:$CS$1, 0))</f>
        <v>0</v>
      </c>
      <c r="G42" s="83">
        <f>IFERROR(INDEX(char1ArtiSetStats, MATCH('Character 1'!$L$14, artisDB!$A$1:$A$53, 0), MATCH(Calculations!C42, artisDB!$A$1:$AP$1, 0))+INDEX(char1ArtiSetStats, MATCH('Character 1'!$L$15, artisDB!$A$1:$A$53, 0), MATCH(Calculations!C42, artisDB!$A$1:$AP$1, 0)),0)</f>
        <v>0</v>
      </c>
      <c r="H42" s="45">
        <f>IFERROR(INDEX('Character 1'!$X$19:$Z$28, MATCH(Calculations!C42, 'Character 1'!$X$19:$X$28, 0), 3)*HLOOKUP('Character 1'!$Z$7, artifactSubstatValues, MATCH(Calculations!C42, 'Artifact Database'!$A$1:$A$11, 0)),0)</f>
        <v>0</v>
      </c>
      <c r="I42" s="83">
        <f>VLOOKUP(C42, 'Character 1'!$R$5:$T$50, 3,0)</f>
        <v>0</v>
      </c>
      <c r="J42" s="38"/>
      <c r="K42" s="83">
        <f t="shared" si="4"/>
        <v>0</v>
      </c>
      <c r="L42" s="35"/>
      <c r="AB42" s="35"/>
      <c r="AC42" s="36" t="s">
        <v>92</v>
      </c>
      <c r="AD42" s="105">
        <f t="shared" si="0"/>
        <v>0</v>
      </c>
      <c r="AE42" s="105">
        <f t="shared" si="1"/>
        <v>0</v>
      </c>
      <c r="AF42" s="105">
        <f t="shared" si="2"/>
        <v>0</v>
      </c>
      <c r="AG42" s="105">
        <f t="shared" si="3"/>
        <v>0</v>
      </c>
      <c r="AH42" s="35"/>
    </row>
    <row r="43" spans="2:34" x14ac:dyDescent="0.25">
      <c r="B43" s="35"/>
      <c r="C43" s="36" t="s">
        <v>94</v>
      </c>
      <c r="D43" s="45">
        <f t="shared" si="5"/>
        <v>0</v>
      </c>
      <c r="E43" s="41">
        <f t="shared" si="6"/>
        <v>0</v>
      </c>
      <c r="F43" s="45">
        <f>INDEX(char1Weapons, MATCH(C43, weaponsDB!$A$1:$A$48, 0), MATCH(char1WeaponName, weaponsDB!$A$1:$CS$1, 0))</f>
        <v>0</v>
      </c>
      <c r="G43" s="83">
        <f>IFERROR(INDEX(char1ArtiSetStats, MATCH('Character 1'!$L$14, artisDB!$A$1:$A$53, 0), MATCH(Calculations!C43, artisDB!$A$1:$AP$1, 0))+INDEX(char1ArtiSetStats, MATCH('Character 1'!$L$15, artisDB!$A$1:$A$53, 0), MATCH(Calculations!C43, artisDB!$A$1:$AP$1, 0)),0)</f>
        <v>0</v>
      </c>
      <c r="H43" s="45">
        <f>IFERROR(INDEX('Character 1'!$X$19:$Z$28, MATCH(Calculations!C43, 'Character 1'!$X$19:$X$28, 0), 3)*HLOOKUP('Character 1'!$Z$7, artifactSubstatValues, MATCH(Calculations!C43, 'Artifact Database'!$A$1:$A$11, 0)),0)</f>
        <v>0</v>
      </c>
      <c r="I43" s="83">
        <f>VLOOKUP(C43, 'Character 1'!$R$5:$T$50, 3,0)</f>
        <v>0</v>
      </c>
      <c r="J43" s="38"/>
      <c r="K43" s="83">
        <f t="shared" si="4"/>
        <v>0</v>
      </c>
      <c r="L43" s="35"/>
      <c r="N43" s="35"/>
      <c r="O43" s="35"/>
      <c r="P43" s="35"/>
      <c r="Q43" s="35"/>
      <c r="R43" s="35"/>
      <c r="AB43" s="35"/>
      <c r="AC43" s="36" t="s">
        <v>94</v>
      </c>
      <c r="AD43" s="105">
        <f t="shared" si="0"/>
        <v>0</v>
      </c>
      <c r="AE43" s="105">
        <f t="shared" si="1"/>
        <v>0</v>
      </c>
      <c r="AF43" s="105">
        <f t="shared" si="2"/>
        <v>0</v>
      </c>
      <c r="AG43" s="105">
        <f t="shared" si="3"/>
        <v>0</v>
      </c>
      <c r="AH43" s="35"/>
    </row>
    <row r="44" spans="2:34" x14ac:dyDescent="0.25">
      <c r="B44" s="35"/>
      <c r="C44" s="36" t="s">
        <v>95</v>
      </c>
      <c r="D44" s="45">
        <f t="shared" si="5"/>
        <v>0</v>
      </c>
      <c r="E44" s="41">
        <f t="shared" si="6"/>
        <v>0</v>
      </c>
      <c r="F44" s="45">
        <f>INDEX(char1Weapons, MATCH(C44, weaponsDB!$A$1:$A$48, 0), MATCH(char1WeaponName, weaponsDB!$A$1:$CS$1, 0))</f>
        <v>0</v>
      </c>
      <c r="G44" s="83">
        <f>IFERROR(INDEX(char1ArtiSetStats, MATCH('Character 1'!$L$14, artisDB!$A$1:$A$53, 0), MATCH(Calculations!C44, artisDB!$A$1:$AP$1, 0))+INDEX(char1ArtiSetStats, MATCH('Character 1'!$L$15, artisDB!$A$1:$A$53, 0), MATCH(Calculations!C44, artisDB!$A$1:$AP$1, 0)),0)</f>
        <v>0</v>
      </c>
      <c r="H44" s="45">
        <f>IFERROR(INDEX('Character 1'!$X$19:$Z$28, MATCH(Calculations!C44, 'Character 1'!$X$19:$X$28, 0), 3)*HLOOKUP('Character 1'!$Z$7, artifactSubstatValues, MATCH(Calculations!C44, 'Artifact Database'!$A$1:$A$11, 0)),0)</f>
        <v>0</v>
      </c>
      <c r="I44" s="83">
        <f>VLOOKUP(C44, 'Character 1'!$R$5:$T$50, 3,0)</f>
        <v>0</v>
      </c>
      <c r="J44" s="38"/>
      <c r="K44" s="83">
        <f t="shared" si="4"/>
        <v>0</v>
      </c>
      <c r="L44" s="35"/>
      <c r="N44" s="35"/>
      <c r="O44" s="238" t="s">
        <v>751</v>
      </c>
      <c r="P44" s="238"/>
      <c r="Q44" s="238"/>
      <c r="R44" s="35"/>
      <c r="AB44" s="35"/>
      <c r="AC44" s="36" t="s">
        <v>95</v>
      </c>
      <c r="AD44" s="105">
        <f t="shared" si="0"/>
        <v>0</v>
      </c>
      <c r="AE44" s="105">
        <f t="shared" si="1"/>
        <v>0</v>
      </c>
      <c r="AF44" s="105">
        <f t="shared" si="2"/>
        <v>0</v>
      </c>
      <c r="AG44" s="105">
        <f t="shared" si="3"/>
        <v>0</v>
      </c>
      <c r="AH44" s="35"/>
    </row>
    <row r="45" spans="2:34" x14ac:dyDescent="0.25">
      <c r="B45" s="35"/>
      <c r="C45" s="36" t="s">
        <v>96</v>
      </c>
      <c r="D45" s="45">
        <f t="shared" si="5"/>
        <v>0</v>
      </c>
      <c r="E45" s="41">
        <f t="shared" si="6"/>
        <v>0</v>
      </c>
      <c r="F45" s="45">
        <f>INDEX(char1Weapons, MATCH(C45, weaponsDB!$A$1:$A$48, 0), MATCH(char1WeaponName, weaponsDB!$A$1:$CS$1, 0))</f>
        <v>0</v>
      </c>
      <c r="G45" s="83">
        <f>IFERROR(INDEX(char1ArtiSetStats, MATCH('Character 1'!$L$14, artisDB!$A$1:$A$53, 0), MATCH(Calculations!C45, artisDB!$A$1:$AP$1, 0))+INDEX(char1ArtiSetStats, MATCH('Character 1'!$L$15, artisDB!$A$1:$A$53, 0), MATCH(Calculations!C45, artisDB!$A$1:$AP$1, 0)),0)</f>
        <v>0</v>
      </c>
      <c r="H45" s="45">
        <f>IFERROR(INDEX('Character 1'!$X$19:$Z$28, MATCH(Calculations!C45, 'Character 1'!$X$19:$X$28, 0), 3)*HLOOKUP('Character 1'!$Z$7, artifactSubstatValues, MATCH(Calculations!C45, 'Artifact Database'!$A$1:$A$11, 0)),0)</f>
        <v>0</v>
      </c>
      <c r="I45" s="83">
        <f>VLOOKUP(C45, 'Character 1'!$R$5:$T$50, 3,0)</f>
        <v>0</v>
      </c>
      <c r="J45" s="38"/>
      <c r="K45" s="83">
        <f t="shared" si="4"/>
        <v>0</v>
      </c>
      <c r="L45" s="35"/>
      <c r="N45" s="35"/>
      <c r="O45" s="238"/>
      <c r="P45" s="238"/>
      <c r="Q45" s="238"/>
      <c r="R45" s="35"/>
      <c r="AB45" s="35"/>
      <c r="AC45" s="36" t="s">
        <v>96</v>
      </c>
      <c r="AD45" s="105">
        <f t="shared" si="0"/>
        <v>0</v>
      </c>
      <c r="AE45" s="105">
        <f t="shared" si="1"/>
        <v>0</v>
      </c>
      <c r="AF45" s="105">
        <f t="shared" si="2"/>
        <v>0</v>
      </c>
      <c r="AG45" s="105">
        <f t="shared" si="3"/>
        <v>0</v>
      </c>
      <c r="AH45" s="35"/>
    </row>
    <row r="46" spans="2:34" x14ac:dyDescent="0.25">
      <c r="B46" s="35"/>
      <c r="C46" s="36" t="s">
        <v>97</v>
      </c>
      <c r="D46" s="45">
        <f t="shared" si="5"/>
        <v>0</v>
      </c>
      <c r="E46" s="41">
        <f t="shared" si="6"/>
        <v>0</v>
      </c>
      <c r="F46" s="45">
        <f>INDEX(char1Weapons, MATCH(C46, weaponsDB!$A$1:$A$48, 0), MATCH(char1WeaponName, weaponsDB!$A$1:$CS$1, 0))</f>
        <v>0</v>
      </c>
      <c r="G46" s="83">
        <f>IFERROR(INDEX(char1ArtiSetStats, MATCH('Character 1'!$L$14, artisDB!$A$1:$A$53, 0), MATCH(Calculations!C46, artisDB!$A$1:$AP$1, 0))+INDEX(char1ArtiSetStats, MATCH('Character 1'!$L$15, artisDB!$A$1:$A$53, 0), MATCH(Calculations!C46, artisDB!$A$1:$AP$1, 0)),0)</f>
        <v>0</v>
      </c>
      <c r="H46" s="45">
        <f>IFERROR(INDEX('Character 1'!$X$19:$Z$28, MATCH(Calculations!C46, 'Character 1'!$X$19:$X$28, 0), 3)*HLOOKUP('Character 1'!$Z$7, artifactSubstatValues, MATCH(Calculations!C46, 'Artifact Database'!$A$1:$A$11, 0)),0)</f>
        <v>0</v>
      </c>
      <c r="I46" s="83">
        <f>VLOOKUP(C46, 'Character 1'!$R$5:$T$50, 3,0)</f>
        <v>0</v>
      </c>
      <c r="J46" s="38"/>
      <c r="K46" s="83">
        <f t="shared" si="4"/>
        <v>0</v>
      </c>
      <c r="L46" s="35"/>
      <c r="N46" s="35"/>
      <c r="O46" s="239" t="s">
        <v>754</v>
      </c>
      <c r="P46" s="239"/>
      <c r="Q46" s="7">
        <f>char1BaseHP*(1+char1FinalHPPercent)+char1FinalFlatHP</f>
        <v>18478.28</v>
      </c>
      <c r="R46" s="35"/>
      <c r="AB46" s="35"/>
      <c r="AC46" s="36" t="s">
        <v>97</v>
      </c>
      <c r="AD46" s="105">
        <f t="shared" si="0"/>
        <v>0</v>
      </c>
      <c r="AE46" s="105">
        <f t="shared" si="1"/>
        <v>0</v>
      </c>
      <c r="AF46" s="105">
        <f t="shared" si="2"/>
        <v>0</v>
      </c>
      <c r="AG46" s="105">
        <f t="shared" si="3"/>
        <v>0</v>
      </c>
      <c r="AH46" s="35"/>
    </row>
    <row r="47" spans="2:34" x14ac:dyDescent="0.25">
      <c r="B47" s="35"/>
      <c r="C47" s="36" t="s">
        <v>98</v>
      </c>
      <c r="D47" s="45">
        <f t="shared" si="5"/>
        <v>0</v>
      </c>
      <c r="E47" s="41">
        <f t="shared" si="6"/>
        <v>0</v>
      </c>
      <c r="F47" s="45">
        <f>INDEX(char1Weapons, MATCH(C47, weaponsDB!$A$1:$A$48, 0), MATCH(char1WeaponName, weaponsDB!$A$1:$CS$1, 0))</f>
        <v>0</v>
      </c>
      <c r="G47" s="83">
        <f>IFERROR(INDEX(char1ArtiSetStats, MATCH('Character 1'!$L$14, artisDB!$A$1:$A$53, 0), MATCH(Calculations!C47, artisDB!$A$1:$AP$1, 0))+INDEX(char1ArtiSetStats, MATCH('Character 1'!$L$15, artisDB!$A$1:$A$53, 0), MATCH(Calculations!C47, artisDB!$A$1:$AP$1, 0)),0)</f>
        <v>0</v>
      </c>
      <c r="H47" s="45">
        <f>IFERROR(INDEX('Character 1'!$X$19:$Z$28, MATCH(Calculations!C47, 'Character 1'!$X$19:$X$28, 0), 3)*HLOOKUP('Character 1'!$Z$7, artifactSubstatValues, MATCH(Calculations!C47, 'Artifact Database'!$A$1:$A$11, 0)),0)</f>
        <v>0</v>
      </c>
      <c r="I47" s="83">
        <f>VLOOKUP(C47, 'Character 1'!$R$5:$T$50, 3,0)</f>
        <v>0</v>
      </c>
      <c r="J47" s="38"/>
      <c r="K47" s="83">
        <f t="shared" si="4"/>
        <v>0</v>
      </c>
      <c r="L47" s="35"/>
      <c r="N47" s="35"/>
      <c r="O47" s="239" t="s">
        <v>753</v>
      </c>
      <c r="P47" s="239"/>
      <c r="Q47" s="7">
        <f>char1BaseDEF*(1+char1FinalDEFPercent)+char1FinalFlatDEF</f>
        <v>864.37600000000009</v>
      </c>
      <c r="R47" s="35"/>
      <c r="AB47" s="35"/>
      <c r="AC47" s="36" t="s">
        <v>98</v>
      </c>
      <c r="AD47" s="105">
        <f t="shared" si="0"/>
        <v>0</v>
      </c>
      <c r="AE47" s="105">
        <f t="shared" si="1"/>
        <v>0</v>
      </c>
      <c r="AF47" s="105">
        <f t="shared" si="2"/>
        <v>0</v>
      </c>
      <c r="AG47" s="105">
        <f t="shared" si="3"/>
        <v>0</v>
      </c>
      <c r="AH47" s="35"/>
    </row>
    <row r="48" spans="2:34" x14ac:dyDescent="0.25">
      <c r="B48" s="35"/>
      <c r="C48" s="36" t="s">
        <v>424</v>
      </c>
      <c r="D48" s="45">
        <f t="shared" si="5"/>
        <v>0</v>
      </c>
      <c r="E48" s="41">
        <f t="shared" si="6"/>
        <v>0</v>
      </c>
      <c r="F48" s="45">
        <f>INDEX(char1Weapons, MATCH(C48, weaponsDB!$A$1:$A$48, 0), MATCH(char1WeaponName, weaponsDB!$A$1:$CS$1, 0))</f>
        <v>0.12</v>
      </c>
      <c r="G48" s="83">
        <f>IFERROR(INDEX(char1ArtiSetStats, MATCH('Character 1'!$L$14, artisDB!$A$1:$A$53, 0), MATCH(Calculations!C48, artisDB!$A$1:$AP$1, 0))+INDEX(char1ArtiSetStats, MATCH('Character 1'!$L$15, artisDB!$A$1:$A$53, 0), MATCH(Calculations!C48, artisDB!$A$1:$AP$1, 0)),0)</f>
        <v>0</v>
      </c>
      <c r="H48" s="45">
        <f>IFERROR(INDEX('Character 1'!$X$19:$Z$28, MATCH(Calculations!C48, 'Character 1'!$X$19:$X$28, 0), 3)*HLOOKUP('Character 1'!$Z$7, artifactSubstatValues, MATCH(Calculations!C48, 'Artifact Database'!$A$1:$A$11, 0)),0)</f>
        <v>0</v>
      </c>
      <c r="I48" s="83">
        <f>VLOOKUP(C48, 'Character 1'!$R$5:$T$50, 3,0)</f>
        <v>0</v>
      </c>
      <c r="J48" s="38"/>
      <c r="K48" s="83">
        <f t="shared" si="4"/>
        <v>0.12</v>
      </c>
      <c r="L48" s="35"/>
      <c r="N48" s="35"/>
      <c r="O48" s="239" t="s">
        <v>752</v>
      </c>
      <c r="P48" s="239"/>
      <c r="Q48" s="7">
        <f>(char1WeaponBaseATK+char1BaseATK)*(1+char1FinalATKPercent)+char1FinalFlatATK</f>
        <v>1839.8047999999999</v>
      </c>
      <c r="R48" s="35"/>
      <c r="AB48" s="35"/>
      <c r="AC48" s="36" t="s">
        <v>424</v>
      </c>
      <c r="AD48" s="105">
        <f t="shared" si="0"/>
        <v>0.12</v>
      </c>
      <c r="AE48" s="105">
        <f t="shared" si="1"/>
        <v>0.12</v>
      </c>
      <c r="AF48" s="105">
        <f t="shared" si="2"/>
        <v>0</v>
      </c>
      <c r="AG48" s="105">
        <f t="shared" si="3"/>
        <v>0</v>
      </c>
      <c r="AH48" s="35"/>
    </row>
    <row r="49" spans="2:34" x14ac:dyDescent="0.25">
      <c r="B49" s="35"/>
      <c r="C49" s="36" t="s">
        <v>425</v>
      </c>
      <c r="D49" s="45">
        <f t="shared" si="5"/>
        <v>0</v>
      </c>
      <c r="E49" s="41">
        <f t="shared" si="6"/>
        <v>0</v>
      </c>
      <c r="F49" s="45">
        <f>INDEX(char1Weapons, MATCH(C49, weaponsDB!$A$1:$A$48, 0), MATCH(char1WeaponName, weaponsDB!$A$1:$CS$1, 0))</f>
        <v>0</v>
      </c>
      <c r="G49" s="83">
        <f>IFERROR(INDEX(char1ArtiSetStats, MATCH('Character 1'!$L$14, artisDB!$A$1:$A$53, 0), MATCH(Calculations!C49, artisDB!$A$1:$AP$1, 0))+INDEX(char1ArtiSetStats, MATCH('Character 1'!$L$15, artisDB!$A$1:$A$53, 0), MATCH(Calculations!C49, artisDB!$A$1:$AP$1, 0)),0)</f>
        <v>0</v>
      </c>
      <c r="H49" s="45">
        <f>IFERROR(INDEX('Character 1'!$X$19:$Z$28, MATCH(Calculations!C49, 'Character 1'!$X$19:$X$28, 0), 3)*HLOOKUP('Character 1'!$Z$7, artifactSubstatValues, MATCH(Calculations!C49, 'Artifact Database'!$A$1:$A$11, 0)),0)</f>
        <v>0</v>
      </c>
      <c r="I49" s="83">
        <f>VLOOKUP(C49, 'Character 1'!$R$5:$T$50, 3,0)</f>
        <v>0</v>
      </c>
      <c r="J49" s="38"/>
      <c r="K49" s="83">
        <f t="shared" si="4"/>
        <v>0</v>
      </c>
      <c r="L49" s="35"/>
      <c r="N49" s="35"/>
      <c r="O49" s="35"/>
      <c r="P49" s="35"/>
      <c r="Q49" s="35"/>
      <c r="R49" s="35"/>
      <c r="AB49" s="35"/>
      <c r="AC49" s="36" t="s">
        <v>425</v>
      </c>
      <c r="AD49" s="105">
        <f t="shared" si="0"/>
        <v>0</v>
      </c>
      <c r="AE49" s="105">
        <f t="shared" si="1"/>
        <v>0</v>
      </c>
      <c r="AF49" s="105">
        <f t="shared" si="2"/>
        <v>0</v>
      </c>
      <c r="AG49" s="105">
        <f t="shared" si="3"/>
        <v>0</v>
      </c>
      <c r="AH49" s="35"/>
    </row>
    <row r="50" spans="2:34" x14ac:dyDescent="0.25">
      <c r="B50" s="35"/>
      <c r="C50" s="36" t="s">
        <v>438</v>
      </c>
      <c r="D50" s="45">
        <f t="shared" si="5"/>
        <v>0</v>
      </c>
      <c r="E50" s="41">
        <f t="shared" si="6"/>
        <v>0</v>
      </c>
      <c r="F50" s="45">
        <f>INDEX(char1Weapons, MATCH(C50, weaponsDB!$A$1:$A$48, 0), MATCH(char1WeaponName, weaponsDB!$A$1:$CS$1, 0))</f>
        <v>0</v>
      </c>
      <c r="G50" s="83">
        <f>IFERROR(INDEX(char1ArtiSetStats, MATCH('Character 1'!$L$14, artisDB!$A$1:$A$53, 0), MATCH(Calculations!C50, artisDB!$A$1:$AP$1, 0))+INDEX(char1ArtiSetStats, MATCH('Character 1'!$L$15, artisDB!$A$1:$A$53, 0), MATCH(Calculations!C50, artisDB!$A$1:$AP$1, 0)),0)</f>
        <v>0</v>
      </c>
      <c r="H50" s="45">
        <f>IFERROR(INDEX('Character 1'!$X$19:$Z$28, MATCH(Calculations!C50, 'Character 1'!$X$19:$X$28, 0), 3)*HLOOKUP('Character 1'!$Z$7, artifactSubstatValues, MATCH(Calculations!C50, 'Artifact Database'!$A$1:$A$11, 0)),0)</f>
        <v>0</v>
      </c>
      <c r="I50" s="83">
        <f>VLOOKUP(C50, 'Character 1'!$R$5:$T$50, 3,0)</f>
        <v>0</v>
      </c>
      <c r="J50" s="38"/>
      <c r="K50" s="83">
        <f t="shared" si="4"/>
        <v>0</v>
      </c>
      <c r="L50" s="35"/>
      <c r="AB50" s="35"/>
      <c r="AC50" s="36" t="s">
        <v>438</v>
      </c>
      <c r="AD50" s="105">
        <f t="shared" si="0"/>
        <v>0</v>
      </c>
      <c r="AE50" s="105">
        <f t="shared" si="1"/>
        <v>0</v>
      </c>
      <c r="AF50" s="105">
        <f t="shared" si="2"/>
        <v>0</v>
      </c>
      <c r="AG50" s="105">
        <f t="shared" si="3"/>
        <v>0</v>
      </c>
      <c r="AH50" s="35"/>
    </row>
    <row r="51" spans="2:34" x14ac:dyDescent="0.25">
      <c r="B51" s="35"/>
      <c r="C51" s="36" t="s">
        <v>426</v>
      </c>
      <c r="D51" s="45">
        <f t="shared" si="5"/>
        <v>0</v>
      </c>
      <c r="E51" s="41">
        <f t="shared" si="6"/>
        <v>0</v>
      </c>
      <c r="F51" s="45">
        <f>INDEX(char1Weapons, MATCH(C51, weaponsDB!$A$1:$A$48, 0), MATCH(char1WeaponName, weaponsDB!$A$1:$CS$1, 0))</f>
        <v>0</v>
      </c>
      <c r="G51" s="83">
        <f>IFERROR(INDEX(char1ArtiSetStats, MATCH('Character 1'!$L$14, artisDB!$A$1:$A$53, 0), MATCH(Calculations!C51, artisDB!$A$1:$AP$1, 0))+INDEX(char1ArtiSetStats, MATCH('Character 1'!$L$15, artisDB!$A$1:$A$53, 0), MATCH(Calculations!C51, artisDB!$A$1:$AP$1, 0)),0)</f>
        <v>0</v>
      </c>
      <c r="H51" s="45">
        <f>IFERROR(INDEX('Character 1'!$X$19:$Z$28, MATCH(Calculations!C51, 'Character 1'!$X$19:$X$28, 0), 3)*HLOOKUP('Character 1'!$Z$7, artifactSubstatValues, MATCH(Calculations!C51, 'Artifact Database'!$A$1:$A$11, 0)),0)</f>
        <v>0</v>
      </c>
      <c r="I51" s="83">
        <f>VLOOKUP(C51, 'Character 1'!$R$5:$T$50, 3,0)</f>
        <v>0</v>
      </c>
      <c r="J51" s="38"/>
      <c r="K51" s="83">
        <f t="shared" si="4"/>
        <v>0</v>
      </c>
      <c r="L51" s="35"/>
      <c r="AB51" s="35"/>
      <c r="AC51" s="36" t="s">
        <v>426</v>
      </c>
      <c r="AD51" s="105">
        <f t="shared" si="0"/>
        <v>0</v>
      </c>
      <c r="AE51" s="105">
        <f t="shared" si="1"/>
        <v>0</v>
      </c>
      <c r="AF51" s="105">
        <f t="shared" si="2"/>
        <v>0</v>
      </c>
      <c r="AG51" s="105">
        <f t="shared" si="3"/>
        <v>0</v>
      </c>
      <c r="AH51" s="35"/>
    </row>
    <row r="52" spans="2:34" x14ac:dyDescent="0.25">
      <c r="B52" s="35"/>
      <c r="C52" s="35"/>
      <c r="D52" s="35"/>
      <c r="E52" s="35"/>
      <c r="F52" s="35"/>
      <c r="G52" s="35"/>
      <c r="H52" s="35"/>
      <c r="I52" s="35"/>
      <c r="J52" s="35"/>
      <c r="K52" s="35"/>
      <c r="L52" s="35"/>
      <c r="AB52" s="35"/>
      <c r="AC52" s="35"/>
      <c r="AD52" s="35"/>
      <c r="AE52" s="35"/>
      <c r="AF52" s="35"/>
      <c r="AG52" s="35"/>
      <c r="AH52" s="35"/>
    </row>
    <row r="54" spans="2:34" x14ac:dyDescent="0.25">
      <c r="B54" s="35"/>
      <c r="C54" s="35"/>
      <c r="D54" s="35"/>
      <c r="E54" s="35"/>
      <c r="F54" s="35"/>
      <c r="G54" s="35"/>
      <c r="H54" s="35"/>
      <c r="I54" s="35"/>
      <c r="J54" s="35"/>
      <c r="K54" s="35"/>
      <c r="L54" s="35"/>
      <c r="N54" s="35"/>
      <c r="O54" s="35"/>
      <c r="P54" s="35"/>
      <c r="Q54" s="35"/>
      <c r="R54" s="35"/>
      <c r="T54" s="209"/>
      <c r="U54" s="209" t="s">
        <v>402</v>
      </c>
      <c r="V54" s="209" t="s">
        <v>51</v>
      </c>
      <c r="W54" s="209" t="s">
        <v>805</v>
      </c>
      <c r="X54" s="209" t="s">
        <v>794</v>
      </c>
    </row>
    <row r="55" spans="2:34" ht="15" customHeight="1" x14ac:dyDescent="0.25">
      <c r="B55" s="35"/>
      <c r="C55" s="237" t="s">
        <v>624</v>
      </c>
      <c r="D55" s="237"/>
      <c r="E55" s="237"/>
      <c r="F55" s="237"/>
      <c r="G55" s="237"/>
      <c r="H55" s="237"/>
      <c r="I55" s="237"/>
      <c r="J55" s="237"/>
      <c r="K55" s="237"/>
      <c r="L55" s="35"/>
      <c r="N55" s="35"/>
      <c r="O55" s="238" t="s">
        <v>421</v>
      </c>
      <c r="P55" s="238"/>
      <c r="Q55" s="238"/>
      <c r="R55" s="35"/>
      <c r="T55" s="7" t="s">
        <v>792</v>
      </c>
      <c r="U55" s="7" t="s">
        <v>64</v>
      </c>
      <c r="V55" s="7">
        <f>'Character 2'!$L$23</f>
        <v>5</v>
      </c>
      <c r="W55" s="7">
        <f>MATCH('Character 2'!$L$24, 'Artifact Database'!$F$1:$F$66, 0)+1</f>
        <v>2</v>
      </c>
      <c r="X55" s="7" cm="1">
        <f t="array" ref="X55">INDEX('Artifact Database'!$F$1:$W$66, Calculations!W55+V55, MATCH(Calculations!U55,'Artifact Database'!$F$1:$W$1, 0))</f>
        <v>1733</v>
      </c>
    </row>
    <row r="56" spans="2:34" ht="15" customHeight="1" x14ac:dyDescent="0.25">
      <c r="B56" s="35"/>
      <c r="C56" s="237"/>
      <c r="D56" s="237"/>
      <c r="E56" s="237"/>
      <c r="F56" s="237"/>
      <c r="G56" s="237"/>
      <c r="H56" s="237"/>
      <c r="I56" s="237"/>
      <c r="J56" s="237"/>
      <c r="K56" s="237"/>
      <c r="L56" s="35"/>
      <c r="N56" s="35"/>
      <c r="O56" s="238"/>
      <c r="P56" s="238"/>
      <c r="Q56" s="238"/>
      <c r="R56" s="35"/>
      <c r="T56" s="7" t="s">
        <v>793</v>
      </c>
      <c r="U56" s="7" t="s">
        <v>62</v>
      </c>
      <c r="V56" s="7">
        <f>'Character 2'!$L$25</f>
        <v>20</v>
      </c>
      <c r="W56" s="7">
        <f>MATCH('Character 2'!$L$26, 'Artifact Database'!$F$1:$F$66, 0)+1</f>
        <v>2</v>
      </c>
      <c r="X56" s="7" cm="1">
        <f t="array" ref="X56">INDEX('Artifact Database'!$F$1:$W$66, Calculations!W56+V56, MATCH(Calculations!U56,'Artifact Database'!$F$1:$W$1, 0))</f>
        <v>311</v>
      </c>
    </row>
    <row r="57" spans="2:34" x14ac:dyDescent="0.25">
      <c r="B57" s="35"/>
      <c r="C57" s="39" t="s">
        <v>402</v>
      </c>
      <c r="D57" s="38" t="s">
        <v>403</v>
      </c>
      <c r="E57" s="37" t="s">
        <v>404</v>
      </c>
      <c r="F57" s="38" t="s">
        <v>405</v>
      </c>
      <c r="G57" s="37" t="s">
        <v>406</v>
      </c>
      <c r="H57" s="38" t="s">
        <v>407</v>
      </c>
      <c r="I57" s="37" t="s">
        <v>61</v>
      </c>
      <c r="J57" s="38" t="s">
        <v>570</v>
      </c>
      <c r="K57" s="37" t="s">
        <v>408</v>
      </c>
      <c r="L57" s="35"/>
      <c r="N57" s="35"/>
      <c r="O57" s="239" t="s">
        <v>422</v>
      </c>
      <c r="P57" s="239"/>
      <c r="Q57" s="40">
        <f>char2Level</f>
        <v>90</v>
      </c>
      <c r="R57" s="35"/>
      <c r="T57" s="7" t="s">
        <v>441</v>
      </c>
      <c r="U57" s="7" t="str">
        <f>'Character 2'!L28</f>
        <v>EM</v>
      </c>
      <c r="V57" s="7">
        <f>'Character 2'!$L$27</f>
        <v>20</v>
      </c>
      <c r="W57" s="7">
        <f>MATCH('Character 2'!$L$29, 'Artifact Database'!$F$1:$F$66, 0)+1</f>
        <v>2</v>
      </c>
      <c r="X57" s="7" cm="1">
        <f t="array" ref="X57">INDEX('Artifact Database'!$F$1:$W$66, Calculations!W57+V57, MATCH(Calculations!U57,'Artifact Database'!$F$1:$W$1, 0))</f>
        <v>187</v>
      </c>
    </row>
    <row r="58" spans="2:34" x14ac:dyDescent="0.25">
      <c r="B58" s="35"/>
      <c r="C58" s="36" t="s">
        <v>62</v>
      </c>
      <c r="D58" s="38">
        <f>X56</f>
        <v>311</v>
      </c>
      <c r="E58" s="37">
        <v>0</v>
      </c>
      <c r="F58" s="38">
        <f>IFERROR(INDEX(char2Weapons, MATCH(C58, weaponsDB!$A$68:$A$132, 0), MATCH(char2WeaponName,weaponsDB!$A$68:$CS$68, 0)),0)</f>
        <v>0</v>
      </c>
      <c r="G58" s="37">
        <f>IFERROR(INDEX(char2ArtiSetStats, MATCH('Character 2'!$L$14,artisDB!$A$55:$A$107, 0), MATCH(C58, artisDB!$A$55:$AP$55, 0))+INDEX(char2ArtiSetStats, MATCH('Character 2'!$L$15,artisDB!$A$55:$A$107, 0), MATCH(C58, artisDB!$A$55:$AP$55, 0)),0)</f>
        <v>0</v>
      </c>
      <c r="H58" s="38">
        <f>IFERROR(INDEX('Character 2'!$X$19:$Z$28, MATCH(C58, 'Character 2'!$X$19:$X$28, 0), 3)*HLOOKUP('Character 2'!$Z$7, artifactSubstatValues, MATCH(C58, 'Artifact Database'!$A$1:$A$11, 0)),0)</f>
        <v>33.08</v>
      </c>
      <c r="I58" s="37">
        <f>VLOOKUP(C58, 'Character 2'!$R$5:$T$50, 3,0)</f>
        <v>1053.3600000000001</v>
      </c>
      <c r="J58" s="38"/>
      <c r="K58" s="37">
        <f>SUM(D58:J58)</f>
        <v>1397.44</v>
      </c>
      <c r="L58" s="35"/>
      <c r="N58" s="35"/>
      <c r="O58" s="35"/>
      <c r="P58" s="35"/>
      <c r="Q58" s="35"/>
      <c r="R58" s="35"/>
      <c r="T58" s="7" t="s">
        <v>440</v>
      </c>
      <c r="U58" s="7" t="str">
        <f>'Character 2'!L31</f>
        <v>Pyro DMG%</v>
      </c>
      <c r="V58" s="7">
        <f>'Character 2'!$L$30</f>
        <v>20</v>
      </c>
      <c r="W58" s="7">
        <f>MATCH('Character 2'!$L$32, 'Artifact Database'!$F$1:$F$66, 0)+1</f>
        <v>2</v>
      </c>
      <c r="X58" s="7" cm="1">
        <f t="array" ref="X58">INDEX('Artifact Database'!$F$1:$W$66, Calculations!W58+V58, MATCH(Calculations!U58,'Artifact Database'!$F$1:$W$1, 0))</f>
        <v>46.6</v>
      </c>
    </row>
    <row r="59" spans="2:34" x14ac:dyDescent="0.25">
      <c r="B59" s="35"/>
      <c r="C59" s="36" t="s">
        <v>63</v>
      </c>
      <c r="D59" s="38">
        <v>0</v>
      </c>
      <c r="E59" s="37">
        <v>0</v>
      </c>
      <c r="F59" s="38">
        <f>IFERROR(INDEX(char2Weapons, MATCH(C59, weaponsDB!$A$68:$A$132, 0), MATCH(char2WeaponName,weaponsDB!$A$68:$CS$68, 0)),0)</f>
        <v>0</v>
      </c>
      <c r="G59" s="37">
        <f>IFERROR(INDEX(char2ArtiSetStats, MATCH('Character 2'!$L$14,artisDB!$A$55:$A$107, 0), MATCH(C59, artisDB!$A$55:$AP$55, 0))+INDEX(char2ArtiSetStats, MATCH('Character 2'!$L$15,artisDB!$A$55:$A$107, 0), MATCH(C59, artisDB!$A$55:$AP$55, 0)),0)</f>
        <v>0</v>
      </c>
      <c r="H59" s="38">
        <f>IFERROR(INDEX('Character 2'!$X$19:$Z$28, MATCH(C59, 'Character 2'!$X$19:$X$28, 0), 3)*HLOOKUP('Character 2'!$Z$7, artifactSubstatValues, MATCH(C59, 'Artifact Database'!$A$1:$A$11, 0)),0)</f>
        <v>39.36</v>
      </c>
      <c r="I59" s="37">
        <f>VLOOKUP(C59, 'Character 2'!$R$5:$T$50, 3,0)</f>
        <v>0</v>
      </c>
      <c r="J59" s="38"/>
      <c r="K59" s="37">
        <f t="shared" ref="K59:K103" si="7">SUM(D59:J59)</f>
        <v>39.36</v>
      </c>
      <c r="L59" s="35"/>
      <c r="T59" s="7" t="s">
        <v>442</v>
      </c>
      <c r="U59" s="7" t="str">
        <f>'Character 2'!L34</f>
        <v>cr%</v>
      </c>
      <c r="V59" s="7">
        <f>'Character 2'!$L$33</f>
        <v>20</v>
      </c>
      <c r="W59" s="7">
        <f>MATCH('Character 2'!$L$35, 'Artifact Database'!$F$1:$F$66, 0)+1</f>
        <v>2</v>
      </c>
      <c r="X59" s="7" cm="1">
        <f t="array" ref="X59">INDEX('Artifact Database'!$F$1:$W$66, Calculations!W59+V59, MATCH(Calculations!U59,'Artifact Database'!$F$1:$W$1, 0))</f>
        <v>31.1</v>
      </c>
    </row>
    <row r="60" spans="2:34" x14ac:dyDescent="0.25">
      <c r="B60" s="35"/>
      <c r="C60" s="36" t="s">
        <v>64</v>
      </c>
      <c r="D60" s="38">
        <f>X55</f>
        <v>1733</v>
      </c>
      <c r="E60" s="37">
        <v>0</v>
      </c>
      <c r="F60" s="38">
        <f>IFERROR(INDEX(char2Weapons, MATCH(C60, weaponsDB!$A$68:$A$132, 0), MATCH(char2WeaponName,weaponsDB!$A$68:$CS$68, 0)),0)</f>
        <v>0</v>
      </c>
      <c r="G60" s="37">
        <f>IFERROR(INDEX(char2ArtiSetStats, MATCH('Character 2'!$L$14,artisDB!$A$55:$A$107, 0), MATCH(C60, artisDB!$A$55:$AP$55, 0))+INDEX(char2ArtiSetStats, MATCH('Character 2'!$L$15,artisDB!$A$55:$A$107, 0), MATCH(C60, artisDB!$A$55:$AP$55, 0)),0)</f>
        <v>0</v>
      </c>
      <c r="H60" s="38">
        <f>IFERROR(INDEX('Character 2'!$X$19:$Z$28, MATCH(C60, 'Character 2'!$X$19:$X$28, 0), 3)*HLOOKUP('Character 2'!$Z$7, artifactSubstatValues, MATCH(C60, 'Artifact Database'!$A$1:$A$11, 0)),0)</f>
        <v>507.88</v>
      </c>
      <c r="I60" s="37">
        <f>VLOOKUP(C60, 'Character 2'!$R$5:$T$50, 3,0)</f>
        <v>0</v>
      </c>
      <c r="J60" s="38"/>
      <c r="K60" s="37">
        <f t="shared" si="7"/>
        <v>2240.88</v>
      </c>
      <c r="L60" s="35"/>
    </row>
    <row r="61" spans="2:34" x14ac:dyDescent="0.25">
      <c r="B61" s="35"/>
      <c r="C61" s="36" t="s">
        <v>69</v>
      </c>
      <c r="D61" s="38">
        <f>IF(C61=$U$57, $X$57, 0)+IF(C61=$U$58, $X$58, 0)+IF(C61 = $U$59, $X$59, 0)</f>
        <v>187</v>
      </c>
      <c r="E61" s="37">
        <f ca="1">IFERROR(VLOOKUP(C61,$T$62:$U$67, 2, 0), 0)</f>
        <v>96</v>
      </c>
      <c r="F61" s="38">
        <f>IFERROR(INDEX(char2Weapons, MATCH(C61, weaponsDB!$A$68:$A$132, 0), MATCH(char2WeaponName,weaponsDB!$A$68:$CS$68, 0)),0)</f>
        <v>0</v>
      </c>
      <c r="G61" s="37">
        <f>IFERROR(INDEX(char2ArtiSetStats, MATCH('Character 2'!$L$14,artisDB!$A$55:$A$107, 0), MATCH(C61, artisDB!$A$55:$AP$55, 0))+INDEX(char2ArtiSetStats, MATCH('Character 2'!$L$15,artisDB!$A$55:$A$107, 0), MATCH(C61, artisDB!$A$55:$AP$55, 0)),0)</f>
        <v>0</v>
      </c>
      <c r="H61" s="38">
        <f>IFERROR(INDEX('Character 2'!$X$19:$Z$28, MATCH(C61, 'Character 2'!$X$19:$X$28, 0), 3)*HLOOKUP('Character 2'!$Z$7, artifactSubstatValues, MATCH(C61, 'Artifact Database'!$A$1:$A$11, 0)),0)</f>
        <v>39.64</v>
      </c>
      <c r="I61" s="37">
        <f>VLOOKUP(C61, 'Character 2'!$R$5:$T$50, 3,0)</f>
        <v>0</v>
      </c>
      <c r="J61" s="38"/>
      <c r="K61" s="37">
        <f t="shared" ca="1" si="7"/>
        <v>322.64</v>
      </c>
      <c r="L61" s="35"/>
      <c r="T61" s="7" t="s">
        <v>805</v>
      </c>
      <c r="U61" s="7">
        <f>MATCH(char2Name, 'Char Stats'!$A$1:$A$660, 0)</f>
        <v>496</v>
      </c>
    </row>
    <row r="62" spans="2:34" x14ac:dyDescent="0.25">
      <c r="B62" s="35"/>
      <c r="C62" s="36" t="s">
        <v>65</v>
      </c>
      <c r="D62" s="45">
        <f t="shared" ref="D62:D103" si="8">(IF(C62=$U$57, $X$57, 0)+IF(C62=$U$58, $X$58, 0)+IF(C62 = $U$59, $X$59, 0))/100</f>
        <v>0</v>
      </c>
      <c r="E62" s="83">
        <f t="shared" ref="E62:E103" si="9">IFERROR(VLOOKUP(C62,$T$62:$U$67, 2, 0), 0)</f>
        <v>0</v>
      </c>
      <c r="F62" s="45">
        <f>IFERROR(INDEX(char2Weapons, MATCH(C62, weaponsDB!$A$68:$A$132, 0), MATCH(char2WeaponName,weaponsDB!$A$68:$CS$68, 0)),0)</f>
        <v>0</v>
      </c>
      <c r="G62" s="83">
        <f>IFERROR(INDEX(char2ArtiSetStats, MATCH('Character 2'!$L$14,artisDB!$A$55:$A$107, 0), MATCH(C62, artisDB!$A$55:$AP$55, 0))+INDEX(char2ArtiSetStats, MATCH('Character 2'!$L$15,artisDB!$A$55:$A$107, 0), MATCH(C62, artisDB!$A$55:$AP$55, 0)),0)</f>
        <v>0</v>
      </c>
      <c r="H62" s="45">
        <f>IFERROR(INDEX('Character 2'!$X$19:$Z$28, MATCH(C62, 'Character 2'!$X$19:$X$28, 0), 3)*HLOOKUP('Character 2'!$Z$7, artifactSubstatValues, MATCH(C62, 'Artifact Database'!$A$1:$A$11, 0)),0)</f>
        <v>9.9199999999999997E-2</v>
      </c>
      <c r="I62" s="83">
        <f>VLOOKUP(C62, 'Character 2'!$R$5:$T$50, 3,0)</f>
        <v>0.25</v>
      </c>
      <c r="J62" s="38"/>
      <c r="K62" s="83">
        <f t="shared" si="7"/>
        <v>0.34920000000000001</v>
      </c>
      <c r="L62" s="35"/>
      <c r="T62" s="7" t="s">
        <v>410</v>
      </c>
      <c r="U62" s="7" cm="1">
        <f t="array" ref="U62">INDEX('Char Stats'!$A$1:$G$660, MATCH(Calculations!$Q$57, 'Char Stats'!$A$1:$A$15, 0)+$U$61-1, MATCH(Calculations!T62, 'Char Stats'!$A$1:$G$1, 0))</f>
        <v>10875</v>
      </c>
    </row>
    <row r="63" spans="2:34" x14ac:dyDescent="0.25">
      <c r="B63" s="35"/>
      <c r="C63" s="36" t="s">
        <v>66</v>
      </c>
      <c r="D63" s="45">
        <f t="shared" si="8"/>
        <v>0</v>
      </c>
      <c r="E63" s="83">
        <f t="shared" si="9"/>
        <v>0</v>
      </c>
      <c r="F63" s="45">
        <f>IFERROR(INDEX(char2Weapons, MATCH(C63, weaponsDB!$A$68:$A$132, 0), MATCH(char2WeaponName,weaponsDB!$A$68:$CS$68, 0)),0)</f>
        <v>0</v>
      </c>
      <c r="G63" s="83">
        <f>IFERROR(INDEX(char2ArtiSetStats, MATCH('Character 2'!$L$14,artisDB!$A$55:$A$107, 0), MATCH(C63, artisDB!$A$55:$AP$55, 0))+INDEX(char2ArtiSetStats, MATCH('Character 2'!$L$15,artisDB!$A$55:$A$107, 0), MATCH(C63, artisDB!$A$55:$AP$55, 0)),0)</f>
        <v>0</v>
      </c>
      <c r="H63" s="45">
        <f>IFERROR(INDEX('Character 2'!$X$19:$Z$28, MATCH(C63, 'Character 2'!$X$19:$X$28, 0), 3)*HLOOKUP('Character 2'!$Z$7, artifactSubstatValues, MATCH(C63, 'Artifact Database'!$A$1:$A$11, 0)),0)</f>
        <v>0.124</v>
      </c>
      <c r="I63" s="83">
        <f>VLOOKUP(C63, 'Character 2'!$R$5:$T$50, 3,0)</f>
        <v>0</v>
      </c>
      <c r="J63" s="38"/>
      <c r="K63" s="83">
        <f t="shared" si="7"/>
        <v>0.124</v>
      </c>
      <c r="L63" s="35"/>
      <c r="T63" s="7" t="s">
        <v>411</v>
      </c>
      <c r="U63" s="7" cm="1">
        <f t="array" ref="U63">INDEX('Char Stats'!$A$1:$G$660, MATCH(Calculations!$Q$57, 'Char Stats'!$A$1:$A$15, 0)+$U$61-1, MATCH(Calculations!T63, 'Char Stats'!$A$1:$G$1, 0))</f>
        <v>225</v>
      </c>
    </row>
    <row r="64" spans="2:34" x14ac:dyDescent="0.25">
      <c r="B64" s="35"/>
      <c r="C64" s="36" t="s">
        <v>67</v>
      </c>
      <c r="D64" s="45">
        <f t="shared" si="8"/>
        <v>0</v>
      </c>
      <c r="E64" s="83">
        <f t="shared" si="9"/>
        <v>0</v>
      </c>
      <c r="F64" s="45">
        <f>IFERROR(INDEX(char2Weapons, MATCH(C64, weaponsDB!$A$68:$A$132, 0), MATCH(char2WeaponName,weaponsDB!$A$68:$CS$68, 0)),0)</f>
        <v>0</v>
      </c>
      <c r="G64" s="83">
        <f>IFERROR(INDEX(char2ArtiSetStats, MATCH('Character 2'!$L$14,artisDB!$A$55:$A$107, 0), MATCH(C64, artisDB!$A$55:$AP$55, 0))+INDEX(char2ArtiSetStats, MATCH('Character 2'!$L$15,artisDB!$A$55:$A$107, 0), MATCH(C64, artisDB!$A$55:$AP$55, 0)),0)</f>
        <v>0</v>
      </c>
      <c r="H64" s="45">
        <f>IFERROR(INDEX('Character 2'!$X$19:$Z$28, MATCH(C64, 'Character 2'!$X$19:$X$28, 0), 3)*HLOOKUP('Character 2'!$Z$7, artifactSubstatValues, MATCH(C64, 'Artifact Database'!$A$1:$A$11, 0)),0)</f>
        <v>9.9199999999999997E-2</v>
      </c>
      <c r="I64" s="83">
        <f>VLOOKUP(C64, 'Character 2'!$R$5:$T$50, 3,0)</f>
        <v>0</v>
      </c>
      <c r="J64" s="38"/>
      <c r="K64" s="83">
        <f t="shared" si="7"/>
        <v>9.9199999999999997E-2</v>
      </c>
      <c r="L64" s="35"/>
      <c r="T64" s="7" t="s">
        <v>412</v>
      </c>
      <c r="U64" s="7" cm="1">
        <f t="array" ref="U64">INDEX('Char Stats'!$A$1:$G$660, MATCH(Calculations!$Q$57, 'Char Stats'!$A$1:$A$15, 0)+$U$61-1, MATCH(Calculations!T64, 'Char Stats'!$A$1:$G$1, 0))</f>
        <v>669</v>
      </c>
    </row>
    <row r="65" spans="2:21" x14ac:dyDescent="0.25">
      <c r="B65" s="35"/>
      <c r="C65" s="36" t="s">
        <v>413</v>
      </c>
      <c r="D65" s="45">
        <f t="shared" si="8"/>
        <v>0.311</v>
      </c>
      <c r="E65" s="83">
        <f t="shared" ca="1" si="9"/>
        <v>0.05</v>
      </c>
      <c r="F65" s="45">
        <f>IFERROR(INDEX(char2Weapons, MATCH(C65, weaponsDB!$A$68:$A$132, 0), MATCH(char2WeaponName,weaponsDB!$A$68:$CS$68, 0)),0)</f>
        <v>0</v>
      </c>
      <c r="G65" s="83">
        <f>IFERROR(INDEX(char2ArtiSetStats, MATCH('Character 2'!$L$14,artisDB!$A$55:$A$107, 0), MATCH(C65, artisDB!$A$55:$AP$55, 0))+INDEX(char2ArtiSetStats, MATCH('Character 2'!$L$15,artisDB!$A$55:$A$107, 0), MATCH(C65, artisDB!$A$55:$AP$55, 0)),0)</f>
        <v>0</v>
      </c>
      <c r="H65" s="45">
        <f>IFERROR(INDEX('Character 2'!$X$19:$Z$28, MATCH(C65, 'Character 2'!$X$19:$X$28, 0), 3)*HLOOKUP('Character 2'!$Z$7, artifactSubstatValues, MATCH(C65, 'Artifact Database'!$A$1:$A$11, 0)),0)</f>
        <v>0.1986</v>
      </c>
      <c r="I65" s="83">
        <f>VLOOKUP(C65, 'Character 2'!$R$5:$T$50, 3,0)</f>
        <v>0</v>
      </c>
      <c r="J65" s="38"/>
      <c r="K65" s="83">
        <f ca="1">IF(SUM(D65:J65)&gt;100%, 100%, IF(SUM(D65:J65)&lt;0%, 0%, SUM(D65:J65)))</f>
        <v>0.55959999999999999</v>
      </c>
      <c r="L65" s="35"/>
      <c r="N65" s="35"/>
      <c r="O65" s="35"/>
      <c r="P65" s="35"/>
      <c r="Q65" s="35"/>
      <c r="R65" s="35"/>
      <c r="T65" s="7" t="str" cm="1">
        <f t="array" ref="T65">INDEX('Char Stats'!$A$1:$G$660, $U$61, 5)</f>
        <v>EM</v>
      </c>
      <c r="U65" s="105">
        <f ca="1">INDEX(INDIRECT(char2Name&amp;"BaseStats"), MATCH(char2Level,  INDEX(INDIRECT(char2Name&amp;"BaseStats"), 0, 1), 0), MATCH(T65, INDEX(INDIRECT(char2Name&amp;"BaseStats"), 1, 0), 0))*IF(NOT(T65="EM"), 0.01, 1)</f>
        <v>96</v>
      </c>
    </row>
    <row r="66" spans="2:21" x14ac:dyDescent="0.25">
      <c r="B66" s="35"/>
      <c r="C66" s="36" t="s">
        <v>414</v>
      </c>
      <c r="D66" s="45">
        <f t="shared" si="8"/>
        <v>0</v>
      </c>
      <c r="E66" s="83">
        <f t="shared" ca="1" si="9"/>
        <v>0.5</v>
      </c>
      <c r="F66" s="45">
        <f>IFERROR(INDEX(char2Weapons, MATCH(C66, weaponsDB!$A$68:$A$132, 0), MATCH(char2WeaponName,weaponsDB!$A$68:$CS$68, 0)),0)</f>
        <v>0</v>
      </c>
      <c r="G66" s="83">
        <f>IFERROR(INDEX(char2ArtiSetStats, MATCH('Character 2'!$L$14,artisDB!$A$55:$A$107, 0), MATCH(C66, artisDB!$A$55:$AP$55, 0))+INDEX(char2ArtiSetStats, MATCH('Character 2'!$L$15,artisDB!$A$55:$A$107, 0), MATCH(C66, artisDB!$A$55:$AP$55, 0)),0)</f>
        <v>0</v>
      </c>
      <c r="H66" s="45">
        <f>IFERROR(INDEX('Character 2'!$X$19:$Z$28, MATCH(C66, 'Character 2'!$X$19:$X$28, 0), 3)*HLOOKUP('Character 2'!$Z$7, artifactSubstatValues, MATCH(C66, 'Artifact Database'!$A$1:$A$11, 0)),0)</f>
        <v>0.86059999999999992</v>
      </c>
      <c r="I66" s="83">
        <f>VLOOKUP(C66, 'Character 2'!$R$5:$T$50, 3,0)</f>
        <v>0</v>
      </c>
      <c r="J66" s="38"/>
      <c r="K66" s="83">
        <f t="shared" ca="1" si="7"/>
        <v>1.3605999999999998</v>
      </c>
      <c r="L66" s="35"/>
      <c r="N66" s="35"/>
      <c r="O66" s="238" t="s">
        <v>628</v>
      </c>
      <c r="P66" s="238"/>
      <c r="Q66" s="238"/>
      <c r="R66" s="35"/>
      <c r="T66" s="7" t="str" cm="1">
        <f t="array" ref="T66">INDEX('Char Stats'!$A$1:$G$660, $U$61, 6)</f>
        <v>CR%</v>
      </c>
      <c r="U66" s="105">
        <f ca="1">INDEX(INDIRECT(char2Name&amp;"BaseStats"), MATCH(char2Level,  INDEX(INDIRECT(char2Name&amp;"BaseStats"), 0, 1), 0), MATCH(T66, INDEX(INDIRECT(char2Name&amp;"BaseStats"), 1, 0), 0))*IF(NOT(T66="EM"), 0.01, 1)</f>
        <v>0.05</v>
      </c>
    </row>
    <row r="67" spans="2:21" x14ac:dyDescent="0.25">
      <c r="B67" s="35"/>
      <c r="C67" s="36" t="s">
        <v>68</v>
      </c>
      <c r="D67" s="45">
        <f t="shared" si="8"/>
        <v>0</v>
      </c>
      <c r="E67" s="83">
        <f t="shared" si="9"/>
        <v>0</v>
      </c>
      <c r="F67" s="45">
        <f>IFERROR(INDEX(char2Weapons, MATCH(C67, weaponsDB!$A$68:$A$132, 0), MATCH(char2WeaponName,weaponsDB!$A$68:$CS$68, 0)),0)</f>
        <v>0.45900000000000002</v>
      </c>
      <c r="G67" s="83">
        <f>IFERROR(INDEX(char2ArtiSetStats, MATCH('Character 2'!$L$14,artisDB!$A$55:$A$107, 0), MATCH(C67, artisDB!$A$55:$AP$55, 0))+INDEX(char2ArtiSetStats, MATCH('Character 2'!$L$15,artisDB!$A$55:$A$107, 0), MATCH(C67, artisDB!$A$55:$AP$55, 0)),0)</f>
        <v>0</v>
      </c>
      <c r="H67" s="45">
        <f>IFERROR(INDEX('Character 2'!$X$19:$Z$28, MATCH(C67, 'Character 2'!$X$19:$X$28, 0), 3)*HLOOKUP('Character 2'!$Z$7, artifactSubstatValues, MATCH(C67, 'Artifact Database'!$A$1:$A$11, 0)),0)</f>
        <v>0.38570000000000004</v>
      </c>
      <c r="I67" s="83">
        <f>VLOOKUP(C67, 'Character 2'!$R$5:$T$50, 3,0)</f>
        <v>0</v>
      </c>
      <c r="J67" s="38"/>
      <c r="K67" s="83">
        <f>SUM(D67:J67)+100%</f>
        <v>1.8447</v>
      </c>
      <c r="L67" s="35"/>
      <c r="N67" s="35"/>
      <c r="O67" s="238"/>
      <c r="P67" s="238"/>
      <c r="Q67" s="238"/>
      <c r="R67" s="35"/>
      <c r="T67" s="7" t="str" cm="1">
        <f t="array" ref="T67">INDEX('Char Stats'!$A$1:$G$660, $U$61, 7)</f>
        <v>CDMG%</v>
      </c>
      <c r="U67" s="105">
        <f ca="1">INDEX(INDIRECT(char2Name&amp;"BaseStats"), MATCH(char2Level, INDEX(INDIRECT(char2Name&amp;"BaseStats"), 0, 1), 0), MATCH(T67, INDEX(INDIRECT(char2Name&amp;"BaseStats"), 1, 0), 0))*IF(NOT(T67="EM"), 0.01, 1)</f>
        <v>0.5</v>
      </c>
    </row>
    <row r="68" spans="2:21" x14ac:dyDescent="0.25">
      <c r="B68" s="35"/>
      <c r="C68" s="36" t="s">
        <v>82</v>
      </c>
      <c r="D68" s="45">
        <f t="shared" si="8"/>
        <v>0</v>
      </c>
      <c r="E68" s="83">
        <f t="shared" si="9"/>
        <v>0</v>
      </c>
      <c r="F68" s="45">
        <f>IFERROR(INDEX(char2Weapons, MATCH(C68, weaponsDB!$A$68:$A$132, 0), MATCH(char2WeaponName,weaponsDB!$A$68:$CS$68, 0)),0)</f>
        <v>0</v>
      </c>
      <c r="G68" s="83">
        <f>IFERROR(INDEX(char2ArtiSetStats, MATCH('Character 2'!$L$14,artisDB!$A$55:$A$107, 0), MATCH(C68, artisDB!$A$55:$AP$55, 0))+INDEX(char2ArtiSetStats, MATCH('Character 2'!$L$15,artisDB!$A$55:$A$107, 0), MATCH(C68, artisDB!$A$55:$AP$55, 0)),0)</f>
        <v>0</v>
      </c>
      <c r="H68" s="45">
        <f>IFERROR(INDEX('Character 2'!$X$19:$Z$28, MATCH(C68, 'Character 2'!$X$19:$X$28, 0), 3)*HLOOKUP('Character 2'!$Z$7, artifactSubstatValues, MATCH(C68, 'Artifact Database'!$A$1:$A$11, 0)),0)</f>
        <v>0</v>
      </c>
      <c r="I68" s="83">
        <f>VLOOKUP(C68, 'Character 2'!$R$5:$T$50, 3,0)</f>
        <v>0</v>
      </c>
      <c r="J68" s="38"/>
      <c r="K68" s="83">
        <f t="shared" si="7"/>
        <v>0</v>
      </c>
      <c r="L68" s="35"/>
      <c r="N68" s="35"/>
      <c r="O68" s="239" t="s">
        <v>422</v>
      </c>
      <c r="P68" s="239"/>
      <c r="Q68" s="104">
        <f>VALUE(LEFT(Q57, 2))</f>
        <v>90</v>
      </c>
      <c r="R68" s="35"/>
    </row>
    <row r="69" spans="2:21" x14ac:dyDescent="0.25">
      <c r="B69" s="35"/>
      <c r="C69" s="36" t="s">
        <v>70</v>
      </c>
      <c r="D69" s="45">
        <f t="shared" si="8"/>
        <v>0</v>
      </c>
      <c r="E69" s="83">
        <f t="shared" si="9"/>
        <v>0</v>
      </c>
      <c r="F69" s="45">
        <f>IFERROR(INDEX(char2Weapons, MATCH(C69, weaponsDB!$A$68:$A$132, 0), MATCH(char2WeaponName,weaponsDB!$A$68:$CS$68, 0)),0)</f>
        <v>0</v>
      </c>
      <c r="G69" s="83">
        <f>IFERROR(INDEX(char2ArtiSetStats, MATCH('Character 2'!$L$14,artisDB!$A$55:$A$107, 0), MATCH(C69, artisDB!$A$55:$AP$55, 0))+INDEX(char2ArtiSetStats, MATCH('Character 2'!$L$15,artisDB!$A$55:$A$107, 0), MATCH(C69, artisDB!$A$55:$AP$55, 0)),0)</f>
        <v>0</v>
      </c>
      <c r="H69" s="45">
        <f>IFERROR(INDEX('Character 2'!$X$19:$Z$28, MATCH(C69, 'Character 2'!$X$19:$X$28, 0), 3)*HLOOKUP('Character 2'!$Z$7, artifactSubstatValues, MATCH(C69, 'Artifact Database'!$A$1:$A$11, 0)),0)</f>
        <v>0</v>
      </c>
      <c r="I69" s="83">
        <f>VLOOKUP(C69, 'Character 2'!$R$5:$T$50, 3,0)</f>
        <v>0</v>
      </c>
      <c r="J69" s="38"/>
      <c r="K69" s="83">
        <f t="shared" si="7"/>
        <v>0</v>
      </c>
      <c r="L69" s="35"/>
      <c r="N69" s="35"/>
      <c r="O69" s="239" t="s">
        <v>25</v>
      </c>
      <c r="P69" s="239"/>
      <c r="Q69" s="7">
        <f>'Character 1'!$E$29</f>
        <v>90</v>
      </c>
      <c r="R69" s="35"/>
    </row>
    <row r="70" spans="2:21" x14ac:dyDescent="0.25">
      <c r="B70" s="35"/>
      <c r="C70" s="36" t="s">
        <v>71</v>
      </c>
      <c r="D70" s="45">
        <f t="shared" si="8"/>
        <v>0</v>
      </c>
      <c r="E70" s="83">
        <f t="shared" si="9"/>
        <v>0</v>
      </c>
      <c r="F70" s="45">
        <f>IFERROR(INDEX(char2Weapons, MATCH(C70, weaponsDB!$A$68:$A$132, 0), MATCH(char2WeaponName,weaponsDB!$A$68:$CS$68, 0)),0)</f>
        <v>0</v>
      </c>
      <c r="G70" s="83">
        <f>IFERROR(INDEX(char2ArtiSetStats, MATCH('Character 2'!$L$14,artisDB!$A$55:$A$107, 0), MATCH(C70, artisDB!$A$55:$AP$55, 0))+INDEX(char2ArtiSetStats, MATCH('Character 2'!$L$15,artisDB!$A$55:$A$107, 0), MATCH(C70, artisDB!$A$55:$AP$55, 0)),0)</f>
        <v>0</v>
      </c>
      <c r="H70" s="45">
        <f>IFERROR(INDEX('Character 2'!$X$19:$Z$28, MATCH(C70, 'Character 2'!$X$19:$X$28, 0), 3)*HLOOKUP('Character 2'!$Z$7, artifactSubstatValues, MATCH(C70, 'Artifact Database'!$A$1:$A$11, 0)),0)</f>
        <v>0</v>
      </c>
      <c r="I70" s="83">
        <f>VLOOKUP(C70, 'Character 2'!$R$5:$T$50, 3,0)</f>
        <v>0</v>
      </c>
      <c r="J70" s="38"/>
      <c r="K70" s="83">
        <f t="shared" si="7"/>
        <v>0</v>
      </c>
      <c r="L70" s="35"/>
      <c r="N70" s="35"/>
      <c r="O70" s="239" t="s">
        <v>649</v>
      </c>
      <c r="P70" s="239"/>
      <c r="Q70" s="7">
        <f>IF(Q68&lt;60, 0.0002325*Q68^3+0.05547*Q68^2-0.2523*Q68+14.47, 0.00194*Q68^3-0.319*Q68^2+30.7*Q68-868)</f>
        <v>725.3599999999999</v>
      </c>
      <c r="R70" s="35"/>
    </row>
    <row r="71" spans="2:21" x14ac:dyDescent="0.25">
      <c r="B71" s="35"/>
      <c r="C71" s="36" t="s">
        <v>72</v>
      </c>
      <c r="D71" s="45">
        <f t="shared" si="8"/>
        <v>0</v>
      </c>
      <c r="E71" s="83">
        <f t="shared" si="9"/>
        <v>0</v>
      </c>
      <c r="F71" s="45">
        <f>IFERROR(INDEX(char2Weapons, MATCH(C71, weaponsDB!$A$68:$A$132, 0), MATCH(char2WeaponName,weaponsDB!$A$68:$CS$68, 0)),0)</f>
        <v>0</v>
      </c>
      <c r="G71" s="83">
        <f>IFERROR(INDEX(char2ArtiSetStats, MATCH('Character 2'!$L$14,artisDB!$A$55:$A$107, 0), MATCH(C71, artisDB!$A$55:$AP$55, 0))+INDEX(char2ArtiSetStats, MATCH('Character 2'!$L$15,artisDB!$A$55:$A$107, 0), MATCH(C71, artisDB!$A$55:$AP$55, 0)),0)</f>
        <v>0</v>
      </c>
      <c r="H71" s="45">
        <f>IFERROR(INDEX('Character 2'!$X$19:$Z$28, MATCH(C71, 'Character 2'!$X$19:$X$28, 0), 3)*HLOOKUP('Character 2'!$Z$7, artifactSubstatValues, MATCH(C71, 'Artifact Database'!$A$1:$A$11, 0)),0)</f>
        <v>0</v>
      </c>
      <c r="I71" s="83">
        <f>VLOOKUP(C71, 'Character 2'!$R$5:$T$50, 3,0)</f>
        <v>0</v>
      </c>
      <c r="J71" s="38"/>
      <c r="K71" s="83">
        <f t="shared" si="7"/>
        <v>0</v>
      </c>
      <c r="L71" s="35"/>
      <c r="N71" s="35"/>
      <c r="O71" s="35"/>
      <c r="P71" s="35"/>
      <c r="Q71" s="35"/>
      <c r="R71" s="35"/>
    </row>
    <row r="72" spans="2:21" x14ac:dyDescent="0.25">
      <c r="B72" s="35"/>
      <c r="C72" s="36" t="s">
        <v>73</v>
      </c>
      <c r="D72" s="45">
        <f t="shared" si="8"/>
        <v>0.46600000000000003</v>
      </c>
      <c r="E72" s="83">
        <f t="shared" si="9"/>
        <v>0</v>
      </c>
      <c r="F72" s="45">
        <f>IFERROR(INDEX(char2Weapons, MATCH(C72, weaponsDB!$A$68:$A$132, 0), MATCH(char2WeaponName,weaponsDB!$A$68:$CS$68, 0)),0)</f>
        <v>0</v>
      </c>
      <c r="G72" s="83">
        <f>IFERROR(INDEX(char2ArtiSetStats, MATCH('Character 2'!$L$14,artisDB!$A$55:$A$107, 0), MATCH(C72, artisDB!$A$55:$AP$55, 0))+INDEX(char2ArtiSetStats, MATCH('Character 2'!$L$15,artisDB!$A$55:$A$107, 0), MATCH(C72, artisDB!$A$55:$AP$55, 0)),0)</f>
        <v>0.22499999999999998</v>
      </c>
      <c r="H72" s="45">
        <f>IFERROR(INDEX('Character 2'!$X$19:$Z$28, MATCH(C72, 'Character 2'!$X$19:$X$28, 0), 3)*HLOOKUP('Character 2'!$Z$7, artifactSubstatValues, MATCH(C72, 'Artifact Database'!$A$1:$A$11, 0)),0)</f>
        <v>0</v>
      </c>
      <c r="I72" s="83">
        <f>VLOOKUP(C72, 'Character 2'!$R$5:$T$50, 3,0)</f>
        <v>0</v>
      </c>
      <c r="J72" s="38"/>
      <c r="K72" s="83">
        <f t="shared" si="7"/>
        <v>0.69100000000000006</v>
      </c>
      <c r="L72" s="35"/>
    </row>
    <row r="73" spans="2:21" x14ac:dyDescent="0.25">
      <c r="B73" s="35"/>
      <c r="C73" s="36" t="s">
        <v>74</v>
      </c>
      <c r="D73" s="45">
        <f t="shared" si="8"/>
        <v>0</v>
      </c>
      <c r="E73" s="83">
        <f t="shared" si="9"/>
        <v>0</v>
      </c>
      <c r="F73" s="45">
        <f>IFERROR(INDEX(char2Weapons, MATCH(C73, weaponsDB!$A$68:$A$132, 0), MATCH(char2WeaponName,weaponsDB!$A$68:$CS$68, 0)),0)</f>
        <v>0</v>
      </c>
      <c r="G73" s="83">
        <f>IFERROR(INDEX(char2ArtiSetStats, MATCH('Character 2'!$L$14,artisDB!$A$55:$A$107, 0), MATCH(C73, artisDB!$A$55:$AP$55, 0))+INDEX(char2ArtiSetStats, MATCH('Character 2'!$L$15,artisDB!$A$55:$A$107, 0), MATCH(C73, artisDB!$A$55:$AP$55, 0)),0)</f>
        <v>0</v>
      </c>
      <c r="H73" s="45">
        <f>IFERROR(INDEX('Character 2'!$X$19:$Z$28, MATCH(C73, 'Character 2'!$X$19:$X$28, 0), 3)*HLOOKUP('Character 2'!$Z$7, artifactSubstatValues, MATCH(C73, 'Artifact Database'!$A$1:$A$11, 0)),0)</f>
        <v>0</v>
      </c>
      <c r="I73" s="83">
        <f>VLOOKUP(C73, 'Character 2'!$R$5:$T$50, 3,0)</f>
        <v>0</v>
      </c>
      <c r="J73" s="38"/>
      <c r="K73" s="83">
        <f t="shared" si="7"/>
        <v>0</v>
      </c>
      <c r="L73" s="35"/>
      <c r="N73" s="35"/>
      <c r="O73" s="35"/>
      <c r="P73" s="35"/>
      <c r="Q73" s="35"/>
      <c r="R73" s="35"/>
    </row>
    <row r="74" spans="2:21" x14ac:dyDescent="0.25">
      <c r="B74" s="35"/>
      <c r="C74" s="36" t="s">
        <v>75</v>
      </c>
      <c r="D74" s="45">
        <f t="shared" si="8"/>
        <v>0</v>
      </c>
      <c r="E74" s="83">
        <f t="shared" si="9"/>
        <v>0</v>
      </c>
      <c r="F74" s="45">
        <f>IFERROR(INDEX(char2Weapons, MATCH(C74, weaponsDB!$A$68:$A$132, 0), MATCH(char2WeaponName,weaponsDB!$A$68:$CS$68, 0)),0)</f>
        <v>0</v>
      </c>
      <c r="G74" s="83">
        <f>IFERROR(INDEX(char2ArtiSetStats, MATCH('Character 2'!$L$14,artisDB!$A$55:$A$107, 0), MATCH(C74, artisDB!$A$55:$AP$55, 0))+INDEX(char2ArtiSetStats, MATCH('Character 2'!$L$15,artisDB!$A$55:$A$107, 0), MATCH(C74, artisDB!$A$55:$AP$55, 0)),0)</f>
        <v>0</v>
      </c>
      <c r="H74" s="45">
        <f>IFERROR(INDEX('Character 2'!$X$19:$Z$28, MATCH(C74, 'Character 2'!$X$19:$X$28, 0), 3)*HLOOKUP('Character 2'!$Z$7, artifactSubstatValues, MATCH(C74, 'Artifact Database'!$A$1:$A$11, 0)),0)</f>
        <v>0</v>
      </c>
      <c r="I74" s="83">
        <f>VLOOKUP(C74, 'Character 2'!$R$5:$T$50, 3,0)</f>
        <v>0</v>
      </c>
      <c r="J74" s="38"/>
      <c r="K74" s="83">
        <f t="shared" si="7"/>
        <v>0</v>
      </c>
      <c r="L74" s="35"/>
      <c r="N74" s="35"/>
      <c r="O74" s="238" t="s">
        <v>637</v>
      </c>
      <c r="P74" s="238"/>
      <c r="Q74" s="238"/>
      <c r="R74" s="35"/>
    </row>
    <row r="75" spans="2:21" x14ac:dyDescent="0.25">
      <c r="B75" s="35"/>
      <c r="C75" s="36" t="s">
        <v>76</v>
      </c>
      <c r="D75" s="45">
        <f t="shared" si="8"/>
        <v>0</v>
      </c>
      <c r="E75" s="83">
        <f t="shared" si="9"/>
        <v>0</v>
      </c>
      <c r="F75" s="45">
        <f>IFERROR(INDEX(char2Weapons, MATCH(C75, weaponsDB!$A$68:$A$132, 0), MATCH(char2WeaponName,weaponsDB!$A$68:$CS$68, 0)),0)</f>
        <v>0</v>
      </c>
      <c r="G75" s="83">
        <f>IFERROR(INDEX(char2ArtiSetStats, MATCH('Character 2'!$L$14,artisDB!$A$55:$A$107, 0), MATCH(C75, artisDB!$A$55:$AP$55, 0))+INDEX(char2ArtiSetStats, MATCH('Character 2'!$L$15,artisDB!$A$55:$A$107, 0), MATCH(C75, artisDB!$A$55:$AP$55, 0)),0)</f>
        <v>0</v>
      </c>
      <c r="H75" s="45">
        <f>IFERROR(INDEX('Character 2'!$X$19:$Z$28, MATCH(C75, 'Character 2'!$X$19:$X$28, 0), 3)*HLOOKUP('Character 2'!$Z$7, artifactSubstatValues, MATCH(C75, 'Artifact Database'!$A$1:$A$11, 0)),0)</f>
        <v>0</v>
      </c>
      <c r="I75" s="83">
        <f>VLOOKUP(C75, 'Character 2'!$R$5:$T$50, 3,0)</f>
        <v>0</v>
      </c>
      <c r="J75" s="38"/>
      <c r="K75" s="83">
        <f t="shared" si="7"/>
        <v>0</v>
      </c>
      <c r="L75" s="35"/>
      <c r="N75" s="35"/>
      <c r="O75" s="238"/>
      <c r="P75" s="238"/>
      <c r="Q75" s="238"/>
      <c r="R75" s="35"/>
    </row>
    <row r="76" spans="2:21" x14ac:dyDescent="0.25">
      <c r="B76" s="35"/>
      <c r="C76" s="36" t="s">
        <v>77</v>
      </c>
      <c r="D76" s="45">
        <f t="shared" si="8"/>
        <v>0</v>
      </c>
      <c r="E76" s="83">
        <f t="shared" si="9"/>
        <v>0</v>
      </c>
      <c r="F76" s="45">
        <f>IFERROR(INDEX(char2Weapons, MATCH(C76, weaponsDB!$A$68:$A$132, 0), MATCH(char2WeaponName,weaponsDB!$A$68:$CS$68, 0)),0)</f>
        <v>0</v>
      </c>
      <c r="G76" s="83">
        <f>IFERROR(INDEX(char2ArtiSetStats, MATCH('Character 2'!$L$14,artisDB!$A$55:$A$107, 0), MATCH(C76, artisDB!$A$55:$AP$55, 0))+INDEX(char2ArtiSetStats, MATCH('Character 2'!$L$15,artisDB!$A$55:$A$107, 0), MATCH(C76, artisDB!$A$55:$AP$55, 0)),0)</f>
        <v>0</v>
      </c>
      <c r="H76" s="45">
        <f>IFERROR(INDEX('Character 2'!$X$19:$Z$28, MATCH(C76, 'Character 2'!$X$19:$X$28, 0), 3)*HLOOKUP('Character 2'!$Z$7, artifactSubstatValues, MATCH(C76, 'Artifact Database'!$A$1:$A$11, 0)),0)</f>
        <v>0</v>
      </c>
      <c r="I76" s="83">
        <f>VLOOKUP(C76, 'Character 2'!$R$5:$T$50, 3,0)</f>
        <v>0</v>
      </c>
      <c r="J76" s="38"/>
      <c r="K76" s="83">
        <f t="shared" si="7"/>
        <v>0</v>
      </c>
      <c r="L76" s="35"/>
      <c r="N76" s="35"/>
      <c r="O76" s="239" t="s">
        <v>636</v>
      </c>
      <c r="P76" s="239"/>
      <c r="Q76" s="7">
        <f>INDEX(char2Weapons, MATCH("Base ATK", weaponsDB!$A$68:$A$132, 0), MATCH(char2WeaponName, weaponsDB!$A$68:$CS$68, 0))</f>
        <v>510</v>
      </c>
      <c r="R76" s="35"/>
    </row>
    <row r="77" spans="2:21" x14ac:dyDescent="0.25">
      <c r="B77" s="35"/>
      <c r="C77" s="36" t="s">
        <v>78</v>
      </c>
      <c r="D77" s="45">
        <f t="shared" si="8"/>
        <v>0</v>
      </c>
      <c r="E77" s="83">
        <f t="shared" si="9"/>
        <v>0</v>
      </c>
      <c r="F77" s="45">
        <f>IFERROR(INDEX(char2Weapons, MATCH(C77, weaponsDB!$A$68:$A$132, 0), MATCH(char2WeaponName,weaponsDB!$A$68:$CS$68, 0)),0)</f>
        <v>0</v>
      </c>
      <c r="G77" s="83">
        <f>IFERROR(INDEX(char2ArtiSetStats, MATCH('Character 2'!$L$14,artisDB!$A$55:$A$107, 0), MATCH(C77, artisDB!$A$55:$AP$55, 0))+INDEX(char2ArtiSetStats, MATCH('Character 2'!$L$15,artisDB!$A$55:$A$107, 0), MATCH(C77, artisDB!$A$55:$AP$55, 0)),0)</f>
        <v>0</v>
      </c>
      <c r="H77" s="45">
        <f>IFERROR(INDEX('Character 2'!$X$19:$Z$28, MATCH(C77, 'Character 2'!$X$19:$X$28, 0), 3)*HLOOKUP('Character 2'!$Z$7, artifactSubstatValues, MATCH(C77, 'Artifact Database'!$A$1:$A$11, 0)),0)</f>
        <v>0</v>
      </c>
      <c r="I77" s="83">
        <f>VLOOKUP(C77, 'Character 2'!$R$5:$T$50, 3,0)</f>
        <v>0</v>
      </c>
      <c r="J77" s="38"/>
      <c r="K77" s="83">
        <f t="shared" si="7"/>
        <v>0</v>
      </c>
      <c r="L77" s="35"/>
      <c r="N77" s="35"/>
      <c r="O77" s="239" t="s">
        <v>629</v>
      </c>
      <c r="P77" s="239"/>
      <c r="Q77" s="7">
        <f>U63</f>
        <v>225</v>
      </c>
      <c r="R77" s="35"/>
    </row>
    <row r="78" spans="2:21" x14ac:dyDescent="0.25">
      <c r="B78" s="35"/>
      <c r="C78" s="36" t="s">
        <v>79</v>
      </c>
      <c r="D78" s="45">
        <f t="shared" si="8"/>
        <v>0</v>
      </c>
      <c r="E78" s="83">
        <f t="shared" si="9"/>
        <v>0</v>
      </c>
      <c r="F78" s="45">
        <f>IFERROR(INDEX(char2Weapons, MATCH(C78, weaponsDB!$A$68:$A$132, 0), MATCH(char2WeaponName,weaponsDB!$A$68:$CS$68, 0)),0)</f>
        <v>0</v>
      </c>
      <c r="G78" s="83">
        <f>IFERROR(INDEX(char2ArtiSetStats, MATCH('Character 2'!$L$14,artisDB!$A$55:$A$107, 0), MATCH(C78, artisDB!$A$55:$AP$55, 0))+INDEX(char2ArtiSetStats, MATCH('Character 2'!$L$15,artisDB!$A$55:$A$107, 0), MATCH(C78, artisDB!$A$55:$AP$55, 0)),0)</f>
        <v>0</v>
      </c>
      <c r="H78" s="45">
        <f>IFERROR(INDEX('Character 2'!$X$19:$Z$28, MATCH(C78, 'Character 2'!$X$19:$X$28, 0), 3)*HLOOKUP('Character 2'!$Z$7, artifactSubstatValues, MATCH(C78, 'Artifact Database'!$A$1:$A$11, 0)),0)</f>
        <v>0</v>
      </c>
      <c r="I78" s="83">
        <f>VLOOKUP(C78, 'Character 2'!$R$5:$T$50, 3,0)</f>
        <v>0</v>
      </c>
      <c r="J78" s="38"/>
      <c r="K78" s="83">
        <f t="shared" si="7"/>
        <v>0</v>
      </c>
      <c r="L78" s="35"/>
      <c r="N78" s="35"/>
      <c r="O78" s="239" t="s">
        <v>638</v>
      </c>
      <c r="P78" s="239"/>
      <c r="Q78" s="7">
        <f>U64</f>
        <v>669</v>
      </c>
      <c r="R78" s="35"/>
    </row>
    <row r="79" spans="2:21" x14ac:dyDescent="0.25">
      <c r="B79" s="35"/>
      <c r="C79" s="36" t="s">
        <v>80</v>
      </c>
      <c r="D79" s="45">
        <f t="shared" si="8"/>
        <v>0</v>
      </c>
      <c r="E79" s="83">
        <f t="shared" si="9"/>
        <v>0</v>
      </c>
      <c r="F79" s="45">
        <f>IFERROR(INDEX(char2Weapons, MATCH(C79, weaponsDB!$A$68:$A$132, 0), MATCH(char2WeaponName,weaponsDB!$A$68:$CS$68, 0)),0)</f>
        <v>0</v>
      </c>
      <c r="G79" s="83">
        <f>IFERROR(INDEX(char2ArtiSetStats, MATCH('Character 2'!$L$14,artisDB!$A$55:$A$107, 0), MATCH(C79, artisDB!$A$55:$AP$55, 0))+INDEX(char2ArtiSetStats, MATCH('Character 2'!$L$15,artisDB!$A$55:$A$107, 0), MATCH(C79, artisDB!$A$55:$AP$55, 0)),0)</f>
        <v>0</v>
      </c>
      <c r="H79" s="45">
        <f>IFERROR(INDEX('Character 2'!$X$19:$Z$28, MATCH(C79, 'Character 2'!$X$19:$X$28, 0), 3)*HLOOKUP('Character 2'!$Z$7, artifactSubstatValues, MATCH(C79, 'Artifact Database'!$A$1:$A$11, 0)),0)</f>
        <v>0</v>
      </c>
      <c r="I79" s="83">
        <f>VLOOKUP(C79, 'Character 2'!$R$5:$T$50, 3,0)</f>
        <v>0</v>
      </c>
      <c r="J79" s="38"/>
      <c r="K79" s="83">
        <f t="shared" si="7"/>
        <v>0</v>
      </c>
      <c r="L79" s="35"/>
      <c r="N79" s="35"/>
      <c r="O79" s="239" t="s">
        <v>639</v>
      </c>
      <c r="P79" s="239"/>
      <c r="Q79" s="7">
        <f>U62</f>
        <v>10875</v>
      </c>
      <c r="R79" s="35"/>
    </row>
    <row r="80" spans="2:21" x14ac:dyDescent="0.25">
      <c r="B80" s="35"/>
      <c r="C80" s="36" t="s">
        <v>81</v>
      </c>
      <c r="D80" s="45">
        <f t="shared" si="8"/>
        <v>0</v>
      </c>
      <c r="E80" s="83">
        <f t="shared" si="9"/>
        <v>0</v>
      </c>
      <c r="F80" s="45">
        <f>IFERROR(INDEX(char2Weapons, MATCH(C80, weaponsDB!$A$68:$A$132, 0), MATCH(char2WeaponName,weaponsDB!$A$68:$CS$68, 0)),0)</f>
        <v>0.32</v>
      </c>
      <c r="G80" s="83">
        <f>IFERROR(INDEX(char2ArtiSetStats, MATCH('Character 2'!$L$14,artisDB!$A$55:$A$107, 0), MATCH(C80, artisDB!$A$55:$AP$55, 0))+INDEX(char2ArtiSetStats, MATCH('Character 2'!$L$15,artisDB!$A$55:$A$107, 0), MATCH(C80, artisDB!$A$55:$AP$55, 0)),0)</f>
        <v>0</v>
      </c>
      <c r="H80" s="45">
        <f>IFERROR(INDEX('Character 2'!$X$19:$Z$28, MATCH(C80, 'Character 2'!$X$19:$X$28, 0), 3)*HLOOKUP('Character 2'!$Z$7, artifactSubstatValues, MATCH(C80, 'Artifact Database'!$A$1:$A$11, 0)),0)</f>
        <v>0</v>
      </c>
      <c r="I80" s="83">
        <f>VLOOKUP(C80, 'Character 2'!$R$5:$T$50, 3,0)</f>
        <v>0.24</v>
      </c>
      <c r="J80" s="38"/>
      <c r="K80" s="83">
        <f t="shared" si="7"/>
        <v>0.56000000000000005</v>
      </c>
      <c r="L80" s="35"/>
      <c r="N80" s="35"/>
      <c r="O80" s="35"/>
      <c r="P80" s="35"/>
      <c r="Q80" s="35"/>
      <c r="R80" s="35"/>
    </row>
    <row r="81" spans="2:18" x14ac:dyDescent="0.25">
      <c r="B81" s="35"/>
      <c r="C81" s="36" t="s">
        <v>83</v>
      </c>
      <c r="D81" s="45">
        <f t="shared" si="8"/>
        <v>0</v>
      </c>
      <c r="E81" s="83">
        <f t="shared" si="9"/>
        <v>0</v>
      </c>
      <c r="F81" s="45">
        <f>IFERROR(INDEX(char2Weapons, MATCH(C81, weaponsDB!$A$68:$A$132, 0), MATCH(char2WeaponName,weaponsDB!$A$68:$CS$68, 0)),0)</f>
        <v>0</v>
      </c>
      <c r="G81" s="83">
        <f>IFERROR(INDEX(char2ArtiSetStats, MATCH('Character 2'!$L$14,artisDB!$A$55:$A$107, 0), MATCH(C81, artisDB!$A$55:$AP$55, 0))+INDEX(char2ArtiSetStats, MATCH('Character 2'!$L$15,artisDB!$A$55:$A$107, 0), MATCH(C81, artisDB!$A$55:$AP$55, 0)),0)</f>
        <v>0</v>
      </c>
      <c r="H81" s="45">
        <f>IFERROR(INDEX('Character 2'!$X$19:$Z$28, MATCH(C81, 'Character 2'!$X$19:$X$28, 0), 3)*HLOOKUP('Character 2'!$Z$7, artifactSubstatValues, MATCH(C81, 'Artifact Database'!$A$1:$A$11, 0)),0)</f>
        <v>0</v>
      </c>
      <c r="I81" s="83">
        <f>VLOOKUP(C81, 'Character 2'!$R$5:$T$50, 3,0)</f>
        <v>0</v>
      </c>
      <c r="J81" s="38"/>
      <c r="K81" s="83">
        <f t="shared" si="7"/>
        <v>0</v>
      </c>
      <c r="L81" s="35"/>
    </row>
    <row r="82" spans="2:18" x14ac:dyDescent="0.25">
      <c r="B82" s="35"/>
      <c r="C82" s="36" t="s">
        <v>84</v>
      </c>
      <c r="D82" s="45">
        <f t="shared" si="8"/>
        <v>0</v>
      </c>
      <c r="E82" s="83">
        <f t="shared" si="9"/>
        <v>0</v>
      </c>
      <c r="F82" s="45">
        <f>IFERROR(INDEX(char2Weapons, MATCH(C82, weaponsDB!$A$68:$A$132, 0), MATCH(char2WeaponName,weaponsDB!$A$68:$CS$68, 0)),0)</f>
        <v>0</v>
      </c>
      <c r="G82" s="83">
        <f>IFERROR(INDEX(char2ArtiSetStats, MATCH('Character 2'!$L$14,artisDB!$A$55:$A$107, 0), MATCH(C82, artisDB!$A$55:$AP$55, 0))+INDEX(char2ArtiSetStats, MATCH('Character 2'!$L$15,artisDB!$A$55:$A$107, 0), MATCH(C82, artisDB!$A$55:$AP$55, 0)),0)</f>
        <v>0.4</v>
      </c>
      <c r="H82" s="45">
        <f>IFERROR(INDEX('Character 2'!$X$19:$Z$28, MATCH(C82, 'Character 2'!$X$19:$X$28, 0), 3)*HLOOKUP('Character 2'!$Z$7, artifactSubstatValues, MATCH(C82, 'Artifact Database'!$A$1:$A$11, 0)),0)</f>
        <v>0</v>
      </c>
      <c r="I82" s="83">
        <f>VLOOKUP(C82, 'Character 2'!$R$5:$T$50, 3,0)</f>
        <v>0</v>
      </c>
      <c r="J82" s="38"/>
      <c r="K82" s="83">
        <f t="shared" si="7"/>
        <v>0.4</v>
      </c>
      <c r="L82" s="35"/>
      <c r="N82" s="35"/>
      <c r="O82" s="35"/>
      <c r="P82" s="35"/>
      <c r="Q82" s="35"/>
      <c r="R82" s="35"/>
    </row>
    <row r="83" spans="2:18" x14ac:dyDescent="0.25">
      <c r="B83" s="35"/>
      <c r="C83" s="36" t="s">
        <v>85</v>
      </c>
      <c r="D83" s="45">
        <f t="shared" si="8"/>
        <v>0</v>
      </c>
      <c r="E83" s="83">
        <f t="shared" si="9"/>
        <v>0</v>
      </c>
      <c r="F83" s="45">
        <f>IFERROR(INDEX(char2Weapons, MATCH(C83, weaponsDB!$A$68:$A$132, 0), MATCH(char2WeaponName,weaponsDB!$A$68:$CS$68, 0)),0)</f>
        <v>0</v>
      </c>
      <c r="G83" s="83">
        <f>IFERROR(INDEX(char2ArtiSetStats, MATCH('Character 2'!$L$14,artisDB!$A$55:$A$107, 0), MATCH(C83, artisDB!$A$55:$AP$55, 0))+INDEX(char2ArtiSetStats, MATCH('Character 2'!$L$15,artisDB!$A$55:$A$107, 0), MATCH(C83, artisDB!$A$55:$AP$55, 0)),0)</f>
        <v>0</v>
      </c>
      <c r="H83" s="45">
        <f>IFERROR(INDEX('Character 2'!$X$19:$Z$28, MATCH(C83, 'Character 2'!$X$19:$X$28, 0), 3)*HLOOKUP('Character 2'!$Z$7, artifactSubstatValues, MATCH(C83, 'Artifact Database'!$A$1:$A$11, 0)),0)</f>
        <v>0</v>
      </c>
      <c r="I83" s="83">
        <f>VLOOKUP(C83, 'Character 2'!$R$5:$T$50, 3,0)</f>
        <v>0</v>
      </c>
      <c r="J83" s="38"/>
      <c r="K83" s="83">
        <f t="shared" si="7"/>
        <v>0</v>
      </c>
      <c r="L83" s="35"/>
      <c r="N83" s="35"/>
      <c r="O83" s="238" t="s">
        <v>676</v>
      </c>
      <c r="P83" s="238"/>
      <c r="Q83" s="238"/>
      <c r="R83" s="35"/>
    </row>
    <row r="84" spans="2:18" x14ac:dyDescent="0.25">
      <c r="B84" s="35"/>
      <c r="C84" s="36" t="s">
        <v>86</v>
      </c>
      <c r="D84" s="45">
        <f t="shared" si="8"/>
        <v>0</v>
      </c>
      <c r="E84" s="83">
        <f t="shared" si="9"/>
        <v>0</v>
      </c>
      <c r="F84" s="45">
        <f>IFERROR(INDEX(char2Weapons, MATCH(C84, weaponsDB!$A$68:$A$132, 0), MATCH(char2WeaponName,weaponsDB!$A$68:$CS$68, 0)),0)</f>
        <v>0</v>
      </c>
      <c r="G84" s="83">
        <f>IFERROR(INDEX(char2ArtiSetStats, MATCH('Character 2'!$L$14,artisDB!$A$55:$A$107, 0), MATCH(C84, artisDB!$A$55:$AP$55, 0))+INDEX(char2ArtiSetStats, MATCH('Character 2'!$L$15,artisDB!$A$55:$A$107, 0), MATCH(C84, artisDB!$A$55:$AP$55, 0)),0)</f>
        <v>0</v>
      </c>
      <c r="H84" s="45">
        <f>IFERROR(INDEX('Character 2'!$X$19:$Z$28, MATCH(C84, 'Character 2'!$X$19:$X$28, 0), 3)*HLOOKUP('Character 2'!$Z$7, artifactSubstatValues, MATCH(C84, 'Artifact Database'!$A$1:$A$11, 0)),0)</f>
        <v>0</v>
      </c>
      <c r="I84" s="83">
        <f>VLOOKUP(C84, 'Character 2'!$R$5:$T$50, 3,0)</f>
        <v>0</v>
      </c>
      <c r="J84" s="38"/>
      <c r="K84" s="83">
        <f t="shared" si="7"/>
        <v>0</v>
      </c>
      <c r="L84" s="35"/>
      <c r="N84" s="35"/>
      <c r="O84" s="238"/>
      <c r="P84" s="238"/>
      <c r="Q84" s="238"/>
      <c r="R84" s="35"/>
    </row>
    <row r="85" spans="2:18" x14ac:dyDescent="0.25">
      <c r="B85" s="35"/>
      <c r="C85" s="36" t="s">
        <v>87</v>
      </c>
      <c r="D85" s="45">
        <f t="shared" si="8"/>
        <v>0</v>
      </c>
      <c r="E85" s="83">
        <f t="shared" si="9"/>
        <v>0</v>
      </c>
      <c r="F85" s="45">
        <f>IFERROR(INDEX(char2Weapons, MATCH(C85, weaponsDB!$A$68:$A$132, 0), MATCH(char2WeaponName,weaponsDB!$A$68:$CS$68, 0)),0)</f>
        <v>0</v>
      </c>
      <c r="G85" s="83">
        <f>IFERROR(INDEX(char2ArtiSetStats, MATCH('Character 2'!$L$14,artisDB!$A$55:$A$107, 0), MATCH(C85, artisDB!$A$55:$AP$55, 0))+INDEX(char2ArtiSetStats, MATCH('Character 2'!$L$15,artisDB!$A$55:$A$107, 0), MATCH(C85, artisDB!$A$55:$AP$55, 0)),0)</f>
        <v>0</v>
      </c>
      <c r="H85" s="45">
        <f>IFERROR(INDEX('Character 2'!$X$19:$Z$28, MATCH(C85, 'Character 2'!$X$19:$X$28, 0), 3)*HLOOKUP('Character 2'!$Z$7, artifactSubstatValues, MATCH(C85, 'Artifact Database'!$A$1:$A$11, 0)),0)</f>
        <v>0</v>
      </c>
      <c r="I85" s="83">
        <f>VLOOKUP(C85, 'Character 2'!$R$5:$T$50, 3,0)</f>
        <v>0</v>
      </c>
      <c r="J85" s="38"/>
      <c r="K85" s="83">
        <f t="shared" si="7"/>
        <v>0</v>
      </c>
      <c r="L85" s="35"/>
      <c r="N85" s="35"/>
      <c r="O85" s="239" t="s">
        <v>677</v>
      </c>
      <c r="P85" s="239"/>
      <c r="Q85" s="7" t="str">
        <f>'Character 2'!E20</f>
        <v>Skill</v>
      </c>
      <c r="R85" s="35"/>
    </row>
    <row r="86" spans="2:18" x14ac:dyDescent="0.25">
      <c r="B86" s="35"/>
      <c r="C86" s="36" t="s">
        <v>90</v>
      </c>
      <c r="D86" s="45">
        <f t="shared" si="8"/>
        <v>0</v>
      </c>
      <c r="E86" s="83">
        <f t="shared" si="9"/>
        <v>0</v>
      </c>
      <c r="F86" s="45">
        <f>IFERROR(INDEX(char2Weapons, MATCH(C86, weaponsDB!$A$68:$A$132, 0), MATCH(char2WeaponName,weaponsDB!$A$68:$CS$68, 0)),0)</f>
        <v>0</v>
      </c>
      <c r="G86" s="83">
        <f>IFERROR(INDEX(char2ArtiSetStats, MATCH('Character 2'!$L$14,artisDB!$A$55:$A$107, 0), MATCH(C86, artisDB!$A$55:$AP$55, 0))+INDEX(char2ArtiSetStats, MATCH('Character 2'!$L$15,artisDB!$A$55:$A$107, 0), MATCH(C86, artisDB!$A$55:$AP$55, 0)),0)</f>
        <v>0</v>
      </c>
      <c r="H86" s="45">
        <f>IFERROR(INDEX('Character 2'!$X$19:$Z$28, MATCH(C86, 'Character 2'!$X$19:$X$28, 0), 3)*HLOOKUP('Character 2'!$Z$7, artifactSubstatValues, MATCH(C86, 'Artifact Database'!$A$1:$A$11, 0)),0)</f>
        <v>0</v>
      </c>
      <c r="I86" s="83">
        <f>VLOOKUP(C86, 'Character 2'!$R$5:$T$50, 3,0)</f>
        <v>0</v>
      </c>
      <c r="J86" s="38"/>
      <c r="K86" s="83">
        <f t="shared" si="7"/>
        <v>0</v>
      </c>
      <c r="L86" s="35"/>
      <c r="N86" s="35"/>
      <c r="O86" s="239" t="s">
        <v>678</v>
      </c>
      <c r="P86" s="239"/>
      <c r="Q86" s="7" t="str">
        <f>'Character 2'!E23</f>
        <v>Burst</v>
      </c>
      <c r="R86" s="35"/>
    </row>
    <row r="87" spans="2:18" x14ac:dyDescent="0.25">
      <c r="B87" s="35"/>
      <c r="C87" s="36" t="s">
        <v>88</v>
      </c>
      <c r="D87" s="45">
        <f t="shared" si="8"/>
        <v>0</v>
      </c>
      <c r="E87" s="83">
        <f t="shared" si="9"/>
        <v>0</v>
      </c>
      <c r="F87" s="45">
        <f>IFERROR(INDEX(char2Weapons, MATCH(C87, weaponsDB!$A$68:$A$132, 0), MATCH(char2WeaponName,weaponsDB!$A$68:$CS$68, 0)),0)</f>
        <v>0</v>
      </c>
      <c r="G87" s="83">
        <f>IFERROR(INDEX(char2ArtiSetStats, MATCH('Character 2'!$L$14,artisDB!$A$55:$A$107, 0), MATCH(C87, artisDB!$A$55:$AP$55, 0))+INDEX(char2ArtiSetStats, MATCH('Character 2'!$L$15,artisDB!$A$55:$A$107, 0), MATCH(C87, artisDB!$A$55:$AP$55, 0)),0)</f>
        <v>0.15</v>
      </c>
      <c r="H87" s="45">
        <f>IFERROR(INDEX('Character 2'!$X$19:$Z$28, MATCH(C87, 'Character 2'!$X$19:$X$28, 0), 3)*HLOOKUP('Character 2'!$Z$7, artifactSubstatValues, MATCH(C87, 'Artifact Database'!$A$1:$A$11, 0)),0)</f>
        <v>0</v>
      </c>
      <c r="I87" s="83">
        <f>VLOOKUP(C87, 'Character 2'!$R$5:$T$50, 3,0)</f>
        <v>0</v>
      </c>
      <c r="J87" s="38"/>
      <c r="K87" s="83">
        <f t="shared" si="7"/>
        <v>0.15</v>
      </c>
      <c r="L87" s="35"/>
      <c r="N87" s="35"/>
      <c r="O87" s="35"/>
      <c r="P87" s="35"/>
      <c r="Q87" s="35"/>
      <c r="R87" s="35"/>
    </row>
    <row r="88" spans="2:18" x14ac:dyDescent="0.25">
      <c r="B88" s="35"/>
      <c r="C88" s="36" t="s">
        <v>89</v>
      </c>
      <c r="D88" s="45">
        <f t="shared" si="8"/>
        <v>0</v>
      </c>
      <c r="E88" s="83">
        <f t="shared" si="9"/>
        <v>0</v>
      </c>
      <c r="F88" s="45">
        <f>IFERROR(INDEX(char2Weapons, MATCH(C88, weaponsDB!$A$68:$A$132, 0), MATCH(char2WeaponName,weaponsDB!$A$68:$CS$68, 0)),0)</f>
        <v>0</v>
      </c>
      <c r="G88" s="83">
        <f>IFERROR(INDEX(char2ArtiSetStats, MATCH('Character 2'!$L$14,artisDB!$A$55:$A$107, 0), MATCH(C88, artisDB!$A$55:$AP$55, 0))+INDEX(char2ArtiSetStats, MATCH('Character 2'!$L$15,artisDB!$A$55:$A$107, 0), MATCH(C88, artisDB!$A$55:$AP$55, 0)),0)</f>
        <v>0.15</v>
      </c>
      <c r="H88" s="45">
        <f>IFERROR(INDEX('Character 2'!$X$19:$Z$28, MATCH(C88, 'Character 2'!$X$19:$X$28, 0), 3)*HLOOKUP('Character 2'!$Z$7, artifactSubstatValues, MATCH(C88, 'Artifact Database'!$A$1:$A$11, 0)),0)</f>
        <v>0</v>
      </c>
      <c r="I88" s="83">
        <f>VLOOKUP(C88, 'Character 2'!$R$5:$T$50, 3,0)</f>
        <v>0</v>
      </c>
      <c r="J88" s="38"/>
      <c r="K88" s="83">
        <f t="shared" si="7"/>
        <v>0.15</v>
      </c>
      <c r="L88" s="35"/>
    </row>
    <row r="89" spans="2:18" x14ac:dyDescent="0.25">
      <c r="B89" s="35"/>
      <c r="C89" s="36" t="s">
        <v>91</v>
      </c>
      <c r="D89" s="45">
        <f t="shared" si="8"/>
        <v>0</v>
      </c>
      <c r="E89" s="83">
        <f t="shared" si="9"/>
        <v>0</v>
      </c>
      <c r="F89" s="45">
        <f>IFERROR(INDEX(char2Weapons, MATCH(C89, weaponsDB!$A$68:$A$132, 0), MATCH(char2WeaponName,weaponsDB!$A$68:$CS$68, 0)),0)</f>
        <v>0</v>
      </c>
      <c r="G89" s="83">
        <f>IFERROR(INDEX(char2ArtiSetStats, MATCH('Character 2'!$L$14,artisDB!$A$55:$A$107, 0), MATCH(C89, artisDB!$A$55:$AP$55, 0))+INDEX(char2ArtiSetStats, MATCH('Character 2'!$L$15,artisDB!$A$55:$A$107, 0), MATCH(C89, artisDB!$A$55:$AP$55, 0)),0)</f>
        <v>0</v>
      </c>
      <c r="H89" s="45">
        <f>IFERROR(INDEX('Character 2'!$X$19:$Z$28, MATCH(C89, 'Character 2'!$X$19:$X$28, 0), 3)*HLOOKUP('Character 2'!$Z$7, artifactSubstatValues, MATCH(C89, 'Artifact Database'!$A$1:$A$11, 0)),0)</f>
        <v>0</v>
      </c>
      <c r="I89" s="83">
        <f>VLOOKUP(C89, 'Character 2'!$R$5:$T$50, 3,0)</f>
        <v>0</v>
      </c>
      <c r="J89" s="38"/>
      <c r="K89" s="83">
        <f t="shared" si="7"/>
        <v>0</v>
      </c>
      <c r="L89" s="35"/>
      <c r="N89" s="35"/>
      <c r="O89" s="35"/>
      <c r="P89" s="35"/>
      <c r="Q89" s="35"/>
      <c r="R89" s="35"/>
    </row>
    <row r="90" spans="2:18" x14ac:dyDescent="0.25">
      <c r="B90" s="35"/>
      <c r="C90" s="36" t="s">
        <v>458</v>
      </c>
      <c r="D90" s="45">
        <f t="shared" si="8"/>
        <v>0</v>
      </c>
      <c r="E90" s="83">
        <f t="shared" si="9"/>
        <v>0</v>
      </c>
      <c r="F90" s="45">
        <f>IFERROR(INDEX(char2Weapons, MATCH(C90, weaponsDB!$A$68:$A$132, 0), MATCH(char2WeaponName,weaponsDB!$A$68:$CS$68, 0)),0)</f>
        <v>0</v>
      </c>
      <c r="G90" s="83">
        <f>IFERROR(INDEX(char2ArtiSetStats, MATCH('Character 2'!$L$14,artisDB!$A$55:$A$107, 0), MATCH(C90, artisDB!$A$55:$AP$55, 0))+INDEX(char2ArtiSetStats, MATCH('Character 2'!$L$15,artisDB!$A$55:$A$107, 0), MATCH(C90, artisDB!$A$55:$AP$55, 0)),0)</f>
        <v>0</v>
      </c>
      <c r="H90" s="45">
        <f>IFERROR(INDEX('Character 2'!$X$19:$Z$28, MATCH(C90, 'Character 2'!$X$19:$X$28, 0), 3)*HLOOKUP('Character 2'!$Z$7, artifactSubstatValues, MATCH(C90, 'Artifact Database'!$A$1:$A$11, 0)),0)</f>
        <v>0</v>
      </c>
      <c r="I90" s="83">
        <f>VLOOKUP(C90, 'Character 2'!$R$5:$T$50, 3,0)</f>
        <v>0</v>
      </c>
      <c r="J90" s="38"/>
      <c r="K90" s="83">
        <f t="shared" si="7"/>
        <v>0</v>
      </c>
      <c r="L90" s="35"/>
      <c r="N90" s="35"/>
      <c r="O90" s="238" t="s">
        <v>683</v>
      </c>
      <c r="P90" s="238"/>
      <c r="Q90" s="238"/>
      <c r="R90" s="35"/>
    </row>
    <row r="91" spans="2:18" x14ac:dyDescent="0.25">
      <c r="B91" s="35"/>
      <c r="C91" s="36" t="s">
        <v>93</v>
      </c>
      <c r="D91" s="45">
        <f t="shared" si="8"/>
        <v>0</v>
      </c>
      <c r="E91" s="83">
        <f t="shared" si="9"/>
        <v>0</v>
      </c>
      <c r="F91" s="45">
        <f>IFERROR(INDEX(char2Weapons, MATCH(C91, weaponsDB!$A$68:$A$132, 0), MATCH(char2WeaponName,weaponsDB!$A$68:$CS$68, 0)),0)</f>
        <v>0</v>
      </c>
      <c r="G91" s="83">
        <f>IFERROR(INDEX(char2ArtiSetStats, MATCH('Character 2'!$L$14,artisDB!$A$55:$A$107, 0), MATCH(C91, artisDB!$A$55:$AP$55, 0))+INDEX(char2ArtiSetStats, MATCH('Character 2'!$L$15,artisDB!$A$55:$A$107, 0), MATCH(C91, artisDB!$A$55:$AP$55, 0)),0)</f>
        <v>0</v>
      </c>
      <c r="H91" s="45">
        <f>IFERROR(INDEX('Character 2'!$X$19:$Z$28, MATCH(C91, 'Character 2'!$X$19:$X$28, 0), 3)*HLOOKUP('Character 2'!$Z$7, artifactSubstatValues, MATCH(C91, 'Artifact Database'!$A$1:$A$11, 0)),0)</f>
        <v>0</v>
      </c>
      <c r="I91" s="83">
        <f>VLOOKUP(C91, 'Character 2'!$R$5:$T$50, 3,0)</f>
        <v>0</v>
      </c>
      <c r="J91" s="38"/>
      <c r="K91" s="83">
        <f t="shared" si="7"/>
        <v>0</v>
      </c>
      <c r="L91" s="35"/>
      <c r="N91" s="35"/>
      <c r="O91" s="238"/>
      <c r="P91" s="238"/>
      <c r="Q91" s="238"/>
      <c r="R91" s="35"/>
    </row>
    <row r="92" spans="2:18" x14ac:dyDescent="0.25">
      <c r="B92" s="35"/>
      <c r="C92" s="36" t="s">
        <v>427</v>
      </c>
      <c r="D92" s="45">
        <f t="shared" si="8"/>
        <v>0</v>
      </c>
      <c r="E92" s="83">
        <f t="shared" si="9"/>
        <v>0</v>
      </c>
      <c r="F92" s="45">
        <f>IFERROR(INDEX(char2Weapons, MATCH(C92, weaponsDB!$A$68:$A$132, 0), MATCH(char2WeaponName,weaponsDB!$A$68:$CS$68, 0)),0)</f>
        <v>0</v>
      </c>
      <c r="G92" s="83">
        <f>IFERROR(INDEX(char2ArtiSetStats, MATCH('Character 2'!$L$14,artisDB!$A$55:$A$107, 0), MATCH(C92, artisDB!$A$55:$AP$55, 0))+INDEX(char2ArtiSetStats, MATCH('Character 2'!$L$15,artisDB!$A$55:$A$107, 0), MATCH(C92, artisDB!$A$55:$AP$55, 0)),0)</f>
        <v>0</v>
      </c>
      <c r="H92" s="45">
        <f>IFERROR(INDEX('Character 2'!$X$19:$Z$28, MATCH(C92, 'Character 2'!$X$19:$X$28, 0), 3)*HLOOKUP('Character 2'!$Z$7, artifactSubstatValues, MATCH(C92, 'Artifact Database'!$A$1:$A$11, 0)),0)</f>
        <v>0</v>
      </c>
      <c r="I92" s="83">
        <f>VLOOKUP(C92, 'Character 2'!$R$5:$T$50, 3,0)</f>
        <v>0</v>
      </c>
      <c r="J92" s="38"/>
      <c r="K92" s="83">
        <f t="shared" si="7"/>
        <v>0</v>
      </c>
      <c r="L92" s="35"/>
      <c r="N92" s="35"/>
      <c r="O92" s="239" t="s">
        <v>398</v>
      </c>
      <c r="P92" s="239"/>
      <c r="Q92" s="7">
        <f>(char2LevelNum+100)/((char2LevelNum+100)+(enemyLevel+100)*(1-K89))</f>
        <v>0.5</v>
      </c>
      <c r="R92" s="35"/>
    </row>
    <row r="93" spans="2:18" x14ac:dyDescent="0.25">
      <c r="B93" s="35"/>
      <c r="C93" s="36" t="s">
        <v>457</v>
      </c>
      <c r="D93" s="45">
        <f t="shared" si="8"/>
        <v>0</v>
      </c>
      <c r="E93" s="83">
        <f t="shared" si="9"/>
        <v>0</v>
      </c>
      <c r="F93" s="45">
        <f>IFERROR(INDEX(char2Weapons, MATCH(C93, weaponsDB!$A$68:$A$132, 0), MATCH(char2WeaponName,weaponsDB!$A$68:$CS$68, 0)),0)</f>
        <v>0</v>
      </c>
      <c r="G93" s="83">
        <f>IFERROR(INDEX(char2ArtiSetStats, MATCH('Character 2'!$L$14,artisDB!$A$55:$A$107, 0), MATCH(C93, artisDB!$A$55:$AP$55, 0))+INDEX(char2ArtiSetStats, MATCH('Character 2'!$L$15,artisDB!$A$55:$A$107, 0), MATCH(C93, artisDB!$A$55:$AP$55, 0)),0)</f>
        <v>0</v>
      </c>
      <c r="H93" s="45">
        <f>IFERROR(INDEX('Character 2'!$X$19:$Z$28, MATCH(C93, 'Character 2'!$X$19:$X$28, 0), 3)*HLOOKUP('Character 2'!$Z$7, artifactSubstatValues, MATCH(C93, 'Artifact Database'!$A$1:$A$11, 0)),0)</f>
        <v>0</v>
      </c>
      <c r="I93" s="83">
        <f>VLOOKUP(C93, 'Character 2'!$R$5:$T$50, 3,0)</f>
        <v>0</v>
      </c>
      <c r="J93" s="38"/>
      <c r="K93" s="83">
        <f t="shared" si="7"/>
        <v>0</v>
      </c>
      <c r="L93" s="35"/>
      <c r="N93" s="35"/>
      <c r="O93" s="35"/>
      <c r="P93" s="35"/>
      <c r="Q93" s="35"/>
      <c r="R93" s="35"/>
    </row>
    <row r="94" spans="2:18" x14ac:dyDescent="0.25">
      <c r="B94" s="35"/>
      <c r="C94" s="36" t="s">
        <v>92</v>
      </c>
      <c r="D94" s="45">
        <f t="shared" si="8"/>
        <v>0</v>
      </c>
      <c r="E94" s="83">
        <f t="shared" si="9"/>
        <v>0</v>
      </c>
      <c r="F94" s="45">
        <f>IFERROR(INDEX(char2Weapons, MATCH(C94, weaponsDB!$A$68:$A$132, 0), MATCH(char2WeaponName,weaponsDB!$A$68:$CS$68, 0)),0)</f>
        <v>0</v>
      </c>
      <c r="G94" s="83">
        <f>IFERROR(INDEX(char2ArtiSetStats, MATCH('Character 2'!$L$14,artisDB!$A$55:$A$107, 0), MATCH(C94, artisDB!$A$55:$AP$55, 0))+INDEX(char2ArtiSetStats, MATCH('Character 2'!$L$15,artisDB!$A$55:$A$107, 0), MATCH(C94, artisDB!$A$55:$AP$55, 0)),0)</f>
        <v>0</v>
      </c>
      <c r="H94" s="45">
        <f>IFERROR(INDEX('Character 2'!$X$19:$Z$28, MATCH(C94, 'Character 2'!$X$19:$X$28, 0), 3)*HLOOKUP('Character 2'!$Z$7, artifactSubstatValues, MATCH(C94, 'Artifact Database'!$A$1:$A$11, 0)),0)</f>
        <v>0</v>
      </c>
      <c r="I94" s="83">
        <f>VLOOKUP(C94, 'Character 2'!$R$5:$T$50, 3,0)</f>
        <v>0</v>
      </c>
      <c r="J94" s="38"/>
      <c r="K94" s="83">
        <f t="shared" si="7"/>
        <v>0</v>
      </c>
      <c r="L94" s="35"/>
    </row>
    <row r="95" spans="2:18" x14ac:dyDescent="0.25">
      <c r="B95" s="35"/>
      <c r="C95" s="36" t="s">
        <v>94</v>
      </c>
      <c r="D95" s="45">
        <f t="shared" si="8"/>
        <v>0</v>
      </c>
      <c r="E95" s="83">
        <f t="shared" si="9"/>
        <v>0</v>
      </c>
      <c r="F95" s="45">
        <f>IFERROR(INDEX(char2Weapons, MATCH(C95, weaponsDB!$A$68:$A$132, 0), MATCH(char2WeaponName,weaponsDB!$A$68:$CS$68, 0)),0)</f>
        <v>0</v>
      </c>
      <c r="G95" s="83">
        <f>IFERROR(INDEX(char2ArtiSetStats, MATCH('Character 2'!$L$14,artisDB!$A$55:$A$107, 0), MATCH(C95, artisDB!$A$55:$AP$55, 0))+INDEX(char2ArtiSetStats, MATCH('Character 2'!$L$15,artisDB!$A$55:$A$107, 0), MATCH(C95, artisDB!$A$55:$AP$55, 0)),0)</f>
        <v>0</v>
      </c>
      <c r="H95" s="45">
        <f>IFERROR(INDEX('Character 2'!$X$19:$Z$28, MATCH(C95, 'Character 2'!$X$19:$X$28, 0), 3)*HLOOKUP('Character 2'!$Z$7, artifactSubstatValues, MATCH(C95, 'Artifact Database'!$A$1:$A$11, 0)),0)</f>
        <v>0</v>
      </c>
      <c r="I95" s="83">
        <f>VLOOKUP(C95, 'Character 2'!$R$5:$T$50, 3,0)</f>
        <v>0</v>
      </c>
      <c r="J95" s="38"/>
      <c r="K95" s="83">
        <f t="shared" si="7"/>
        <v>0</v>
      </c>
      <c r="L95" s="35"/>
      <c r="N95" s="35"/>
      <c r="O95" s="35"/>
      <c r="P95" s="35"/>
      <c r="Q95" s="35"/>
      <c r="R95" s="35"/>
    </row>
    <row r="96" spans="2:18" x14ac:dyDescent="0.25">
      <c r="B96" s="35"/>
      <c r="C96" s="36" t="s">
        <v>95</v>
      </c>
      <c r="D96" s="45">
        <f t="shared" si="8"/>
        <v>0</v>
      </c>
      <c r="E96" s="83">
        <f t="shared" si="9"/>
        <v>0</v>
      </c>
      <c r="F96" s="45">
        <f>IFERROR(INDEX(char2Weapons, MATCH(C96, weaponsDB!$A$68:$A$132, 0), MATCH(char2WeaponName,weaponsDB!$A$68:$CS$68, 0)),0)</f>
        <v>0</v>
      </c>
      <c r="G96" s="83">
        <f>IFERROR(INDEX(char2ArtiSetStats, MATCH('Character 2'!$L$14,artisDB!$A$55:$A$107, 0), MATCH(C96, artisDB!$A$55:$AP$55, 0))+INDEX(char2ArtiSetStats, MATCH('Character 2'!$L$15,artisDB!$A$55:$A$107, 0), MATCH(C96, artisDB!$A$55:$AP$55, 0)),0)</f>
        <v>0</v>
      </c>
      <c r="H96" s="45">
        <f>IFERROR(INDEX('Character 2'!$X$19:$Z$28, MATCH(C96, 'Character 2'!$X$19:$X$28, 0), 3)*HLOOKUP('Character 2'!$Z$7, artifactSubstatValues, MATCH(C96, 'Artifact Database'!$A$1:$A$11, 0)),0)</f>
        <v>0</v>
      </c>
      <c r="I96" s="83">
        <f>VLOOKUP(C96, 'Character 2'!$R$5:$T$50, 3,0)</f>
        <v>0</v>
      </c>
      <c r="J96" s="38"/>
      <c r="K96" s="83">
        <f t="shared" si="7"/>
        <v>0</v>
      </c>
      <c r="L96" s="35"/>
      <c r="N96" s="35"/>
      <c r="O96" s="238" t="s">
        <v>751</v>
      </c>
      <c r="P96" s="238"/>
      <c r="Q96" s="238"/>
      <c r="R96" s="35"/>
    </row>
    <row r="97" spans="2:24" x14ac:dyDescent="0.25">
      <c r="B97" s="35"/>
      <c r="C97" s="36" t="s">
        <v>96</v>
      </c>
      <c r="D97" s="45">
        <f t="shared" si="8"/>
        <v>0</v>
      </c>
      <c r="E97" s="83">
        <f t="shared" si="9"/>
        <v>0</v>
      </c>
      <c r="F97" s="45">
        <f>IFERROR(INDEX(char2Weapons, MATCH(C97, weaponsDB!$A$68:$A$132, 0), MATCH(char2WeaponName,weaponsDB!$A$68:$CS$68, 0)),0)</f>
        <v>0</v>
      </c>
      <c r="G97" s="83">
        <f>IFERROR(INDEX(char2ArtiSetStats, MATCH('Character 2'!$L$14,artisDB!$A$55:$A$107, 0), MATCH(C97, artisDB!$A$55:$AP$55, 0))+INDEX(char2ArtiSetStats, MATCH('Character 2'!$L$15,artisDB!$A$55:$A$107, 0), MATCH(C97, artisDB!$A$55:$AP$55, 0)),0)</f>
        <v>0</v>
      </c>
      <c r="H97" s="45">
        <f>IFERROR(INDEX('Character 2'!$X$19:$Z$28, MATCH(C97, 'Character 2'!$X$19:$X$28, 0), 3)*HLOOKUP('Character 2'!$Z$7, artifactSubstatValues, MATCH(C97, 'Artifact Database'!$A$1:$A$11, 0)),0)</f>
        <v>0</v>
      </c>
      <c r="I97" s="83">
        <f>VLOOKUP(C97, 'Character 2'!$R$5:$T$50, 3,0)</f>
        <v>0</v>
      </c>
      <c r="J97" s="38"/>
      <c r="K97" s="83">
        <f t="shared" si="7"/>
        <v>0</v>
      </c>
      <c r="L97" s="35"/>
      <c r="N97" s="35"/>
      <c r="O97" s="238"/>
      <c r="P97" s="238"/>
      <c r="Q97" s="238"/>
      <c r="R97" s="35"/>
    </row>
    <row r="98" spans="2:24" x14ac:dyDescent="0.25">
      <c r="B98" s="35"/>
      <c r="C98" s="36" t="s">
        <v>97</v>
      </c>
      <c r="D98" s="45">
        <f t="shared" si="8"/>
        <v>0</v>
      </c>
      <c r="E98" s="83">
        <f t="shared" si="9"/>
        <v>0</v>
      </c>
      <c r="F98" s="45">
        <f>IFERROR(INDEX(char2Weapons, MATCH(C98, weaponsDB!$A$68:$A$132, 0), MATCH(char2WeaponName,weaponsDB!$A$68:$CS$68, 0)),0)</f>
        <v>0</v>
      </c>
      <c r="G98" s="83">
        <f>IFERROR(INDEX(char2ArtiSetStats, MATCH('Character 2'!$L$14,artisDB!$A$55:$A$107, 0), MATCH(C98, artisDB!$A$55:$AP$55, 0))+INDEX(char2ArtiSetStats, MATCH('Character 2'!$L$15,artisDB!$A$55:$A$107, 0), MATCH(C98, artisDB!$A$55:$AP$55, 0)),0)</f>
        <v>0</v>
      </c>
      <c r="H98" s="45">
        <f>IFERROR(INDEX('Character 2'!$X$19:$Z$28, MATCH(C98, 'Character 2'!$X$19:$X$28, 0), 3)*HLOOKUP('Character 2'!$Z$7, artifactSubstatValues, MATCH(C98, 'Artifact Database'!$A$1:$A$11, 0)),0)</f>
        <v>0</v>
      </c>
      <c r="I98" s="83">
        <f>VLOOKUP(C98, 'Character 2'!$R$5:$T$50, 3,0)</f>
        <v>0</v>
      </c>
      <c r="J98" s="38"/>
      <c r="K98" s="83">
        <f t="shared" si="7"/>
        <v>0</v>
      </c>
      <c r="L98" s="35"/>
      <c r="N98" s="35"/>
      <c r="O98" s="239" t="s">
        <v>754</v>
      </c>
      <c r="P98" s="239"/>
      <c r="Q98" s="7">
        <f>char2BaseHP*(1+char2FinalHPPercent)+char2FinalFlatHP</f>
        <v>14194.68</v>
      </c>
      <c r="R98" s="35"/>
    </row>
    <row r="99" spans="2:24" x14ac:dyDescent="0.25">
      <c r="B99" s="35"/>
      <c r="C99" s="36" t="s">
        <v>98</v>
      </c>
      <c r="D99" s="45">
        <f t="shared" si="8"/>
        <v>0</v>
      </c>
      <c r="E99" s="83">
        <f t="shared" si="9"/>
        <v>0</v>
      </c>
      <c r="F99" s="45">
        <f>IFERROR(INDEX(char2Weapons, MATCH(C99, weaponsDB!$A$68:$A$132, 0), MATCH(char2WeaponName,weaponsDB!$A$68:$CS$68, 0)),0)</f>
        <v>0</v>
      </c>
      <c r="G99" s="83">
        <f>IFERROR(INDEX(char2ArtiSetStats, MATCH('Character 2'!$L$14,artisDB!$A$55:$A$107, 0), MATCH(C99, artisDB!$A$55:$AP$55, 0))+INDEX(char2ArtiSetStats, MATCH('Character 2'!$L$15,artisDB!$A$55:$A$107, 0), MATCH(C99, artisDB!$A$55:$AP$55, 0)),0)</f>
        <v>0</v>
      </c>
      <c r="H99" s="45">
        <f>IFERROR(INDEX('Character 2'!$X$19:$Z$28, MATCH(C99, 'Character 2'!$X$19:$X$28, 0), 3)*HLOOKUP('Character 2'!$Z$7, artifactSubstatValues, MATCH(C99, 'Artifact Database'!$A$1:$A$11, 0)),0)</f>
        <v>0</v>
      </c>
      <c r="I99" s="83">
        <f>VLOOKUP(C99, 'Character 2'!$R$5:$T$50, 3,0)</f>
        <v>0</v>
      </c>
      <c r="J99" s="38"/>
      <c r="K99" s="83">
        <f t="shared" si="7"/>
        <v>0</v>
      </c>
      <c r="L99" s="35"/>
      <c r="N99" s="35"/>
      <c r="O99" s="239" t="s">
        <v>753</v>
      </c>
      <c r="P99" s="239"/>
      <c r="Q99" s="7">
        <f>char2BaseDEF*(1+char2FinalDEFPercent)+char2FinalFlatDEF</f>
        <v>791.31600000000003</v>
      </c>
      <c r="R99" s="35"/>
    </row>
    <row r="100" spans="2:24" x14ac:dyDescent="0.25">
      <c r="B100" s="35"/>
      <c r="C100" s="36" t="s">
        <v>424</v>
      </c>
      <c r="D100" s="45">
        <f t="shared" si="8"/>
        <v>0</v>
      </c>
      <c r="E100" s="83">
        <f t="shared" si="9"/>
        <v>0</v>
      </c>
      <c r="F100" s="45">
        <f>IFERROR(INDEX(char2Weapons, MATCH(C100, weaponsDB!$A$68:$A$132, 0), MATCH(char2WeaponName,weaponsDB!$A$68:$CS$68, 0)),0)</f>
        <v>0.12</v>
      </c>
      <c r="G100" s="83">
        <f>IFERROR(INDEX(char2ArtiSetStats, MATCH('Character 2'!$L$14,artisDB!$A$55:$A$107, 0), MATCH(C100, artisDB!$A$55:$AP$55, 0))+INDEX(char2ArtiSetStats, MATCH('Character 2'!$L$15,artisDB!$A$55:$A$107, 0), MATCH(C100, artisDB!$A$55:$AP$55, 0)),0)</f>
        <v>0</v>
      </c>
      <c r="H100" s="45">
        <f>IFERROR(INDEX('Character 2'!$X$19:$Z$28, MATCH(C100, 'Character 2'!$X$19:$X$28, 0), 3)*HLOOKUP('Character 2'!$Z$7, artifactSubstatValues, MATCH(C100, 'Artifact Database'!$A$1:$A$11, 0)),0)</f>
        <v>0</v>
      </c>
      <c r="I100" s="83">
        <f>VLOOKUP(C100, 'Character 2'!$R$5:$T$50, 3,0)</f>
        <v>0</v>
      </c>
      <c r="J100" s="38"/>
      <c r="K100" s="83">
        <f t="shared" si="7"/>
        <v>0.12</v>
      </c>
      <c r="L100" s="35"/>
      <c r="N100" s="35"/>
      <c r="O100" s="239" t="s">
        <v>752</v>
      </c>
      <c r="P100" s="239"/>
      <c r="Q100" s="7">
        <f>(char2WeaponBaseATK+char2BaseATK)*(1+char2FinalATKPercent)+char2FinalFlatATK</f>
        <v>2389.1019999999999</v>
      </c>
      <c r="R100" s="35"/>
    </row>
    <row r="101" spans="2:24" x14ac:dyDescent="0.25">
      <c r="B101" s="35"/>
      <c r="C101" s="36" t="s">
        <v>425</v>
      </c>
      <c r="D101" s="45">
        <f t="shared" si="8"/>
        <v>0</v>
      </c>
      <c r="E101" s="83">
        <f t="shared" si="9"/>
        <v>0</v>
      </c>
      <c r="F101" s="45">
        <f>IFERROR(INDEX(char2Weapons, MATCH(C101, weaponsDB!$A$68:$A$132, 0), MATCH(char2WeaponName,weaponsDB!$A$68:$CS$68, 0)),0)</f>
        <v>0</v>
      </c>
      <c r="G101" s="83">
        <f>IFERROR(INDEX(char2ArtiSetStats, MATCH('Character 2'!$L$14,artisDB!$A$55:$A$107, 0), MATCH(C101, artisDB!$A$55:$AP$55, 0))+INDEX(char2ArtiSetStats, MATCH('Character 2'!$L$15,artisDB!$A$55:$A$107, 0), MATCH(C101, artisDB!$A$55:$AP$55, 0)),0)</f>
        <v>0</v>
      </c>
      <c r="H101" s="45">
        <f>IFERROR(INDEX('Character 2'!$X$19:$Z$28, MATCH(C101, 'Character 2'!$X$19:$X$28, 0), 3)*HLOOKUP('Character 2'!$Z$7, artifactSubstatValues, MATCH(C101, 'Artifact Database'!$A$1:$A$11, 0)),0)</f>
        <v>0</v>
      </c>
      <c r="I101" s="83">
        <f>VLOOKUP(C101, 'Character 2'!$R$5:$T$50, 3,0)</f>
        <v>0</v>
      </c>
      <c r="J101" s="38"/>
      <c r="K101" s="83">
        <f t="shared" si="7"/>
        <v>0</v>
      </c>
      <c r="L101" s="35"/>
      <c r="N101" s="35"/>
      <c r="O101" s="35"/>
      <c r="P101" s="35"/>
      <c r="Q101" s="35"/>
      <c r="R101" s="35"/>
    </row>
    <row r="102" spans="2:24" x14ac:dyDescent="0.25">
      <c r="B102" s="35"/>
      <c r="C102" s="36" t="s">
        <v>438</v>
      </c>
      <c r="D102" s="45">
        <f t="shared" si="8"/>
        <v>0</v>
      </c>
      <c r="E102" s="83">
        <f t="shared" si="9"/>
        <v>0</v>
      </c>
      <c r="F102" s="45">
        <f>IFERROR(INDEX(char2Weapons, MATCH(C102, weaponsDB!$A$68:$A$132, 0), MATCH(char2WeaponName,weaponsDB!$A$68:$CS$68, 0)),0)</f>
        <v>0</v>
      </c>
      <c r="G102" s="83">
        <f>IFERROR(INDEX(char2ArtiSetStats, MATCH('Character 2'!$L$14,artisDB!$A$55:$A$107, 0), MATCH(C102, artisDB!$A$55:$AP$55, 0))+INDEX(char2ArtiSetStats, MATCH('Character 2'!$L$15,artisDB!$A$55:$A$107, 0), MATCH(C102, artisDB!$A$55:$AP$55, 0)),0)</f>
        <v>0</v>
      </c>
      <c r="H102" s="45">
        <f>IFERROR(INDEX('Character 2'!$X$19:$Z$28, MATCH(C102, 'Character 2'!$X$19:$X$28, 0), 3)*HLOOKUP('Character 2'!$Z$7, artifactSubstatValues, MATCH(C102, 'Artifact Database'!$A$1:$A$11, 0)),0)</f>
        <v>0</v>
      </c>
      <c r="I102" s="83">
        <f>VLOOKUP(C102, 'Character 2'!$R$5:$T$50, 3,0)</f>
        <v>0</v>
      </c>
      <c r="J102" s="38"/>
      <c r="K102" s="83">
        <f t="shared" si="7"/>
        <v>0</v>
      </c>
      <c r="L102" s="35"/>
    </row>
    <row r="103" spans="2:24" x14ac:dyDescent="0.25">
      <c r="B103" s="35"/>
      <c r="C103" s="36" t="s">
        <v>426</v>
      </c>
      <c r="D103" s="45">
        <f t="shared" si="8"/>
        <v>0</v>
      </c>
      <c r="E103" s="83">
        <f t="shared" si="9"/>
        <v>0</v>
      </c>
      <c r="F103" s="45">
        <f>IFERROR(INDEX(char2Weapons, MATCH(C103, weaponsDB!$A$68:$A$132, 0), MATCH(char2WeaponName,weaponsDB!$A$68:$CS$68, 0)),0)</f>
        <v>0</v>
      </c>
      <c r="G103" s="83">
        <f>IFERROR(INDEX(char2ArtiSetStats, MATCH('Character 2'!$L$14,artisDB!$A$55:$A$107, 0), MATCH(C103, artisDB!$A$55:$AP$55, 0))+INDEX(char2ArtiSetStats, MATCH('Character 2'!$L$15,artisDB!$A$55:$A$107, 0), MATCH(C103, artisDB!$A$55:$AP$55, 0)),0)</f>
        <v>0</v>
      </c>
      <c r="H103" s="45">
        <f>IFERROR(INDEX('Character 2'!$X$19:$Z$28, MATCH(C103, 'Character 2'!$X$19:$X$28, 0), 3)*HLOOKUP('Character 2'!$Z$7, artifactSubstatValues, MATCH(C103, 'Artifact Database'!$A$1:$A$11, 0)),0)</f>
        <v>0</v>
      </c>
      <c r="I103" s="83">
        <f>VLOOKUP(C103, 'Character 2'!$R$5:$T$50, 3,0)</f>
        <v>0</v>
      </c>
      <c r="J103" s="38"/>
      <c r="K103" s="83">
        <f t="shared" si="7"/>
        <v>0</v>
      </c>
      <c r="L103" s="35"/>
    </row>
    <row r="104" spans="2:24" x14ac:dyDescent="0.25">
      <c r="B104" s="35"/>
      <c r="C104" s="35"/>
      <c r="D104" s="35"/>
      <c r="E104" s="35"/>
      <c r="F104" s="35"/>
      <c r="G104" s="35"/>
      <c r="H104" s="35"/>
      <c r="I104" s="35"/>
      <c r="J104" s="35"/>
      <c r="K104" s="35"/>
      <c r="L104" s="35"/>
    </row>
    <row r="106" spans="2:24" x14ac:dyDescent="0.25">
      <c r="B106" s="35"/>
      <c r="C106" s="35"/>
      <c r="D106" s="35"/>
      <c r="E106" s="35"/>
      <c r="F106" s="35"/>
      <c r="G106" s="35"/>
      <c r="H106" s="35"/>
      <c r="I106" s="35"/>
      <c r="J106" s="35"/>
      <c r="K106" s="35"/>
      <c r="L106" s="35"/>
      <c r="N106" s="35"/>
      <c r="O106" s="35"/>
      <c r="P106" s="35"/>
      <c r="Q106" s="35"/>
      <c r="R106" s="35"/>
      <c r="T106" s="209"/>
      <c r="U106" s="209" t="s">
        <v>402</v>
      </c>
      <c r="V106" s="209" t="s">
        <v>51</v>
      </c>
      <c r="W106" s="209" t="s">
        <v>805</v>
      </c>
      <c r="X106" s="209" t="s">
        <v>794</v>
      </c>
    </row>
    <row r="107" spans="2:24" x14ac:dyDescent="0.25">
      <c r="B107" s="35"/>
      <c r="C107" s="237" t="s">
        <v>626</v>
      </c>
      <c r="D107" s="237"/>
      <c r="E107" s="237"/>
      <c r="F107" s="237"/>
      <c r="G107" s="237"/>
      <c r="H107" s="237"/>
      <c r="I107" s="237"/>
      <c r="J107" s="237"/>
      <c r="K107" s="237"/>
      <c r="L107" s="35"/>
      <c r="N107" s="35"/>
      <c r="O107" s="238" t="s">
        <v>421</v>
      </c>
      <c r="P107" s="238"/>
      <c r="Q107" s="238"/>
      <c r="R107" s="35"/>
      <c r="T107" s="7" t="s">
        <v>792</v>
      </c>
      <c r="U107" s="7" t="s">
        <v>64</v>
      </c>
      <c r="V107" s="7">
        <f>'Character 3'!$L$23</f>
        <v>20</v>
      </c>
      <c r="W107" s="7">
        <f>MATCH('Character 3'!$L$24, 'Artifact Database'!$F$1:$F$66, 0)+1</f>
        <v>2</v>
      </c>
      <c r="X107" s="7" cm="1">
        <f t="array" ref="X107">INDEX('Artifact Database'!$F$1:$W$66, Calculations!W107+V107, MATCH(Calculations!U107,'Artifact Database'!$F$1:$W$1, 0))</f>
        <v>4780</v>
      </c>
    </row>
    <row r="108" spans="2:24" x14ac:dyDescent="0.25">
      <c r="B108" s="35"/>
      <c r="C108" s="237"/>
      <c r="D108" s="237"/>
      <c r="E108" s="237"/>
      <c r="F108" s="237"/>
      <c r="G108" s="237"/>
      <c r="H108" s="237"/>
      <c r="I108" s="237"/>
      <c r="J108" s="237"/>
      <c r="K108" s="237"/>
      <c r="L108" s="35"/>
      <c r="N108" s="35"/>
      <c r="O108" s="238"/>
      <c r="P108" s="238"/>
      <c r="Q108" s="238"/>
      <c r="R108" s="35"/>
      <c r="T108" s="7" t="s">
        <v>793</v>
      </c>
      <c r="U108" s="7" t="s">
        <v>62</v>
      </c>
      <c r="V108" s="7">
        <f>'Character 3'!$L$25</f>
        <v>20</v>
      </c>
      <c r="W108" s="7">
        <f>MATCH('Character 3'!$L$26, 'Artifact Database'!$F$1:$F$66, 0)+1</f>
        <v>2</v>
      </c>
      <c r="X108" s="7" cm="1">
        <f t="array" ref="X108">INDEX('Artifact Database'!$F$1:$W$66, Calculations!W108+V108, MATCH(Calculations!U108,'Artifact Database'!$F$1:$W$1, 0))</f>
        <v>311</v>
      </c>
    </row>
    <row r="109" spans="2:24" x14ac:dyDescent="0.25">
      <c r="B109" s="35"/>
      <c r="C109" s="39" t="s">
        <v>402</v>
      </c>
      <c r="D109" s="38" t="s">
        <v>403</v>
      </c>
      <c r="E109" s="37" t="s">
        <v>404</v>
      </c>
      <c r="F109" s="38" t="s">
        <v>405</v>
      </c>
      <c r="G109" s="37" t="s">
        <v>406</v>
      </c>
      <c r="H109" s="38" t="s">
        <v>407</v>
      </c>
      <c r="I109" s="37" t="s">
        <v>61</v>
      </c>
      <c r="J109" s="38" t="s">
        <v>570</v>
      </c>
      <c r="K109" s="37" t="s">
        <v>408</v>
      </c>
      <c r="L109" s="35"/>
      <c r="N109" s="35"/>
      <c r="O109" s="239" t="s">
        <v>422</v>
      </c>
      <c r="P109" s="239"/>
      <c r="Q109" s="40" t="str">
        <f>char3Level</f>
        <v>80+</v>
      </c>
      <c r="R109" s="35"/>
      <c r="T109" s="7" t="s">
        <v>441</v>
      </c>
      <c r="U109" s="7" t="str">
        <f>'Character 3'!$L$28</f>
        <v>EM</v>
      </c>
      <c r="V109" s="7">
        <f>'Character 3'!$L$27</f>
        <v>20</v>
      </c>
      <c r="W109" s="7">
        <f>MATCH('Character 3'!$L$29, 'Artifact Database'!$F$1:$F$66, 0)+1</f>
        <v>2</v>
      </c>
      <c r="X109" s="7" cm="1">
        <f t="array" ref="X109">INDEX('Artifact Database'!$F$1:$W$66, Calculations!W109+V109, MATCH(Calculations!U109,'Artifact Database'!$F$1:$W$1, 0))</f>
        <v>187</v>
      </c>
    </row>
    <row r="110" spans="2:24" x14ac:dyDescent="0.25">
      <c r="B110" s="35"/>
      <c r="C110" s="36" t="s">
        <v>62</v>
      </c>
      <c r="D110" s="38">
        <f>X108</f>
        <v>311</v>
      </c>
      <c r="E110" s="37">
        <v>0</v>
      </c>
      <c r="F110" s="38">
        <f>IFERROR(INDEX(char3Weapons, MATCH(C110, weaponsDB!$A$134:$A$198, 0), MATCH(char3WeaponName,weaponsDB!$A$134:$CS$134, 0)),0)</f>
        <v>0</v>
      </c>
      <c r="G110" s="37">
        <f>IFERROR(INDEX(char3ArtiSetStats, MATCH('Character 3'!$L$14,artisDB!$A$109:$A$161, 0), MATCH(C110, artisDB!$A$109:$AP$109, 0))+INDEX(char3ArtiSetStats, MATCH('Character 3'!$L$15, artisDB!$A$109:$A$161, 0), MATCH(C110, artisDB!$A$109:$AP$109, 0)),0)</f>
        <v>0</v>
      </c>
      <c r="H110" s="38">
        <f>IFERROR(INDEX('Character 3'!$X$19:$Z$28, MATCH(C110, 'Character 3'!$X$19:$X$28, 0), 3)*HLOOKUP('Character 3'!$Z$7, artifactSubstatValues, MATCH(C110, 'Artifact Database'!$A$1:$A$11, 0)),0)</f>
        <v>33.08</v>
      </c>
      <c r="I110" s="37">
        <f>VLOOKUP(C110, 'Character 3'!$R$5:$T$50, 3,0)</f>
        <v>0</v>
      </c>
      <c r="J110" s="38"/>
      <c r="K110" s="37">
        <f>SUM(D110:J110)</f>
        <v>344.08</v>
      </c>
      <c r="L110" s="35"/>
      <c r="N110" s="35"/>
      <c r="O110" s="35"/>
      <c r="P110" s="35"/>
      <c r="Q110" s="35"/>
      <c r="R110" s="35"/>
      <c r="T110" s="7" t="s">
        <v>440</v>
      </c>
      <c r="U110" s="7" t="str">
        <f>'Character 3'!$L$31</f>
        <v>Pyro DMG%</v>
      </c>
      <c r="V110" s="7">
        <f>'Character 3'!$L$30</f>
        <v>20</v>
      </c>
      <c r="W110" s="7">
        <f>MATCH('Character 3'!$L$32, 'Artifact Database'!$F$1:$F$66, 0)+1</f>
        <v>2</v>
      </c>
      <c r="X110" s="7" cm="1">
        <f t="array" ref="X110">INDEX('Artifact Database'!$F$1:$W$66, Calculations!W110+V110, MATCH(Calculations!U110,'Artifact Database'!$F$1:$W$1, 0))</f>
        <v>46.6</v>
      </c>
    </row>
    <row r="111" spans="2:24" x14ac:dyDescent="0.25">
      <c r="B111" s="35"/>
      <c r="C111" s="36" t="s">
        <v>63</v>
      </c>
      <c r="D111" s="38">
        <v>0</v>
      </c>
      <c r="E111" s="37">
        <v>0</v>
      </c>
      <c r="F111" s="38">
        <f>IFERROR(INDEX(char3Weapons, MATCH(C111, weaponsDB!$A$134:$A$198, 0), MATCH(char3WeaponName,weaponsDB!$A$134:$CS$134, 0)),0)</f>
        <v>0</v>
      </c>
      <c r="G111" s="37">
        <f>IFERROR(INDEX(char3ArtiSetStats, MATCH('Character 3'!$L$14,artisDB!$A$109:$A$161, 0), MATCH(C111, artisDB!$A$109:$AP$109, 0))+INDEX(char3ArtiSetStats, MATCH('Character 3'!$L$15, artisDB!$A$109:$A$161, 0), MATCH(C111, artisDB!$A$109:$AP$109, 0)),0)</f>
        <v>0</v>
      </c>
      <c r="H111" s="38">
        <f>IFERROR(INDEX('Character 3'!$X$19:$Z$28, MATCH(C111, 'Character 3'!$X$19:$X$28, 0), 3)*HLOOKUP('Character 3'!$Z$7, artifactSubstatValues, MATCH(C111, 'Artifact Database'!$A$1:$A$11, 0)),0)</f>
        <v>39.36</v>
      </c>
      <c r="I111" s="37">
        <f>VLOOKUP(C111, 'Character 3'!$R$5:$T$50, 3,0)</f>
        <v>0</v>
      </c>
      <c r="J111" s="38"/>
      <c r="K111" s="37">
        <f t="shared" ref="K111:K155" si="10">SUM(D111:J111)</f>
        <v>39.36</v>
      </c>
      <c r="L111" s="35"/>
      <c r="T111" s="7" t="s">
        <v>442</v>
      </c>
      <c r="U111" s="7" t="str">
        <f>'Character 3'!$L$34</f>
        <v>CR%</v>
      </c>
      <c r="V111" s="7">
        <f>'Character 3'!$L$33</f>
        <v>20</v>
      </c>
      <c r="W111" s="7">
        <f>MATCH('Character 3'!$L$35, 'Artifact Database'!$F$1:$F$66, 0)+1</f>
        <v>2</v>
      </c>
      <c r="X111" s="7" cm="1">
        <f t="array" ref="X111">INDEX('Artifact Database'!$F$1:$W$66, Calculations!W111+V111, MATCH(Calculations!U111,'Artifact Database'!$F$1:$W$1, 0))</f>
        <v>31.1</v>
      </c>
    </row>
    <row r="112" spans="2:24" x14ac:dyDescent="0.25">
      <c r="B112" s="35"/>
      <c r="C112" s="36" t="s">
        <v>64</v>
      </c>
      <c r="D112" s="38">
        <f>X107</f>
        <v>4780</v>
      </c>
      <c r="E112" s="37">
        <v>0</v>
      </c>
      <c r="F112" s="38">
        <f>IFERROR(INDEX(char3Weapons, MATCH(C112, weaponsDB!$A$134:$A$198, 0), MATCH(char3WeaponName,weaponsDB!$A$134:$CS$134, 0)),0)</f>
        <v>0</v>
      </c>
      <c r="G112" s="37">
        <f>IFERROR(INDEX(char3ArtiSetStats, MATCH('Character 3'!$L$14,artisDB!$A$109:$A$161, 0), MATCH(C112, artisDB!$A$109:$AP$109, 0))+INDEX(char3ArtiSetStats, MATCH('Character 3'!$L$15, artisDB!$A$109:$A$161, 0), MATCH(C112, artisDB!$A$109:$AP$109, 0)),0)</f>
        <v>0</v>
      </c>
      <c r="H112" s="38">
        <f>IFERROR(INDEX('Character 3'!$X$19:$Z$28, MATCH(C112, 'Character 3'!$X$19:$X$28, 0), 3)*HLOOKUP('Character 3'!$Z$7, artifactSubstatValues, MATCH(C112, 'Artifact Database'!$A$1:$A$11, 0)),0)</f>
        <v>507.88</v>
      </c>
      <c r="I112" s="37">
        <f>VLOOKUP(C112, 'Character 3'!$R$5:$T$50, 3,0)</f>
        <v>0</v>
      </c>
      <c r="J112" s="38"/>
      <c r="K112" s="37">
        <f t="shared" si="10"/>
        <v>5287.88</v>
      </c>
      <c r="L112" s="35"/>
    </row>
    <row r="113" spans="2:21" x14ac:dyDescent="0.25">
      <c r="B113" s="35"/>
      <c r="C113" s="36" t="s">
        <v>69</v>
      </c>
      <c r="D113" s="38">
        <f>IF(C113=$U$109, $X$109, 0)+IF(C113=$U$110, $X$110, 0)+IF(C113 = $U$111, $X$111, 0)</f>
        <v>187</v>
      </c>
      <c r="E113" s="37">
        <f>IFERROR(VLOOKUP(C113,$T$114:$U$119, 2, 0), 0)</f>
        <v>0</v>
      </c>
      <c r="F113" s="38">
        <f>IFERROR(INDEX(char3Weapons, MATCH(C113, weaponsDB!$A$134:$A$198, 0), MATCH(char3WeaponName,weaponsDB!$A$134:$CS$134, 0)),0)</f>
        <v>55</v>
      </c>
      <c r="G113" s="37">
        <f>IFERROR(INDEX(char3ArtiSetStats, MATCH('Character 3'!$L$14,artisDB!$A$109:$A$161, 0), MATCH(C113, artisDB!$A$109:$AP$109, 0))+INDEX(char3ArtiSetStats, MATCH('Character 3'!$L$15, artisDB!$A$109:$A$161, 0), MATCH(C113, artisDB!$A$109:$AP$109, 0)),0)</f>
        <v>0</v>
      </c>
      <c r="H113" s="38">
        <f>IFERROR(INDEX('Character 3'!$X$19:$Z$28, MATCH(C113, 'Character 3'!$X$19:$X$28, 0), 3)*HLOOKUP('Character 3'!$Z$7, artifactSubstatValues, MATCH(C113, 'Artifact Database'!$A$1:$A$11, 0)),0)</f>
        <v>237.84</v>
      </c>
      <c r="I113" s="37">
        <f>VLOOKUP(C113, 'Character 3'!$R$5:$T$50, 3,0)</f>
        <v>0</v>
      </c>
      <c r="J113" s="38"/>
      <c r="K113" s="37">
        <f t="shared" si="10"/>
        <v>479.84000000000003</v>
      </c>
      <c r="L113" s="35"/>
      <c r="T113" s="7" t="s">
        <v>805</v>
      </c>
      <c r="U113" s="7">
        <f>MATCH(char3Name, 'Char Stats'!$A$1:$A$660, 0)</f>
        <v>91</v>
      </c>
    </row>
    <row r="114" spans="2:21" x14ac:dyDescent="0.25">
      <c r="B114" s="35"/>
      <c r="C114" s="36" t="s">
        <v>65</v>
      </c>
      <c r="D114" s="45">
        <f t="shared" ref="D114:D155" si="11">(IF(C114=$U$109, $X$109, 0)+IF(C114=$U$110, $X$110, 0)+IF(C114 = $U$111, $X$111, 0))/100</f>
        <v>0</v>
      </c>
      <c r="E114" s="83">
        <f t="shared" ref="E114:E155" si="12">IFERROR(VLOOKUP(C114,$T$114:$U$119, 2, 0), 0)</f>
        <v>0</v>
      </c>
      <c r="F114" s="45">
        <f>IFERROR(INDEX(char3Weapons, MATCH(C114, weaponsDB!$A$134:$A$198, 0), MATCH(char3WeaponName,weaponsDB!$A$134:$CS$134, 0)),0)</f>
        <v>0</v>
      </c>
      <c r="G114" s="83">
        <f>IFERROR(INDEX(char3ArtiSetStats, MATCH('Character 3'!$L$14,artisDB!$A$109:$A$161, 0), MATCH(C114, artisDB!$A$109:$AP$109, 0))+INDEX(char3ArtiSetStats, MATCH('Character 3'!$L$15, artisDB!$A$109:$A$161, 0), MATCH(C114, artisDB!$A$109:$AP$109, 0)),0)</f>
        <v>0.2</v>
      </c>
      <c r="H114" s="45">
        <f>IFERROR(INDEX('Character 3'!$X$19:$Z$28, MATCH(C114, 'Character 3'!$X$19:$X$28, 0), 3)*HLOOKUP('Character 3'!$Z$7, artifactSubstatValues, MATCH(C114, 'Artifact Database'!$A$1:$A$11, 0)),0)</f>
        <v>9.9199999999999997E-2</v>
      </c>
      <c r="I114" s="83">
        <f>VLOOKUP(C114, 'Character 3'!$R$5:$T$50, 3,0)</f>
        <v>0.25</v>
      </c>
      <c r="J114" s="38"/>
      <c r="K114" s="83">
        <f t="shared" si="10"/>
        <v>0.54920000000000002</v>
      </c>
      <c r="L114" s="35"/>
      <c r="T114" s="7" t="s">
        <v>410</v>
      </c>
      <c r="U114" s="7" cm="1">
        <f t="array" ref="U114">INDEX('Char Stats'!$A$1:$G$660, MATCH($Q$109, 'Char Stats'!$A$1:$A$15, 0)+$U$113-1, MATCH(Calculations!T114, 'Char Stats'!$A$1:$G$1, 0))</f>
        <v>11539</v>
      </c>
    </row>
    <row r="115" spans="2:21" x14ac:dyDescent="0.25">
      <c r="B115" s="35"/>
      <c r="C115" s="36" t="s">
        <v>66</v>
      </c>
      <c r="D115" s="45">
        <f t="shared" si="11"/>
        <v>0</v>
      </c>
      <c r="E115" s="83">
        <f t="shared" si="12"/>
        <v>0</v>
      </c>
      <c r="F115" s="45">
        <f>IFERROR(INDEX(char3Weapons, MATCH(C115, weaponsDB!$A$134:$A$198, 0), MATCH(char3WeaponName,weaponsDB!$A$134:$CS$134, 0)),0)</f>
        <v>0</v>
      </c>
      <c r="G115" s="83">
        <f>IFERROR(INDEX(char3ArtiSetStats, MATCH('Character 3'!$L$14,artisDB!$A$109:$A$161, 0), MATCH(C115, artisDB!$A$109:$AP$109, 0))+INDEX(char3ArtiSetStats, MATCH('Character 3'!$L$15, artisDB!$A$109:$A$161, 0), MATCH(C115, artisDB!$A$109:$AP$109, 0)),0)</f>
        <v>0</v>
      </c>
      <c r="H115" s="45">
        <f>IFERROR(INDEX('Character 3'!$X$19:$Z$28, MATCH(C115, 'Character 3'!$X$19:$X$28, 0), 3)*HLOOKUP('Character 3'!$Z$7, artifactSubstatValues, MATCH(C115, 'Artifact Database'!$A$1:$A$11, 0)),0)</f>
        <v>0.124</v>
      </c>
      <c r="I115" s="83">
        <f>VLOOKUP(C115, 'Character 3'!$R$5:$T$50, 3,0)</f>
        <v>0</v>
      </c>
      <c r="J115" s="38"/>
      <c r="K115" s="83">
        <f t="shared" si="10"/>
        <v>0.124</v>
      </c>
      <c r="L115" s="35"/>
      <c r="T115" s="7" t="s">
        <v>411</v>
      </c>
      <c r="U115" s="7" cm="1">
        <f t="array" ref="U115">INDEX('Char Stats'!$A$1:$G$660, MATCH($Q$109, 'Char Stats'!$A$1:$A$15, 0)+$U$113-1, MATCH(Calculations!T115, 'Char Stats'!$A$1:$G$1, 0))</f>
        <v>178</v>
      </c>
    </row>
    <row r="116" spans="2:21" x14ac:dyDescent="0.25">
      <c r="B116" s="35"/>
      <c r="C116" s="36" t="s">
        <v>67</v>
      </c>
      <c r="D116" s="45">
        <f t="shared" si="11"/>
        <v>0</v>
      </c>
      <c r="E116" s="83">
        <f t="shared" si="12"/>
        <v>0</v>
      </c>
      <c r="F116" s="45">
        <f>IFERROR(INDEX(char3Weapons, MATCH(C116, weaponsDB!$A$134:$A$198, 0), MATCH(char3WeaponName,weaponsDB!$A$134:$CS$134, 0)),0)</f>
        <v>0</v>
      </c>
      <c r="G116" s="83">
        <f>IFERROR(INDEX(char3ArtiSetStats, MATCH('Character 3'!$L$14,artisDB!$A$109:$A$161, 0), MATCH(C116, artisDB!$A$109:$AP$109, 0))+INDEX(char3ArtiSetStats, MATCH('Character 3'!$L$15, artisDB!$A$109:$A$161, 0), MATCH(C116, artisDB!$A$109:$AP$109, 0)),0)</f>
        <v>0</v>
      </c>
      <c r="H116" s="45">
        <f>IFERROR(INDEX('Character 3'!$X$19:$Z$28, MATCH(C116, 'Character 3'!$X$19:$X$28, 0), 3)*HLOOKUP('Character 3'!$Z$7, artifactSubstatValues, MATCH(C116, 'Artifact Database'!$A$1:$A$11, 0)),0)</f>
        <v>9.9199999999999997E-2</v>
      </c>
      <c r="I116" s="83">
        <f>VLOOKUP(C116, 'Character 3'!$R$5:$T$50, 3,0)</f>
        <v>0</v>
      </c>
      <c r="J116" s="38"/>
      <c r="K116" s="83">
        <f t="shared" si="10"/>
        <v>9.9199999999999997E-2</v>
      </c>
      <c r="L116" s="35"/>
      <c r="T116" s="7" t="s">
        <v>412</v>
      </c>
      <c r="U116" s="7" cm="1">
        <f t="array" ref="U116">INDEX('Char Stats'!$A$1:$G$660, MATCH($Q$109, 'Char Stats'!$A$1:$A$15, 0)+$U$113-1, MATCH(Calculations!T116, 'Char Stats'!$A$1:$G$1, 0))</f>
        <v>718</v>
      </c>
    </row>
    <row r="117" spans="2:21" x14ac:dyDescent="0.25">
      <c r="B117" s="35"/>
      <c r="C117" s="36" t="s">
        <v>413</v>
      </c>
      <c r="D117" s="45">
        <f t="shared" si="11"/>
        <v>0.311</v>
      </c>
      <c r="E117" s="83">
        <f t="shared" ca="1" si="12"/>
        <v>0.05</v>
      </c>
      <c r="F117" s="45">
        <f>IFERROR(INDEX(char3Weapons, MATCH(C117, weaponsDB!$A$134:$A$198, 0), MATCH(char3WeaponName,weaponsDB!$A$134:$CS$134, 0)),0)</f>
        <v>0</v>
      </c>
      <c r="G117" s="83">
        <f>IFERROR(INDEX(char3ArtiSetStats, MATCH('Character 3'!$L$14,artisDB!$A$109:$A$161, 0), MATCH(C117, artisDB!$A$109:$AP$109, 0))+INDEX(char3ArtiSetStats, MATCH('Character 3'!$L$15, artisDB!$A$109:$A$161, 0), MATCH(C117, artisDB!$A$109:$AP$109, 0)),0)</f>
        <v>0</v>
      </c>
      <c r="H117" s="45">
        <f>IFERROR(INDEX('Character 3'!$X$19:$Z$28, MATCH(C117, 'Character 3'!$X$19:$X$28, 0), 3)*HLOOKUP('Character 3'!$Z$7, artifactSubstatValues, MATCH(C117, 'Artifact Database'!$A$1:$A$11, 0)),0)</f>
        <v>6.6199999999999995E-2</v>
      </c>
      <c r="I117" s="83">
        <f>VLOOKUP(C117, 'Character 3'!$R$5:$T$50, 3,0)</f>
        <v>0</v>
      </c>
      <c r="J117" s="38"/>
      <c r="K117" s="83">
        <f ca="1">IF(SUM(D117:J117)&gt;100%, 100%, IF(SUM(D117:J117)&lt;0%, 0%, SUM(D117:J117)))</f>
        <v>0.42719999999999997</v>
      </c>
      <c r="L117" s="35"/>
      <c r="N117" s="35"/>
      <c r="O117" s="35"/>
      <c r="P117" s="35"/>
      <c r="Q117" s="35"/>
      <c r="R117" s="35"/>
      <c r="T117" s="7" t="str" cm="1">
        <f t="array" ref="T117">INDEX('Char Stats'!$A$1:$G$660, $U$113, 5)</f>
        <v>ER%</v>
      </c>
      <c r="U117" s="105">
        <f ca="1">INDEX(INDIRECT(char3Name&amp;"BaseStats"), MATCH(char3Level,  INDEX(INDIRECT(char3Name&amp;"BaseStats"), 0, 1), 0), MATCH(T117, INDEX(INDIRECT(char3Name&amp;"BaseStats"), 1, 0), 0))*IF(NOT(T117="EM"), 0.01, 1)</f>
        <v>0.26700000000000002</v>
      </c>
    </row>
    <row r="118" spans="2:21" x14ac:dyDescent="0.25">
      <c r="B118" s="35"/>
      <c r="C118" s="36" t="s">
        <v>414</v>
      </c>
      <c r="D118" s="45">
        <f t="shared" si="11"/>
        <v>0</v>
      </c>
      <c r="E118" s="83">
        <f t="shared" ca="1" si="12"/>
        <v>0.5</v>
      </c>
      <c r="F118" s="45">
        <f>IFERROR(INDEX(char3Weapons, MATCH(C118, weaponsDB!$A$134:$A$198, 0), MATCH(char3WeaponName,weaponsDB!$A$134:$CS$134, 0)),0)</f>
        <v>0</v>
      </c>
      <c r="G118" s="83">
        <f>IFERROR(INDEX(char3ArtiSetStats, MATCH('Character 3'!$L$14,artisDB!$A$109:$A$161, 0), MATCH(C118, artisDB!$A$109:$AP$109, 0))+INDEX(char3ArtiSetStats, MATCH('Character 3'!$L$15, artisDB!$A$109:$A$161, 0), MATCH(C118, artisDB!$A$109:$AP$109, 0)),0)</f>
        <v>0</v>
      </c>
      <c r="H118" s="45">
        <f>IFERROR(INDEX('Character 3'!$X$19:$Z$28, MATCH(C118, 'Character 3'!$X$19:$X$28, 0), 3)*HLOOKUP('Character 3'!$Z$7, artifactSubstatValues, MATCH(C118, 'Artifact Database'!$A$1:$A$11, 0)),0)</f>
        <v>0.13239999999999999</v>
      </c>
      <c r="I118" s="83">
        <f>VLOOKUP(C118, 'Character 3'!$R$5:$T$50, 3,0)</f>
        <v>0</v>
      </c>
      <c r="J118" s="38"/>
      <c r="K118" s="83">
        <f t="shared" ca="1" si="10"/>
        <v>0.63239999999999996</v>
      </c>
      <c r="L118" s="35"/>
      <c r="N118" s="35"/>
      <c r="O118" s="238" t="s">
        <v>628</v>
      </c>
      <c r="P118" s="238"/>
      <c r="Q118" s="238"/>
      <c r="R118" s="35"/>
      <c r="T118" s="7" t="str" cm="1">
        <f t="array" ref="T118">INDEX('Char Stats'!$A$1:$G$660, $U$113, 6)</f>
        <v>CR%</v>
      </c>
      <c r="U118" s="105">
        <f ca="1">INDEX(INDIRECT(char3Name&amp;"BaseStats"), MATCH(char3Level,  INDEX(INDIRECT(char3Name&amp;"BaseStats"), 0, 1), 0), MATCH(T118, INDEX(INDIRECT(char3Name&amp;"BaseStats"), 1, 0), 0))*IF(NOT(T118="EM"), 0.01, 1)</f>
        <v>0.05</v>
      </c>
    </row>
    <row r="119" spans="2:21" x14ac:dyDescent="0.25">
      <c r="B119" s="35"/>
      <c r="C119" s="36" t="s">
        <v>68</v>
      </c>
      <c r="D119" s="45">
        <f t="shared" si="11"/>
        <v>0</v>
      </c>
      <c r="E119" s="83">
        <f t="shared" ca="1" si="12"/>
        <v>0.26700000000000002</v>
      </c>
      <c r="F119" s="45">
        <f>IFERROR(INDEX(char3Weapons, MATCH(C119, weaponsDB!$A$134:$A$198, 0), MATCH(char3WeaponName,weaponsDB!$A$134:$CS$134, 0)),0)</f>
        <v>0</v>
      </c>
      <c r="G119" s="83">
        <f>IFERROR(INDEX(char3ArtiSetStats, MATCH('Character 3'!$L$14,artisDB!$A$109:$A$161, 0), MATCH(C119, artisDB!$A$109:$AP$109, 0))+INDEX(char3ArtiSetStats, MATCH('Character 3'!$L$15, artisDB!$A$109:$A$161, 0), MATCH(C119, artisDB!$A$109:$AP$109, 0)),0)</f>
        <v>0</v>
      </c>
      <c r="H119" s="45">
        <f>IFERROR(INDEX('Character 3'!$X$19:$Z$28, MATCH(C119, 'Character 3'!$X$19:$X$28, 0), 3)*HLOOKUP('Character 3'!$Z$7, artifactSubstatValues, MATCH(C119, 'Artifact Database'!$A$1:$A$11, 0)),0)</f>
        <v>0.11020000000000001</v>
      </c>
      <c r="I119" s="83">
        <f>VLOOKUP(C119, 'Character 3'!$R$5:$T$50, 3,0)</f>
        <v>0</v>
      </c>
      <c r="J119" s="38"/>
      <c r="K119" s="83">
        <f ca="1">SUM(D119:J119)+100%</f>
        <v>1.3772</v>
      </c>
      <c r="L119" s="35"/>
      <c r="N119" s="35"/>
      <c r="O119" s="238"/>
      <c r="P119" s="238"/>
      <c r="Q119" s="238"/>
      <c r="R119" s="35"/>
      <c r="T119" s="7" t="str" cm="1">
        <f t="array" ref="T119">INDEX('Char Stats'!$A$1:$G$660, $U$113, 7)</f>
        <v>CDMG%</v>
      </c>
      <c r="U119" s="105">
        <f ca="1">INDEX(INDIRECT(char3Name&amp;"BaseStats"), MATCH(char3Level, INDEX(INDIRECT(char3Name&amp;"BaseStats"), 0, 1), 0), MATCH(T119, INDEX(INDIRECT(char3Name&amp;"BaseStats"), 1, 0), 0))*IF(NOT(T119="EM"), 0.01, 1)</f>
        <v>0.5</v>
      </c>
    </row>
    <row r="120" spans="2:21" x14ac:dyDescent="0.25">
      <c r="B120" s="35"/>
      <c r="C120" s="36" t="s">
        <v>82</v>
      </c>
      <c r="D120" s="45">
        <f t="shared" si="11"/>
        <v>0</v>
      </c>
      <c r="E120" s="83">
        <f t="shared" si="12"/>
        <v>0</v>
      </c>
      <c r="F120" s="45">
        <f>IFERROR(INDEX(char3Weapons, MATCH(C120, weaponsDB!$A$134:$A$198, 0), MATCH(char3WeaponName,weaponsDB!$A$134:$CS$134, 0)),0)</f>
        <v>0.12</v>
      </c>
      <c r="G120" s="83">
        <f>IFERROR(INDEX(char3ArtiSetStats, MATCH('Character 3'!$L$14,artisDB!$A$109:$A$161, 0), MATCH(C120, artisDB!$A$109:$AP$109, 0))+INDEX(char3ArtiSetStats, MATCH('Character 3'!$L$15, artisDB!$A$109:$A$161, 0), MATCH(C120, artisDB!$A$109:$AP$109, 0)),0)</f>
        <v>0</v>
      </c>
      <c r="H120" s="45">
        <f>IFERROR(INDEX('Character 3'!$X$19:$Z$28, MATCH(C120, 'Character 3'!$X$19:$X$28, 0), 3)*HLOOKUP('Character 3'!$Z$7, artifactSubstatValues, MATCH(C120, 'Artifact Database'!$A$1:$A$11, 0)),0)</f>
        <v>0</v>
      </c>
      <c r="I120" s="83">
        <f>VLOOKUP(C120, 'Character 3'!$R$5:$T$50, 3,0)</f>
        <v>0</v>
      </c>
      <c r="J120" s="38"/>
      <c r="K120" s="83">
        <f t="shared" si="10"/>
        <v>0.12</v>
      </c>
      <c r="L120" s="35"/>
      <c r="N120" s="35"/>
      <c r="O120" s="239" t="s">
        <v>422</v>
      </c>
      <c r="P120" s="239"/>
      <c r="Q120" s="104">
        <f>VALUE(LEFT(Q109, 2))</f>
        <v>80</v>
      </c>
      <c r="R120" s="35"/>
    </row>
    <row r="121" spans="2:21" x14ac:dyDescent="0.25">
      <c r="B121" s="35"/>
      <c r="C121" s="36" t="s">
        <v>70</v>
      </c>
      <c r="D121" s="45">
        <f t="shared" si="11"/>
        <v>0</v>
      </c>
      <c r="E121" s="83">
        <f t="shared" si="12"/>
        <v>0</v>
      </c>
      <c r="F121" s="45">
        <f>IFERROR(INDEX(char3Weapons, MATCH(C121, weaponsDB!$A$134:$A$198, 0), MATCH(char3WeaponName,weaponsDB!$A$134:$CS$134, 0)),0)</f>
        <v>0</v>
      </c>
      <c r="G121" s="83">
        <f>IFERROR(INDEX(char3ArtiSetStats, MATCH('Character 3'!$L$14,artisDB!$A$109:$A$161, 0), MATCH(C121, artisDB!$A$109:$AP$109, 0))+INDEX(char3ArtiSetStats, MATCH('Character 3'!$L$15, artisDB!$A$109:$A$161, 0), MATCH(C121, artisDB!$A$109:$AP$109, 0)),0)</f>
        <v>0</v>
      </c>
      <c r="H121" s="45">
        <f>IFERROR(INDEX('Character 3'!$X$19:$Z$28, MATCH(C121, 'Character 3'!$X$19:$X$28, 0), 3)*HLOOKUP('Character 3'!$Z$7, artifactSubstatValues, MATCH(C121, 'Artifact Database'!$A$1:$A$11, 0)),0)</f>
        <v>0</v>
      </c>
      <c r="I121" s="83">
        <f>VLOOKUP(C121, 'Character 3'!$R$5:$T$50, 3,0)</f>
        <v>0</v>
      </c>
      <c r="J121" s="38"/>
      <c r="K121" s="83">
        <f t="shared" si="10"/>
        <v>0</v>
      </c>
      <c r="L121" s="35"/>
      <c r="N121" s="35"/>
      <c r="O121" s="239" t="s">
        <v>25</v>
      </c>
      <c r="P121" s="239"/>
      <c r="Q121" s="7">
        <f>'Character 1'!$E$29</f>
        <v>90</v>
      </c>
      <c r="R121" s="35"/>
    </row>
    <row r="122" spans="2:21" x14ac:dyDescent="0.25">
      <c r="B122" s="35"/>
      <c r="C122" s="36" t="s">
        <v>71</v>
      </c>
      <c r="D122" s="45">
        <f t="shared" si="11"/>
        <v>0</v>
      </c>
      <c r="E122" s="83">
        <f t="shared" si="12"/>
        <v>0</v>
      </c>
      <c r="F122" s="45">
        <f>IFERROR(INDEX(char3Weapons, MATCH(C122, weaponsDB!$A$134:$A$198, 0), MATCH(char3WeaponName,weaponsDB!$A$134:$CS$134, 0)),0)</f>
        <v>0</v>
      </c>
      <c r="G122" s="83">
        <f>IFERROR(INDEX(char3ArtiSetStats, MATCH('Character 3'!$L$14,artisDB!$A$109:$A$161, 0), MATCH(C122, artisDB!$A$109:$AP$109, 0))+INDEX(char3ArtiSetStats, MATCH('Character 3'!$L$15, artisDB!$A$109:$A$161, 0), MATCH(C122, artisDB!$A$109:$AP$109, 0)),0)</f>
        <v>0</v>
      </c>
      <c r="H122" s="45">
        <f>IFERROR(INDEX('Character 3'!$X$19:$Z$28, MATCH(C122, 'Character 3'!$X$19:$X$28, 0), 3)*HLOOKUP('Character 3'!$Z$7, artifactSubstatValues, MATCH(C122, 'Artifact Database'!$A$1:$A$11, 0)),0)</f>
        <v>0</v>
      </c>
      <c r="I122" s="83">
        <f>VLOOKUP(C122, 'Character 3'!$R$5:$T$50, 3,0)</f>
        <v>0</v>
      </c>
      <c r="J122" s="38"/>
      <c r="K122" s="83">
        <f t="shared" si="10"/>
        <v>0</v>
      </c>
      <c r="L122" s="35"/>
      <c r="N122" s="35"/>
      <c r="O122" s="239" t="s">
        <v>649</v>
      </c>
      <c r="P122" s="239"/>
      <c r="Q122" s="7">
        <f>IF(Q120&lt;60, 0.0002325*Q120^3+0.05547*Q120^2-0.2523*Q120+14.47, 0.00194*Q120^3-0.319*Q120^2+30.7*Q120-868)</f>
        <v>539.67999999999984</v>
      </c>
      <c r="R122" s="35"/>
    </row>
    <row r="123" spans="2:21" x14ac:dyDescent="0.25">
      <c r="B123" s="35"/>
      <c r="C123" s="36" t="s">
        <v>72</v>
      </c>
      <c r="D123" s="45">
        <f t="shared" si="11"/>
        <v>0</v>
      </c>
      <c r="E123" s="83">
        <f t="shared" si="12"/>
        <v>0</v>
      </c>
      <c r="F123" s="45">
        <f>IFERROR(INDEX(char3Weapons, MATCH(C123, weaponsDB!$A$134:$A$198, 0), MATCH(char3WeaponName,weaponsDB!$A$134:$CS$134, 0)),0)</f>
        <v>0</v>
      </c>
      <c r="G123" s="83">
        <f>IFERROR(INDEX(char3ArtiSetStats, MATCH('Character 3'!$L$14,artisDB!$A$109:$A$161, 0), MATCH(C123, artisDB!$A$109:$AP$109, 0))+INDEX(char3ArtiSetStats, MATCH('Character 3'!$L$15, artisDB!$A$109:$A$161, 0), MATCH(C123, artisDB!$A$109:$AP$109, 0)),0)</f>
        <v>0</v>
      </c>
      <c r="H123" s="45">
        <f>IFERROR(INDEX('Character 3'!$X$19:$Z$28, MATCH(C123, 'Character 3'!$X$19:$X$28, 0), 3)*HLOOKUP('Character 3'!$Z$7, artifactSubstatValues, MATCH(C123, 'Artifact Database'!$A$1:$A$11, 0)),0)</f>
        <v>0</v>
      </c>
      <c r="I123" s="83">
        <f>VLOOKUP(C123, 'Character 3'!$R$5:$T$50, 3,0)</f>
        <v>0</v>
      </c>
      <c r="J123" s="38"/>
      <c r="K123" s="83">
        <f t="shared" si="10"/>
        <v>0</v>
      </c>
      <c r="L123" s="35"/>
      <c r="N123" s="35"/>
      <c r="O123" s="35"/>
      <c r="P123" s="35"/>
      <c r="Q123" s="35"/>
      <c r="R123" s="35"/>
    </row>
    <row r="124" spans="2:21" x14ac:dyDescent="0.25">
      <c r="B124" s="35"/>
      <c r="C124" s="36" t="s">
        <v>73</v>
      </c>
      <c r="D124" s="45">
        <f t="shared" si="11"/>
        <v>0.46600000000000003</v>
      </c>
      <c r="E124" s="83">
        <f t="shared" si="12"/>
        <v>0</v>
      </c>
      <c r="F124" s="45">
        <f>IFERROR(INDEX(char3Weapons, MATCH(C124, weaponsDB!$A$134:$A$198, 0), MATCH(char3WeaponName,weaponsDB!$A$134:$CS$134, 0)),0)</f>
        <v>0</v>
      </c>
      <c r="G124" s="83">
        <f>IFERROR(INDEX(char3ArtiSetStats, MATCH('Character 3'!$L$14,artisDB!$A$109:$A$161, 0), MATCH(C124, artisDB!$A$109:$AP$109, 0))+INDEX(char3ArtiSetStats, MATCH('Character 3'!$L$15, artisDB!$A$109:$A$161, 0), MATCH(C124, artisDB!$A$109:$AP$109, 0)),0)</f>
        <v>0</v>
      </c>
      <c r="H124" s="45">
        <f>IFERROR(INDEX('Character 3'!$X$19:$Z$28, MATCH(C124, 'Character 3'!$X$19:$X$28, 0), 3)*HLOOKUP('Character 3'!$Z$7, artifactSubstatValues, MATCH(C124, 'Artifact Database'!$A$1:$A$11, 0)),0)</f>
        <v>0</v>
      </c>
      <c r="I124" s="83">
        <f>VLOOKUP(C124, 'Character 3'!$R$5:$T$50, 3,0)</f>
        <v>0</v>
      </c>
      <c r="J124" s="38"/>
      <c r="K124" s="83">
        <f t="shared" si="10"/>
        <v>0.46600000000000003</v>
      </c>
      <c r="L124" s="35"/>
    </row>
    <row r="125" spans="2:21" x14ac:dyDescent="0.25">
      <c r="B125" s="35"/>
      <c r="C125" s="36" t="s">
        <v>74</v>
      </c>
      <c r="D125" s="45">
        <f t="shared" si="11"/>
        <v>0</v>
      </c>
      <c r="E125" s="83">
        <f t="shared" si="12"/>
        <v>0</v>
      </c>
      <c r="F125" s="45">
        <f>IFERROR(INDEX(char3Weapons, MATCH(C125, weaponsDB!$A$134:$A$198, 0), MATCH(char3WeaponName,weaponsDB!$A$134:$CS$134, 0)),0)</f>
        <v>0</v>
      </c>
      <c r="G125" s="83">
        <f>IFERROR(INDEX(char3ArtiSetStats, MATCH('Character 3'!$L$14,artisDB!$A$109:$A$161, 0), MATCH(C125, artisDB!$A$109:$AP$109, 0))+INDEX(char3ArtiSetStats, MATCH('Character 3'!$L$15, artisDB!$A$109:$A$161, 0), MATCH(C125, artisDB!$A$109:$AP$109, 0)),0)</f>
        <v>0</v>
      </c>
      <c r="H125" s="45">
        <f>IFERROR(INDEX('Character 3'!$X$19:$Z$28, MATCH(C125, 'Character 3'!$X$19:$X$28, 0), 3)*HLOOKUP('Character 3'!$Z$7, artifactSubstatValues, MATCH(C125, 'Artifact Database'!$A$1:$A$11, 0)),0)</f>
        <v>0</v>
      </c>
      <c r="I125" s="83">
        <f>VLOOKUP(C125, 'Character 3'!$R$5:$T$50, 3,0)</f>
        <v>0</v>
      </c>
      <c r="J125" s="38"/>
      <c r="K125" s="83">
        <f t="shared" si="10"/>
        <v>0</v>
      </c>
      <c r="L125" s="35"/>
      <c r="N125" s="35"/>
      <c r="O125" s="35"/>
      <c r="P125" s="35"/>
      <c r="Q125" s="35"/>
      <c r="R125" s="35"/>
    </row>
    <row r="126" spans="2:21" x14ac:dyDescent="0.25">
      <c r="B126" s="35"/>
      <c r="C126" s="36" t="s">
        <v>75</v>
      </c>
      <c r="D126" s="45">
        <f t="shared" si="11"/>
        <v>0</v>
      </c>
      <c r="E126" s="83">
        <f t="shared" si="12"/>
        <v>0</v>
      </c>
      <c r="F126" s="45">
        <f>IFERROR(INDEX(char3Weapons, MATCH(C126, weaponsDB!$A$134:$A$198, 0), MATCH(char3WeaponName,weaponsDB!$A$134:$CS$134, 0)),0)</f>
        <v>0</v>
      </c>
      <c r="G126" s="83">
        <f>IFERROR(INDEX(char3ArtiSetStats, MATCH('Character 3'!$L$14,artisDB!$A$109:$A$161, 0), MATCH(C126, artisDB!$A$109:$AP$109, 0))+INDEX(char3ArtiSetStats, MATCH('Character 3'!$L$15, artisDB!$A$109:$A$161, 0), MATCH(C126, artisDB!$A$109:$AP$109, 0)),0)</f>
        <v>0</v>
      </c>
      <c r="H126" s="45">
        <f>IFERROR(INDEX('Character 3'!$X$19:$Z$28, MATCH(C126, 'Character 3'!$X$19:$X$28, 0), 3)*HLOOKUP('Character 3'!$Z$7, artifactSubstatValues, MATCH(C126, 'Artifact Database'!$A$1:$A$11, 0)),0)</f>
        <v>0</v>
      </c>
      <c r="I126" s="83">
        <f>VLOOKUP(C126, 'Character 3'!$R$5:$T$50, 3,0)</f>
        <v>0</v>
      </c>
      <c r="J126" s="38"/>
      <c r="K126" s="83">
        <f t="shared" si="10"/>
        <v>0</v>
      </c>
      <c r="L126" s="35"/>
      <c r="N126" s="35"/>
      <c r="O126" s="238" t="s">
        <v>637</v>
      </c>
      <c r="P126" s="238"/>
      <c r="Q126" s="238"/>
      <c r="R126" s="35"/>
    </row>
    <row r="127" spans="2:21" x14ac:dyDescent="0.25">
      <c r="B127" s="35"/>
      <c r="C127" s="36" t="s">
        <v>76</v>
      </c>
      <c r="D127" s="45">
        <f t="shared" si="11"/>
        <v>0</v>
      </c>
      <c r="E127" s="83">
        <f t="shared" si="12"/>
        <v>0</v>
      </c>
      <c r="F127" s="45">
        <f>IFERROR(INDEX(char3Weapons, MATCH(C127, weaponsDB!$A$134:$A$198, 0), MATCH(char3WeaponName,weaponsDB!$A$134:$CS$134, 0)),0)</f>
        <v>0</v>
      </c>
      <c r="G127" s="83">
        <f>IFERROR(INDEX(char3ArtiSetStats, MATCH('Character 3'!$L$14,artisDB!$A$109:$A$161, 0), MATCH(C127, artisDB!$A$109:$AP$109, 0))+INDEX(char3ArtiSetStats, MATCH('Character 3'!$L$15, artisDB!$A$109:$A$161, 0), MATCH(C127, artisDB!$A$109:$AP$109, 0)),0)</f>
        <v>0</v>
      </c>
      <c r="H127" s="45">
        <f>IFERROR(INDEX('Character 3'!$X$19:$Z$28, MATCH(C127, 'Character 3'!$X$19:$X$28, 0), 3)*HLOOKUP('Character 3'!$Z$7, artifactSubstatValues, MATCH(C127, 'Artifact Database'!$A$1:$A$11, 0)),0)</f>
        <v>0</v>
      </c>
      <c r="I127" s="83">
        <f>VLOOKUP(C127, 'Character 3'!$R$5:$T$50, 3,0)</f>
        <v>0</v>
      </c>
      <c r="J127" s="38"/>
      <c r="K127" s="83">
        <f t="shared" si="10"/>
        <v>0</v>
      </c>
      <c r="L127" s="35"/>
      <c r="N127" s="35"/>
      <c r="O127" s="238"/>
      <c r="P127" s="238"/>
      <c r="Q127" s="238"/>
      <c r="R127" s="35"/>
    </row>
    <row r="128" spans="2:21" x14ac:dyDescent="0.25">
      <c r="B128" s="35"/>
      <c r="C128" s="36" t="s">
        <v>77</v>
      </c>
      <c r="D128" s="45">
        <f t="shared" si="11"/>
        <v>0</v>
      </c>
      <c r="E128" s="83">
        <f t="shared" si="12"/>
        <v>0</v>
      </c>
      <c r="F128" s="45">
        <f>IFERROR(INDEX(char3Weapons, MATCH(C128, weaponsDB!$A$134:$A$198, 0), MATCH(char3WeaponName,weaponsDB!$A$134:$CS$134, 0)),0)</f>
        <v>0</v>
      </c>
      <c r="G128" s="83">
        <f>IFERROR(INDEX(char3ArtiSetStats, MATCH('Character 3'!$L$14,artisDB!$A$109:$A$161, 0), MATCH(C128, artisDB!$A$109:$AP$109, 0))+INDEX(char3ArtiSetStats, MATCH('Character 3'!$L$15, artisDB!$A$109:$A$161, 0), MATCH(C128, artisDB!$A$109:$AP$109, 0)),0)</f>
        <v>0</v>
      </c>
      <c r="H128" s="45">
        <f>IFERROR(INDEX('Character 3'!$X$19:$Z$28, MATCH(C128, 'Character 3'!$X$19:$X$28, 0), 3)*HLOOKUP('Character 3'!$Z$7, artifactSubstatValues, MATCH(C128, 'Artifact Database'!$A$1:$A$11, 0)),0)</f>
        <v>0</v>
      </c>
      <c r="I128" s="83">
        <f>VLOOKUP(C128, 'Character 3'!$R$5:$T$50, 3,0)</f>
        <v>0</v>
      </c>
      <c r="J128" s="38"/>
      <c r="K128" s="83">
        <f t="shared" si="10"/>
        <v>0</v>
      </c>
      <c r="L128" s="35"/>
      <c r="N128" s="35"/>
      <c r="O128" s="239" t="s">
        <v>636</v>
      </c>
      <c r="P128" s="239"/>
      <c r="Q128" s="7">
        <f>INDEX(char3Weapons, MATCH("Base ATK", weaponsDB!$A$134:$A$198, 0), MATCH(char3WeaponName, weaponsDB!$A$134:$CS$134, 0))</f>
        <v>620</v>
      </c>
      <c r="R128" s="35"/>
    </row>
    <row r="129" spans="2:18" x14ac:dyDescent="0.25">
      <c r="B129" s="35"/>
      <c r="C129" s="36" t="s">
        <v>78</v>
      </c>
      <c r="D129" s="45">
        <f t="shared" si="11"/>
        <v>0</v>
      </c>
      <c r="E129" s="83">
        <f t="shared" si="12"/>
        <v>0</v>
      </c>
      <c r="F129" s="45">
        <f>IFERROR(INDEX(char3Weapons, MATCH(C129, weaponsDB!$A$134:$A$198, 0), MATCH(char3WeaponName,weaponsDB!$A$134:$CS$134, 0)),0)</f>
        <v>0</v>
      </c>
      <c r="G129" s="83">
        <f>IFERROR(INDEX(char3ArtiSetStats, MATCH('Character 3'!$L$14,artisDB!$A$109:$A$161, 0), MATCH(C129, artisDB!$A$109:$AP$109, 0))+INDEX(char3ArtiSetStats, MATCH('Character 3'!$L$15, artisDB!$A$109:$A$161, 0), MATCH(C129, artisDB!$A$109:$AP$109, 0)),0)</f>
        <v>0</v>
      </c>
      <c r="H129" s="45">
        <f>IFERROR(INDEX('Character 3'!$X$19:$Z$28, MATCH(C129, 'Character 3'!$X$19:$X$28, 0), 3)*HLOOKUP('Character 3'!$Z$7, artifactSubstatValues, MATCH(C129, 'Artifact Database'!$A$1:$A$11, 0)),0)</f>
        <v>0</v>
      </c>
      <c r="I129" s="83">
        <f>VLOOKUP(C129, 'Character 3'!$R$5:$T$50, 3,0)</f>
        <v>0</v>
      </c>
      <c r="J129" s="38"/>
      <c r="K129" s="83">
        <f t="shared" si="10"/>
        <v>0</v>
      </c>
      <c r="L129" s="35"/>
      <c r="N129" s="35"/>
      <c r="O129" s="239" t="s">
        <v>629</v>
      </c>
      <c r="P129" s="239"/>
      <c r="Q129" s="7">
        <f>U115</f>
        <v>178</v>
      </c>
      <c r="R129" s="35"/>
    </row>
    <row r="130" spans="2:18" x14ac:dyDescent="0.25">
      <c r="B130" s="35"/>
      <c r="C130" s="36" t="s">
        <v>79</v>
      </c>
      <c r="D130" s="45">
        <f t="shared" si="11"/>
        <v>0</v>
      </c>
      <c r="E130" s="83">
        <f t="shared" si="12"/>
        <v>0</v>
      </c>
      <c r="F130" s="45">
        <f>IFERROR(INDEX(char3Weapons, MATCH(C130, weaponsDB!$A$134:$A$198, 0), MATCH(char3WeaponName,weaponsDB!$A$134:$CS$134, 0)),0)</f>
        <v>0</v>
      </c>
      <c r="G130" s="83">
        <f>IFERROR(INDEX(char3ArtiSetStats, MATCH('Character 3'!$L$14,artisDB!$A$109:$A$161, 0), MATCH(C130, artisDB!$A$109:$AP$109, 0))+INDEX(char3ArtiSetStats, MATCH('Character 3'!$L$15, artisDB!$A$109:$A$161, 0), MATCH(C130, artisDB!$A$109:$AP$109, 0)),0)</f>
        <v>0</v>
      </c>
      <c r="H130" s="45">
        <f>IFERROR(INDEX('Character 3'!$X$19:$Z$28, MATCH(C130, 'Character 3'!$X$19:$X$28, 0), 3)*HLOOKUP('Character 3'!$Z$7, artifactSubstatValues, MATCH(C130, 'Artifact Database'!$A$1:$A$11, 0)),0)</f>
        <v>0</v>
      </c>
      <c r="I130" s="83">
        <f>VLOOKUP(C130, 'Character 3'!$R$5:$T$50, 3,0)</f>
        <v>0</v>
      </c>
      <c r="J130" s="38"/>
      <c r="K130" s="83">
        <f t="shared" si="10"/>
        <v>0</v>
      </c>
      <c r="L130" s="35"/>
      <c r="N130" s="35"/>
      <c r="O130" s="239" t="s">
        <v>638</v>
      </c>
      <c r="P130" s="239"/>
      <c r="Q130" s="7">
        <f>U116</f>
        <v>718</v>
      </c>
      <c r="R130" s="35"/>
    </row>
    <row r="131" spans="2:18" x14ac:dyDescent="0.25">
      <c r="B131" s="35"/>
      <c r="C131" s="36" t="s">
        <v>80</v>
      </c>
      <c r="D131" s="45">
        <f t="shared" si="11"/>
        <v>0</v>
      </c>
      <c r="E131" s="83">
        <f t="shared" si="12"/>
        <v>0</v>
      </c>
      <c r="F131" s="45">
        <f>IFERROR(INDEX(char3Weapons, MATCH(C131, weaponsDB!$A$134:$A$198, 0), MATCH(char3WeaponName,weaponsDB!$A$134:$CS$134, 0)),0)</f>
        <v>0</v>
      </c>
      <c r="G131" s="83">
        <f>IFERROR(INDEX(char3ArtiSetStats, MATCH('Character 3'!$L$14,artisDB!$A$109:$A$161, 0), MATCH(C131, artisDB!$A$109:$AP$109, 0))+INDEX(char3ArtiSetStats, MATCH('Character 3'!$L$15, artisDB!$A$109:$A$161, 0), MATCH(C131, artisDB!$A$109:$AP$109, 0)),0)</f>
        <v>0</v>
      </c>
      <c r="H131" s="45">
        <f>IFERROR(INDEX('Character 3'!$X$19:$Z$28, MATCH(C131, 'Character 3'!$X$19:$X$28, 0), 3)*HLOOKUP('Character 3'!$Z$7, artifactSubstatValues, MATCH(C131, 'Artifact Database'!$A$1:$A$11, 0)),0)</f>
        <v>0</v>
      </c>
      <c r="I131" s="83">
        <f>VLOOKUP(C131, 'Character 3'!$R$5:$T$50, 3,0)</f>
        <v>0</v>
      </c>
      <c r="J131" s="38"/>
      <c r="K131" s="83">
        <f t="shared" si="10"/>
        <v>0</v>
      </c>
      <c r="L131" s="35"/>
      <c r="N131" s="35"/>
      <c r="O131" s="239" t="s">
        <v>639</v>
      </c>
      <c r="P131" s="239"/>
      <c r="Q131" s="7">
        <f>U114</f>
        <v>11539</v>
      </c>
      <c r="R131" s="35"/>
    </row>
    <row r="132" spans="2:18" x14ac:dyDescent="0.25">
      <c r="B132" s="35"/>
      <c r="C132" s="36" t="s">
        <v>81</v>
      </c>
      <c r="D132" s="45">
        <f t="shared" si="11"/>
        <v>0</v>
      </c>
      <c r="E132" s="83">
        <f t="shared" si="12"/>
        <v>0</v>
      </c>
      <c r="F132" s="45">
        <f>IFERROR(INDEX(char3Weapons, MATCH(C132, weaponsDB!$A$134:$A$198, 0), MATCH(char3WeaponName,weaponsDB!$A$134:$CS$134, 0)),0)</f>
        <v>0</v>
      </c>
      <c r="G132" s="83">
        <f>IFERROR(INDEX(char3ArtiSetStats, MATCH('Character 3'!$L$14,artisDB!$A$109:$A$161, 0), MATCH(C132, artisDB!$A$109:$AP$109, 0))+INDEX(char3ArtiSetStats, MATCH('Character 3'!$L$15, artisDB!$A$109:$A$161, 0), MATCH(C132, artisDB!$A$109:$AP$109, 0)),0)</f>
        <v>0.2</v>
      </c>
      <c r="H132" s="45">
        <f>IFERROR(INDEX('Character 3'!$X$19:$Z$28, MATCH(C132, 'Character 3'!$X$19:$X$28, 0), 3)*HLOOKUP('Character 3'!$Z$7, artifactSubstatValues, MATCH(C132, 'Artifact Database'!$A$1:$A$11, 0)),0)</f>
        <v>0</v>
      </c>
      <c r="I132" s="83">
        <f>VLOOKUP(C132, 'Character 3'!$R$5:$T$50, 3,0)</f>
        <v>0.18</v>
      </c>
      <c r="J132" s="38"/>
      <c r="K132" s="83">
        <f t="shared" si="10"/>
        <v>0.38</v>
      </c>
      <c r="L132" s="35"/>
      <c r="N132" s="35"/>
      <c r="O132" s="35"/>
      <c r="P132" s="35"/>
      <c r="Q132" s="35"/>
      <c r="R132" s="35"/>
    </row>
    <row r="133" spans="2:18" x14ac:dyDescent="0.25">
      <c r="B133" s="35"/>
      <c r="C133" s="36" t="s">
        <v>83</v>
      </c>
      <c r="D133" s="45">
        <f t="shared" si="11"/>
        <v>0</v>
      </c>
      <c r="E133" s="83">
        <f t="shared" si="12"/>
        <v>0</v>
      </c>
      <c r="F133" s="45">
        <f>IFERROR(INDEX(char3Weapons, MATCH(C133, weaponsDB!$A$134:$A$198, 0), MATCH(char3WeaponName,weaponsDB!$A$134:$CS$134, 0)),0)</f>
        <v>0</v>
      </c>
      <c r="G133" s="83">
        <f>IFERROR(INDEX(char3ArtiSetStats, MATCH('Character 3'!$L$14,artisDB!$A$109:$A$161, 0), MATCH(C133, artisDB!$A$109:$AP$109, 0))+INDEX(char3ArtiSetStats, MATCH('Character 3'!$L$15, artisDB!$A$109:$A$161, 0), MATCH(C133, artisDB!$A$109:$AP$109, 0)),0)</f>
        <v>0</v>
      </c>
      <c r="H133" s="45">
        <f>IFERROR(INDEX('Character 3'!$X$19:$Z$28, MATCH(C133, 'Character 3'!$X$19:$X$28, 0), 3)*HLOOKUP('Character 3'!$Z$7, artifactSubstatValues, MATCH(C133, 'Artifact Database'!$A$1:$A$11, 0)),0)</f>
        <v>0</v>
      </c>
      <c r="I133" s="83">
        <f>VLOOKUP(C133, 'Character 3'!$R$5:$T$50, 3,0)</f>
        <v>0</v>
      </c>
      <c r="J133" s="38"/>
      <c r="K133" s="83">
        <f t="shared" si="10"/>
        <v>0</v>
      </c>
      <c r="L133" s="35"/>
    </row>
    <row r="134" spans="2:18" x14ac:dyDescent="0.25">
      <c r="B134" s="35"/>
      <c r="C134" s="36" t="s">
        <v>84</v>
      </c>
      <c r="D134" s="45">
        <f t="shared" si="11"/>
        <v>0</v>
      </c>
      <c r="E134" s="83">
        <f t="shared" si="12"/>
        <v>0</v>
      </c>
      <c r="F134" s="45">
        <f>IFERROR(INDEX(char3Weapons, MATCH(C134, weaponsDB!$A$134:$A$198, 0), MATCH(char3WeaponName,weaponsDB!$A$134:$CS$134, 0)),0)</f>
        <v>0</v>
      </c>
      <c r="G134" s="83">
        <f>IFERROR(INDEX(char3ArtiSetStats, MATCH('Character 3'!$L$14,artisDB!$A$109:$A$161, 0), MATCH(C134, artisDB!$A$109:$AP$109, 0))+INDEX(char3ArtiSetStats, MATCH('Character 3'!$L$15, artisDB!$A$109:$A$161, 0), MATCH(C134, artisDB!$A$109:$AP$109, 0)),0)</f>
        <v>0</v>
      </c>
      <c r="H134" s="45">
        <f>IFERROR(INDEX('Character 3'!$X$19:$Z$28, MATCH(C134, 'Character 3'!$X$19:$X$28, 0), 3)*HLOOKUP('Character 3'!$Z$7, artifactSubstatValues, MATCH(C134, 'Artifact Database'!$A$1:$A$11, 0)),0)</f>
        <v>0</v>
      </c>
      <c r="I134" s="83">
        <f>VLOOKUP(C134, 'Character 3'!$R$5:$T$50, 3,0)</f>
        <v>0</v>
      </c>
      <c r="J134" s="38"/>
      <c r="K134" s="83">
        <f t="shared" si="10"/>
        <v>0</v>
      </c>
      <c r="L134" s="35"/>
      <c r="N134" s="35"/>
      <c r="O134" s="35"/>
      <c r="P134" s="35"/>
      <c r="Q134" s="35"/>
      <c r="R134" s="35"/>
    </row>
    <row r="135" spans="2:18" x14ac:dyDescent="0.25">
      <c r="B135" s="35"/>
      <c r="C135" s="36" t="s">
        <v>85</v>
      </c>
      <c r="D135" s="45">
        <f t="shared" si="11"/>
        <v>0</v>
      </c>
      <c r="E135" s="83">
        <f t="shared" si="12"/>
        <v>0</v>
      </c>
      <c r="F135" s="45">
        <f>IFERROR(INDEX(char3Weapons, MATCH(C135, weaponsDB!$A$134:$A$198, 0), MATCH(char3WeaponName,weaponsDB!$A$134:$CS$134, 0)),0)</f>
        <v>0</v>
      </c>
      <c r="G135" s="83">
        <f>IFERROR(INDEX(char3ArtiSetStats, MATCH('Character 3'!$L$14,artisDB!$A$109:$A$161, 0), MATCH(C135, artisDB!$A$109:$AP$109, 0))+INDEX(char3ArtiSetStats, MATCH('Character 3'!$L$15, artisDB!$A$109:$A$161, 0), MATCH(C135, artisDB!$A$109:$AP$109, 0)),0)</f>
        <v>0</v>
      </c>
      <c r="H135" s="45">
        <f>IFERROR(INDEX('Character 3'!$X$19:$Z$28, MATCH(C135, 'Character 3'!$X$19:$X$28, 0), 3)*HLOOKUP('Character 3'!$Z$7, artifactSubstatValues, MATCH(C135, 'Artifact Database'!$A$1:$A$11, 0)),0)</f>
        <v>0</v>
      </c>
      <c r="I135" s="83">
        <f>VLOOKUP(C135, 'Character 3'!$R$5:$T$50, 3,0)</f>
        <v>0</v>
      </c>
      <c r="J135" s="38"/>
      <c r="K135" s="83">
        <f t="shared" si="10"/>
        <v>0</v>
      </c>
      <c r="L135" s="35"/>
      <c r="N135" s="35"/>
      <c r="O135" s="238" t="s">
        <v>676</v>
      </c>
      <c r="P135" s="238"/>
      <c r="Q135" s="238"/>
      <c r="R135" s="35"/>
    </row>
    <row r="136" spans="2:18" x14ac:dyDescent="0.25">
      <c r="B136" s="35"/>
      <c r="C136" s="36" t="s">
        <v>86</v>
      </c>
      <c r="D136" s="45">
        <f t="shared" si="11"/>
        <v>0</v>
      </c>
      <c r="E136" s="83">
        <f t="shared" si="12"/>
        <v>0</v>
      </c>
      <c r="F136" s="45">
        <f>IFERROR(INDEX(char3Weapons, MATCH(C136, weaponsDB!$A$134:$A$198, 0), MATCH(char3WeaponName,weaponsDB!$A$134:$CS$134, 0)),0)</f>
        <v>0</v>
      </c>
      <c r="G136" s="83">
        <f>IFERROR(INDEX(char3ArtiSetStats, MATCH('Character 3'!$L$14,artisDB!$A$109:$A$161, 0), MATCH(C136, artisDB!$A$109:$AP$109, 0))+INDEX(char3ArtiSetStats, MATCH('Character 3'!$L$15, artisDB!$A$109:$A$161, 0), MATCH(C136, artisDB!$A$109:$AP$109, 0)),0)</f>
        <v>0</v>
      </c>
      <c r="H136" s="45">
        <f>IFERROR(INDEX('Character 3'!$X$19:$Z$28, MATCH(C136, 'Character 3'!$X$19:$X$28, 0), 3)*HLOOKUP('Character 3'!$Z$7, artifactSubstatValues, MATCH(C136, 'Artifact Database'!$A$1:$A$11, 0)),0)</f>
        <v>0</v>
      </c>
      <c r="I136" s="83">
        <f>VLOOKUP(C136, 'Character 3'!$R$5:$T$50, 3,0)</f>
        <v>0</v>
      </c>
      <c r="J136" s="38"/>
      <c r="K136" s="83">
        <f t="shared" si="10"/>
        <v>0</v>
      </c>
      <c r="L136" s="35"/>
      <c r="N136" s="35"/>
      <c r="O136" s="238"/>
      <c r="P136" s="238"/>
      <c r="Q136" s="238"/>
      <c r="R136" s="35"/>
    </row>
    <row r="137" spans="2:18" x14ac:dyDescent="0.25">
      <c r="B137" s="35"/>
      <c r="C137" s="36" t="s">
        <v>87</v>
      </c>
      <c r="D137" s="45">
        <f t="shared" si="11"/>
        <v>0</v>
      </c>
      <c r="E137" s="83">
        <f t="shared" si="12"/>
        <v>0</v>
      </c>
      <c r="F137" s="45">
        <f>IFERROR(INDEX(char3Weapons, MATCH(C137, weaponsDB!$A$134:$A$198, 0), MATCH(char3WeaponName,weaponsDB!$A$134:$CS$134, 0)),0)</f>
        <v>0</v>
      </c>
      <c r="G137" s="83">
        <f>IFERROR(INDEX(char3ArtiSetStats, MATCH('Character 3'!$L$14,artisDB!$A$109:$A$161, 0), MATCH(C137, artisDB!$A$109:$AP$109, 0))+INDEX(char3ArtiSetStats, MATCH('Character 3'!$L$15, artisDB!$A$109:$A$161, 0), MATCH(C137, artisDB!$A$109:$AP$109, 0)),0)</f>
        <v>0</v>
      </c>
      <c r="H137" s="45">
        <f>IFERROR(INDEX('Character 3'!$X$19:$Z$28, MATCH(C137, 'Character 3'!$X$19:$X$28, 0), 3)*HLOOKUP('Character 3'!$Z$7, artifactSubstatValues, MATCH(C137, 'Artifact Database'!$A$1:$A$11, 0)),0)</f>
        <v>0</v>
      </c>
      <c r="I137" s="83">
        <f>VLOOKUP(C137, 'Character 3'!$R$5:$T$50, 3,0)</f>
        <v>0</v>
      </c>
      <c r="J137" s="38"/>
      <c r="K137" s="83">
        <f t="shared" si="10"/>
        <v>0</v>
      </c>
      <c r="L137" s="35"/>
      <c r="N137" s="35"/>
      <c r="O137" s="239" t="s">
        <v>677</v>
      </c>
      <c r="P137" s="239"/>
      <c r="Q137" s="7" t="str">
        <f>'Character 3'!E20</f>
        <v>skill</v>
      </c>
      <c r="R137" s="35"/>
    </row>
    <row r="138" spans="2:18" x14ac:dyDescent="0.25">
      <c r="B138" s="35"/>
      <c r="C138" s="36" t="s">
        <v>90</v>
      </c>
      <c r="D138" s="45">
        <f t="shared" si="11"/>
        <v>0</v>
      </c>
      <c r="E138" s="83">
        <f t="shared" si="12"/>
        <v>0</v>
      </c>
      <c r="F138" s="45">
        <f>IFERROR(INDEX(char3Weapons, MATCH(C138, weaponsDB!$A$134:$A$198, 0), MATCH(char3WeaponName,weaponsDB!$A$134:$CS$134, 0)),0)</f>
        <v>0</v>
      </c>
      <c r="G138" s="83">
        <f>IFERROR(INDEX(char3ArtiSetStats, MATCH('Character 3'!$L$14,artisDB!$A$109:$A$161, 0), MATCH(C138, artisDB!$A$109:$AP$109, 0))+INDEX(char3ArtiSetStats, MATCH('Character 3'!$L$15, artisDB!$A$109:$A$161, 0), MATCH(C138, artisDB!$A$109:$AP$109, 0)),0)</f>
        <v>0</v>
      </c>
      <c r="H138" s="45">
        <f>IFERROR(INDEX('Character 3'!$X$19:$Z$28, MATCH(C138, 'Character 3'!$X$19:$X$28, 0), 3)*HLOOKUP('Character 3'!$Z$7, artifactSubstatValues, MATCH(C138, 'Artifact Database'!$A$1:$A$11, 0)),0)</f>
        <v>0</v>
      </c>
      <c r="I138" s="83">
        <f>VLOOKUP(C138, 'Character 3'!$R$5:$T$50, 3,0)</f>
        <v>0</v>
      </c>
      <c r="J138" s="38"/>
      <c r="K138" s="83">
        <f t="shared" si="10"/>
        <v>0</v>
      </c>
      <c r="L138" s="35"/>
      <c r="N138" s="35"/>
      <c r="O138" s="239" t="s">
        <v>678</v>
      </c>
      <c r="P138" s="239"/>
      <c r="Q138" s="7" t="str">
        <f>'Character 3'!E23</f>
        <v>burst</v>
      </c>
      <c r="R138" s="35"/>
    </row>
    <row r="139" spans="2:18" x14ac:dyDescent="0.25">
      <c r="B139" s="35"/>
      <c r="C139" s="36" t="s">
        <v>88</v>
      </c>
      <c r="D139" s="45">
        <f t="shared" si="11"/>
        <v>0</v>
      </c>
      <c r="E139" s="83">
        <f t="shared" si="12"/>
        <v>0</v>
      </c>
      <c r="F139" s="45">
        <f>IFERROR(INDEX(char3Weapons, MATCH(C139, weaponsDB!$A$134:$A$198, 0), MATCH(char3WeaponName,weaponsDB!$A$134:$CS$134, 0)),0)</f>
        <v>0</v>
      </c>
      <c r="G139" s="83">
        <f>IFERROR(INDEX(char3ArtiSetStats, MATCH('Character 3'!$L$14,artisDB!$A$109:$A$161, 0), MATCH(C139, artisDB!$A$109:$AP$109, 0))+INDEX(char3ArtiSetStats, MATCH('Character 3'!$L$15, artisDB!$A$109:$A$161, 0), MATCH(C139, artisDB!$A$109:$AP$109, 0)),0)</f>
        <v>0</v>
      </c>
      <c r="H139" s="45">
        <f>IFERROR(INDEX('Character 3'!$X$19:$Z$28, MATCH(C139, 'Character 3'!$X$19:$X$28, 0), 3)*HLOOKUP('Character 3'!$Z$7, artifactSubstatValues, MATCH(C139, 'Artifact Database'!$A$1:$A$11, 0)),0)</f>
        <v>0</v>
      </c>
      <c r="I139" s="83">
        <f>VLOOKUP(C139, 'Character 3'!$R$5:$T$50, 3,0)</f>
        <v>0</v>
      </c>
      <c r="J139" s="38"/>
      <c r="K139" s="83">
        <f t="shared" si="10"/>
        <v>0</v>
      </c>
      <c r="L139" s="35"/>
      <c r="N139" s="35"/>
      <c r="O139" s="35"/>
      <c r="P139" s="35"/>
      <c r="Q139" s="35"/>
      <c r="R139" s="35"/>
    </row>
    <row r="140" spans="2:18" x14ac:dyDescent="0.25">
      <c r="B140" s="35"/>
      <c r="C140" s="36" t="s">
        <v>89</v>
      </c>
      <c r="D140" s="45">
        <f t="shared" si="11"/>
        <v>0</v>
      </c>
      <c r="E140" s="83">
        <f t="shared" si="12"/>
        <v>0</v>
      </c>
      <c r="F140" s="45">
        <f>IFERROR(INDEX(char3Weapons, MATCH(C140, weaponsDB!$A$134:$A$198, 0), MATCH(char3WeaponName,weaponsDB!$A$134:$CS$134, 0)),0)</f>
        <v>0</v>
      </c>
      <c r="G140" s="83">
        <f>IFERROR(INDEX(char3ArtiSetStats, MATCH('Character 3'!$L$14,artisDB!$A$109:$A$161, 0), MATCH(C140, artisDB!$A$109:$AP$109, 0))+INDEX(char3ArtiSetStats, MATCH('Character 3'!$L$15, artisDB!$A$109:$A$161, 0), MATCH(C140, artisDB!$A$109:$AP$109, 0)),0)</f>
        <v>0</v>
      </c>
      <c r="H140" s="45">
        <f>IFERROR(INDEX('Character 3'!$X$19:$Z$28, MATCH(C140, 'Character 3'!$X$19:$X$28, 0), 3)*HLOOKUP('Character 3'!$Z$7, artifactSubstatValues, MATCH(C140, 'Artifact Database'!$A$1:$A$11, 0)),0)</f>
        <v>0</v>
      </c>
      <c r="I140" s="83">
        <f>VLOOKUP(C140, 'Character 3'!$R$5:$T$50, 3,0)</f>
        <v>0</v>
      </c>
      <c r="J140" s="38"/>
      <c r="K140" s="83">
        <f t="shared" si="10"/>
        <v>0</v>
      </c>
      <c r="L140" s="35"/>
    </row>
    <row r="141" spans="2:18" x14ac:dyDescent="0.25">
      <c r="B141" s="35"/>
      <c r="C141" s="36" t="s">
        <v>91</v>
      </c>
      <c r="D141" s="45">
        <f t="shared" si="11"/>
        <v>0</v>
      </c>
      <c r="E141" s="83">
        <f t="shared" si="12"/>
        <v>0</v>
      </c>
      <c r="F141" s="45">
        <f>IFERROR(INDEX(char3Weapons, MATCH(C141, weaponsDB!$A$134:$A$198, 0), MATCH(char3WeaponName,weaponsDB!$A$134:$CS$134, 0)),0)</f>
        <v>0</v>
      </c>
      <c r="G141" s="83">
        <f>IFERROR(INDEX(char3ArtiSetStats, MATCH('Character 3'!$L$14,artisDB!$A$109:$A$161, 0), MATCH(C141, artisDB!$A$109:$AP$109, 0))+INDEX(char3ArtiSetStats, MATCH('Character 3'!$L$15, artisDB!$A$109:$A$161, 0), MATCH(C141, artisDB!$A$109:$AP$109, 0)),0)</f>
        <v>0</v>
      </c>
      <c r="H141" s="45">
        <f>IFERROR(INDEX('Character 3'!$X$19:$Z$28, MATCH(C141, 'Character 3'!$X$19:$X$28, 0), 3)*HLOOKUP('Character 3'!$Z$7, artifactSubstatValues, MATCH(C141, 'Artifact Database'!$A$1:$A$11, 0)),0)</f>
        <v>0</v>
      </c>
      <c r="I141" s="83">
        <f>VLOOKUP(C141, 'Character 3'!$R$5:$T$50, 3,0)</f>
        <v>0</v>
      </c>
      <c r="J141" s="38"/>
      <c r="K141" s="83">
        <f t="shared" si="10"/>
        <v>0</v>
      </c>
      <c r="L141" s="35"/>
      <c r="N141" s="35"/>
      <c r="O141" s="35"/>
      <c r="P141" s="35"/>
      <c r="Q141" s="35"/>
      <c r="R141" s="35"/>
    </row>
    <row r="142" spans="2:18" x14ac:dyDescent="0.25">
      <c r="B142" s="35"/>
      <c r="C142" s="36" t="s">
        <v>458</v>
      </c>
      <c r="D142" s="45">
        <f t="shared" si="11"/>
        <v>0</v>
      </c>
      <c r="E142" s="83">
        <f t="shared" si="12"/>
        <v>0</v>
      </c>
      <c r="F142" s="45">
        <f>IFERROR(INDEX(char3Weapons, MATCH(C142, weaponsDB!$A$134:$A$198, 0), MATCH(char3WeaponName,weaponsDB!$A$134:$CS$134, 0)),0)</f>
        <v>0</v>
      </c>
      <c r="G142" s="83">
        <f>IFERROR(INDEX(char3ArtiSetStats, MATCH('Character 3'!$L$14,artisDB!$A$109:$A$161, 0), MATCH(C142, artisDB!$A$109:$AP$109, 0))+INDEX(char3ArtiSetStats, MATCH('Character 3'!$L$15, artisDB!$A$109:$A$161, 0), MATCH(C142, artisDB!$A$109:$AP$109, 0)),0)</f>
        <v>0</v>
      </c>
      <c r="H142" s="45">
        <f>IFERROR(INDEX('Character 3'!$X$19:$Z$28, MATCH(C142, 'Character 3'!$X$19:$X$28, 0), 3)*HLOOKUP('Character 3'!$Z$7, artifactSubstatValues, MATCH(C142, 'Artifact Database'!$A$1:$A$11, 0)),0)</f>
        <v>0</v>
      </c>
      <c r="I142" s="83">
        <f>VLOOKUP(C142, 'Character 3'!$R$5:$T$50, 3,0)</f>
        <v>0</v>
      </c>
      <c r="J142" s="38"/>
      <c r="K142" s="83">
        <f t="shared" si="10"/>
        <v>0</v>
      </c>
      <c r="L142" s="35"/>
      <c r="N142" s="35"/>
      <c r="O142" s="238" t="s">
        <v>683</v>
      </c>
      <c r="P142" s="238"/>
      <c r="Q142" s="238"/>
      <c r="R142" s="35"/>
    </row>
    <row r="143" spans="2:18" x14ac:dyDescent="0.25">
      <c r="B143" s="35"/>
      <c r="C143" s="36" t="s">
        <v>93</v>
      </c>
      <c r="D143" s="45">
        <f t="shared" si="11"/>
        <v>0</v>
      </c>
      <c r="E143" s="83">
        <f t="shared" si="12"/>
        <v>0</v>
      </c>
      <c r="F143" s="45">
        <f>IFERROR(INDEX(char3Weapons, MATCH(C143, weaponsDB!$A$134:$A$198, 0), MATCH(char3WeaponName,weaponsDB!$A$134:$CS$134, 0)),0)</f>
        <v>0</v>
      </c>
      <c r="G143" s="83">
        <f>IFERROR(INDEX(char3ArtiSetStats, MATCH('Character 3'!$L$14,artisDB!$A$109:$A$161, 0), MATCH(C143, artisDB!$A$109:$AP$109, 0))+INDEX(char3ArtiSetStats, MATCH('Character 3'!$L$15, artisDB!$A$109:$A$161, 0), MATCH(C143, artisDB!$A$109:$AP$109, 0)),0)</f>
        <v>0</v>
      </c>
      <c r="H143" s="45">
        <f>IFERROR(INDEX('Character 3'!$X$19:$Z$28, MATCH(C143, 'Character 3'!$X$19:$X$28, 0), 3)*HLOOKUP('Character 3'!$Z$7, artifactSubstatValues, MATCH(C143, 'Artifact Database'!$A$1:$A$11, 0)),0)</f>
        <v>0</v>
      </c>
      <c r="I143" s="83">
        <f>VLOOKUP(C143, 'Character 3'!$R$5:$T$50, 3,0)</f>
        <v>0</v>
      </c>
      <c r="J143" s="38"/>
      <c r="K143" s="83">
        <f t="shared" si="10"/>
        <v>0</v>
      </c>
      <c r="L143" s="35"/>
      <c r="N143" s="35"/>
      <c r="O143" s="238"/>
      <c r="P143" s="238"/>
      <c r="Q143" s="238"/>
      <c r="R143" s="35"/>
    </row>
    <row r="144" spans="2:18" x14ac:dyDescent="0.25">
      <c r="B144" s="35"/>
      <c r="C144" s="36" t="s">
        <v>427</v>
      </c>
      <c r="D144" s="45">
        <f t="shared" si="11"/>
        <v>0</v>
      </c>
      <c r="E144" s="83">
        <f t="shared" si="12"/>
        <v>0</v>
      </c>
      <c r="F144" s="45">
        <f>IFERROR(INDEX(char3Weapons, MATCH(C144, weaponsDB!$A$134:$A$198, 0), MATCH(char3WeaponName,weaponsDB!$A$134:$CS$134, 0)),0)</f>
        <v>0</v>
      </c>
      <c r="G144" s="83">
        <f>IFERROR(INDEX(char3ArtiSetStats, MATCH('Character 3'!$L$14,artisDB!$A$109:$A$161, 0), MATCH(C144, artisDB!$A$109:$AP$109, 0))+INDEX(char3ArtiSetStats, MATCH('Character 3'!$L$15, artisDB!$A$109:$A$161, 0), MATCH(C144, artisDB!$A$109:$AP$109, 0)),0)</f>
        <v>0</v>
      </c>
      <c r="H144" s="45">
        <f>IFERROR(INDEX('Character 3'!$X$19:$Z$28, MATCH(C144, 'Character 3'!$X$19:$X$28, 0), 3)*HLOOKUP('Character 3'!$Z$7, artifactSubstatValues, MATCH(C144, 'Artifact Database'!$A$1:$A$11, 0)),0)</f>
        <v>0</v>
      </c>
      <c r="I144" s="83">
        <f>VLOOKUP(C144, 'Character 3'!$R$5:$T$50, 3,0)</f>
        <v>0</v>
      </c>
      <c r="J144" s="38"/>
      <c r="K144" s="83">
        <f t="shared" si="10"/>
        <v>0</v>
      </c>
      <c r="L144" s="35"/>
      <c r="N144" s="35"/>
      <c r="O144" s="239" t="s">
        <v>398</v>
      </c>
      <c r="P144" s="239"/>
      <c r="Q144" s="7">
        <f>(char3LevelNum+100)/((char3LevelNum+100)+(enemyLevel+100)*(1-K141))</f>
        <v>0.48648648648648651</v>
      </c>
      <c r="R144" s="35"/>
    </row>
    <row r="145" spans="2:24" x14ac:dyDescent="0.25">
      <c r="B145" s="35"/>
      <c r="C145" s="36" t="s">
        <v>457</v>
      </c>
      <c r="D145" s="45">
        <f t="shared" si="11"/>
        <v>0</v>
      </c>
      <c r="E145" s="83">
        <f t="shared" si="12"/>
        <v>0</v>
      </c>
      <c r="F145" s="45">
        <f>IFERROR(INDEX(char3Weapons, MATCH(C145, weaponsDB!$A$134:$A$198, 0), MATCH(char3WeaponName,weaponsDB!$A$134:$CS$134, 0)),0)</f>
        <v>0</v>
      </c>
      <c r="G145" s="83">
        <f>IFERROR(INDEX(char3ArtiSetStats, MATCH('Character 3'!$L$14,artisDB!$A$109:$A$161, 0), MATCH(C145, artisDB!$A$109:$AP$109, 0))+INDEX(char3ArtiSetStats, MATCH('Character 3'!$L$15, artisDB!$A$109:$A$161, 0), MATCH(C145, artisDB!$A$109:$AP$109, 0)),0)</f>
        <v>0</v>
      </c>
      <c r="H145" s="45">
        <f>IFERROR(INDEX('Character 3'!$X$19:$Z$28, MATCH(C145, 'Character 3'!$X$19:$X$28, 0), 3)*HLOOKUP('Character 3'!$Z$7, artifactSubstatValues, MATCH(C145, 'Artifact Database'!$A$1:$A$11, 0)),0)</f>
        <v>0</v>
      </c>
      <c r="I145" s="83">
        <f>VLOOKUP(C145, 'Character 3'!$R$5:$T$50, 3,0)</f>
        <v>0</v>
      </c>
      <c r="J145" s="38"/>
      <c r="K145" s="83">
        <f t="shared" si="10"/>
        <v>0</v>
      </c>
      <c r="L145" s="35"/>
      <c r="N145" s="35"/>
      <c r="O145" s="35"/>
      <c r="P145" s="35"/>
      <c r="Q145" s="35"/>
      <c r="R145" s="35"/>
    </row>
    <row r="146" spans="2:24" x14ac:dyDescent="0.25">
      <c r="B146" s="35"/>
      <c r="C146" s="36" t="s">
        <v>92</v>
      </c>
      <c r="D146" s="45">
        <f t="shared" si="11"/>
        <v>0</v>
      </c>
      <c r="E146" s="83">
        <f t="shared" si="12"/>
        <v>0</v>
      </c>
      <c r="F146" s="45">
        <f>IFERROR(INDEX(char3Weapons, MATCH(C146, weaponsDB!$A$134:$A$198, 0), MATCH(char3WeaponName,weaponsDB!$A$134:$CS$134, 0)),0)</f>
        <v>0</v>
      </c>
      <c r="G146" s="83">
        <f>IFERROR(INDEX(char3ArtiSetStats, MATCH('Character 3'!$L$14,artisDB!$A$109:$A$161, 0), MATCH(C146, artisDB!$A$109:$AP$109, 0))+INDEX(char3ArtiSetStats, MATCH('Character 3'!$L$15, artisDB!$A$109:$A$161, 0), MATCH(C146, artisDB!$A$109:$AP$109, 0)),0)</f>
        <v>0</v>
      </c>
      <c r="H146" s="45">
        <f>IFERROR(INDEX('Character 3'!$X$19:$Z$28, MATCH(C146, 'Character 3'!$X$19:$X$28, 0), 3)*HLOOKUP('Character 3'!$Z$7, artifactSubstatValues, MATCH(C146, 'Artifact Database'!$A$1:$A$11, 0)),0)</f>
        <v>0</v>
      </c>
      <c r="I146" s="83">
        <f>VLOOKUP(C146, 'Character 3'!$R$5:$T$50, 3,0)</f>
        <v>0</v>
      </c>
      <c r="J146" s="38"/>
      <c r="K146" s="83">
        <f t="shared" si="10"/>
        <v>0</v>
      </c>
      <c r="L146" s="35"/>
    </row>
    <row r="147" spans="2:24" x14ac:dyDescent="0.25">
      <c r="B147" s="35"/>
      <c r="C147" s="36" t="s">
        <v>94</v>
      </c>
      <c r="D147" s="45">
        <f t="shared" si="11"/>
        <v>0</v>
      </c>
      <c r="E147" s="83">
        <f t="shared" si="12"/>
        <v>0</v>
      </c>
      <c r="F147" s="45">
        <f>IFERROR(INDEX(char3Weapons, MATCH(C147, weaponsDB!$A$134:$A$198, 0), MATCH(char3WeaponName,weaponsDB!$A$134:$CS$134, 0)),0)</f>
        <v>0</v>
      </c>
      <c r="G147" s="83">
        <f>IFERROR(INDEX(char3ArtiSetStats, MATCH('Character 3'!$L$14,artisDB!$A$109:$A$161, 0), MATCH(C147, artisDB!$A$109:$AP$109, 0))+INDEX(char3ArtiSetStats, MATCH('Character 3'!$L$15, artisDB!$A$109:$A$161, 0), MATCH(C147, artisDB!$A$109:$AP$109, 0)),0)</f>
        <v>0</v>
      </c>
      <c r="H147" s="45">
        <f>IFERROR(INDEX('Character 3'!$X$19:$Z$28, MATCH(C147, 'Character 3'!$X$19:$X$28, 0), 3)*HLOOKUP('Character 3'!$Z$7, artifactSubstatValues, MATCH(C147, 'Artifact Database'!$A$1:$A$11, 0)),0)</f>
        <v>0</v>
      </c>
      <c r="I147" s="83">
        <f>VLOOKUP(C147, 'Character 3'!$R$5:$T$50, 3,0)</f>
        <v>0</v>
      </c>
      <c r="J147" s="38"/>
      <c r="K147" s="83">
        <f t="shared" si="10"/>
        <v>0</v>
      </c>
      <c r="L147" s="35"/>
      <c r="N147" s="35"/>
      <c r="O147" s="35"/>
      <c r="P147" s="35"/>
      <c r="Q147" s="35"/>
      <c r="R147" s="35"/>
    </row>
    <row r="148" spans="2:24" x14ac:dyDescent="0.25">
      <c r="B148" s="35"/>
      <c r="C148" s="36" t="s">
        <v>95</v>
      </c>
      <c r="D148" s="45">
        <f t="shared" si="11"/>
        <v>0</v>
      </c>
      <c r="E148" s="83">
        <f t="shared" si="12"/>
        <v>0</v>
      </c>
      <c r="F148" s="45">
        <f>IFERROR(INDEX(char3Weapons, MATCH(C148, weaponsDB!$A$134:$A$198, 0), MATCH(char3WeaponName,weaponsDB!$A$134:$CS$134, 0)),0)</f>
        <v>0</v>
      </c>
      <c r="G148" s="83">
        <f>IFERROR(INDEX(char3ArtiSetStats, MATCH('Character 3'!$L$14,artisDB!$A$109:$A$161, 0), MATCH(C148, artisDB!$A$109:$AP$109, 0))+INDEX(char3ArtiSetStats, MATCH('Character 3'!$L$15, artisDB!$A$109:$A$161, 0), MATCH(C148, artisDB!$A$109:$AP$109, 0)),0)</f>
        <v>0</v>
      </c>
      <c r="H148" s="45">
        <f>IFERROR(INDEX('Character 3'!$X$19:$Z$28, MATCH(C148, 'Character 3'!$X$19:$X$28, 0), 3)*HLOOKUP('Character 3'!$Z$7, artifactSubstatValues, MATCH(C148, 'Artifact Database'!$A$1:$A$11, 0)),0)</f>
        <v>0</v>
      </c>
      <c r="I148" s="83">
        <f>VLOOKUP(C148, 'Character 3'!$R$5:$T$50, 3,0)</f>
        <v>0</v>
      </c>
      <c r="J148" s="38"/>
      <c r="K148" s="83">
        <f t="shared" si="10"/>
        <v>0</v>
      </c>
      <c r="L148" s="35"/>
      <c r="N148" s="35"/>
      <c r="O148" s="238" t="s">
        <v>751</v>
      </c>
      <c r="P148" s="238"/>
      <c r="Q148" s="238"/>
      <c r="R148" s="35"/>
    </row>
    <row r="149" spans="2:24" x14ac:dyDescent="0.25">
      <c r="B149" s="35"/>
      <c r="C149" s="36" t="s">
        <v>96</v>
      </c>
      <c r="D149" s="45">
        <f t="shared" si="11"/>
        <v>0</v>
      </c>
      <c r="E149" s="83">
        <f t="shared" si="12"/>
        <v>0</v>
      </c>
      <c r="F149" s="45">
        <f>IFERROR(INDEX(char3Weapons, MATCH(C149, weaponsDB!$A$134:$A$198, 0), MATCH(char3WeaponName,weaponsDB!$A$134:$CS$134, 0)),0)</f>
        <v>0</v>
      </c>
      <c r="G149" s="83">
        <f>IFERROR(INDEX(char3ArtiSetStats, MATCH('Character 3'!$L$14,artisDB!$A$109:$A$161, 0), MATCH(C149, artisDB!$A$109:$AP$109, 0))+INDEX(char3ArtiSetStats, MATCH('Character 3'!$L$15, artisDB!$A$109:$A$161, 0), MATCH(C149, artisDB!$A$109:$AP$109, 0)),0)</f>
        <v>0</v>
      </c>
      <c r="H149" s="45">
        <f>IFERROR(INDEX('Character 3'!$X$19:$Z$28, MATCH(C149, 'Character 3'!$X$19:$X$28, 0), 3)*HLOOKUP('Character 3'!$Z$7, artifactSubstatValues, MATCH(C149, 'Artifact Database'!$A$1:$A$11, 0)),0)</f>
        <v>0</v>
      </c>
      <c r="I149" s="83">
        <f>VLOOKUP(C149, 'Character 3'!$R$5:$T$50, 3,0)</f>
        <v>0</v>
      </c>
      <c r="J149" s="38"/>
      <c r="K149" s="83">
        <f t="shared" si="10"/>
        <v>0</v>
      </c>
      <c r="L149" s="35"/>
      <c r="N149" s="35"/>
      <c r="O149" s="238"/>
      <c r="P149" s="238"/>
      <c r="Q149" s="238"/>
      <c r="R149" s="35"/>
    </row>
    <row r="150" spans="2:24" x14ac:dyDescent="0.25">
      <c r="B150" s="35"/>
      <c r="C150" s="36" t="s">
        <v>97</v>
      </c>
      <c r="D150" s="45">
        <f t="shared" si="11"/>
        <v>0</v>
      </c>
      <c r="E150" s="83">
        <f t="shared" si="12"/>
        <v>0</v>
      </c>
      <c r="F150" s="45">
        <f>IFERROR(INDEX(char3Weapons, MATCH(C150, weaponsDB!$A$134:$A$198, 0), MATCH(char3WeaponName,weaponsDB!$A$134:$CS$134, 0)),0)</f>
        <v>0</v>
      </c>
      <c r="G150" s="83">
        <f>IFERROR(INDEX(char3ArtiSetStats, MATCH('Character 3'!$L$14,artisDB!$A$109:$A$161, 0), MATCH(C150, artisDB!$A$109:$AP$109, 0))+INDEX(char3ArtiSetStats, MATCH('Character 3'!$L$15, artisDB!$A$109:$A$161, 0), MATCH(C150, artisDB!$A$109:$AP$109, 0)),0)</f>
        <v>0</v>
      </c>
      <c r="H150" s="45">
        <f>IFERROR(INDEX('Character 3'!$X$19:$Z$28, MATCH(C150, 'Character 3'!$X$19:$X$28, 0), 3)*HLOOKUP('Character 3'!$Z$7, artifactSubstatValues, MATCH(C150, 'Artifact Database'!$A$1:$A$11, 0)),0)</f>
        <v>0</v>
      </c>
      <c r="I150" s="83">
        <f>VLOOKUP(C150, 'Character 3'!$R$5:$T$50, 3,0)</f>
        <v>0</v>
      </c>
      <c r="J150" s="38"/>
      <c r="K150" s="83">
        <f t="shared" si="10"/>
        <v>0</v>
      </c>
      <c r="L150" s="35"/>
      <c r="N150" s="35"/>
      <c r="O150" s="239" t="s">
        <v>754</v>
      </c>
      <c r="P150" s="239"/>
      <c r="Q150" s="7">
        <f>char3BaseHP*(1+char3FinalHPPercent)+char3FinalFlatHP</f>
        <v>17971.5488</v>
      </c>
      <c r="R150" s="35"/>
    </row>
    <row r="151" spans="2:24" x14ac:dyDescent="0.25">
      <c r="B151" s="35"/>
      <c r="C151" s="36" t="s">
        <v>98</v>
      </c>
      <c r="D151" s="45">
        <f t="shared" si="11"/>
        <v>0</v>
      </c>
      <c r="E151" s="83">
        <f t="shared" si="12"/>
        <v>0</v>
      </c>
      <c r="F151" s="45">
        <f>IFERROR(INDEX(char3Weapons, MATCH(C151, weaponsDB!$A$134:$A$198, 0), MATCH(char3WeaponName,weaponsDB!$A$134:$CS$134, 0)),0)</f>
        <v>0</v>
      </c>
      <c r="G151" s="83">
        <f>IFERROR(INDEX(char3ArtiSetStats, MATCH('Character 3'!$L$14,artisDB!$A$109:$A$161, 0), MATCH(C151, artisDB!$A$109:$AP$109, 0))+INDEX(char3ArtiSetStats, MATCH('Character 3'!$L$15, artisDB!$A$109:$A$161, 0), MATCH(C151, artisDB!$A$109:$AP$109, 0)),0)</f>
        <v>0</v>
      </c>
      <c r="H151" s="45">
        <f>IFERROR(INDEX('Character 3'!$X$19:$Z$28, MATCH(C151, 'Character 3'!$X$19:$X$28, 0), 3)*HLOOKUP('Character 3'!$Z$7, artifactSubstatValues, MATCH(C151, 'Artifact Database'!$A$1:$A$11, 0)),0)</f>
        <v>0</v>
      </c>
      <c r="I151" s="83">
        <f>VLOOKUP(C151, 'Character 3'!$R$5:$T$50, 3,0)</f>
        <v>0</v>
      </c>
      <c r="J151" s="38"/>
      <c r="K151" s="83">
        <f t="shared" si="10"/>
        <v>0</v>
      </c>
      <c r="L151" s="35"/>
      <c r="N151" s="35"/>
      <c r="O151" s="239" t="s">
        <v>753</v>
      </c>
      <c r="P151" s="239"/>
      <c r="Q151" s="7">
        <f>char3BaseDEF*(1+char3FinalDEFPercent)+char3FinalFlatDEF</f>
        <v>846.39200000000005</v>
      </c>
      <c r="R151" s="35"/>
    </row>
    <row r="152" spans="2:24" x14ac:dyDescent="0.25">
      <c r="B152" s="35"/>
      <c r="C152" s="36" t="s">
        <v>424</v>
      </c>
      <c r="D152" s="45">
        <f t="shared" si="11"/>
        <v>0</v>
      </c>
      <c r="E152" s="83">
        <f t="shared" si="12"/>
        <v>0</v>
      </c>
      <c r="F152" s="45">
        <f>IFERROR(INDEX(char3Weapons, MATCH(C152, weaponsDB!$A$134:$A$198, 0), MATCH(char3WeaponName,weaponsDB!$A$134:$CS$134, 0)),0)</f>
        <v>0</v>
      </c>
      <c r="G152" s="83">
        <f>IFERROR(INDEX(char3ArtiSetStats, MATCH('Character 3'!$L$14,artisDB!$A$109:$A$161, 0), MATCH(C152, artisDB!$A$109:$AP$109, 0))+INDEX(char3ArtiSetStats, MATCH('Character 3'!$L$15, artisDB!$A$109:$A$161, 0), MATCH(C152, artisDB!$A$109:$AP$109, 0)),0)</f>
        <v>0</v>
      </c>
      <c r="H152" s="45">
        <f>IFERROR(INDEX('Character 3'!$X$19:$Z$28, MATCH(C152, 'Character 3'!$X$19:$X$28, 0), 3)*HLOOKUP('Character 3'!$Z$7, artifactSubstatValues, MATCH(C152, 'Artifact Database'!$A$1:$A$11, 0)),0)</f>
        <v>0</v>
      </c>
      <c r="I152" s="83">
        <f>VLOOKUP(C152, 'Character 3'!$R$5:$T$50, 3,0)</f>
        <v>0</v>
      </c>
      <c r="J152" s="38"/>
      <c r="K152" s="83">
        <f t="shared" si="10"/>
        <v>0</v>
      </c>
      <c r="L152" s="35"/>
      <c r="N152" s="35"/>
      <c r="O152" s="239" t="s">
        <v>752</v>
      </c>
      <c r="P152" s="239"/>
      <c r="Q152" s="7">
        <f>(char3WeaponBaseATK+char3BaseATK)*(1+char3FinalATKPercent)+char3FinalFlatATK</f>
        <v>1580.3415999999997</v>
      </c>
      <c r="R152" s="35"/>
    </row>
    <row r="153" spans="2:24" x14ac:dyDescent="0.25">
      <c r="B153" s="35"/>
      <c r="C153" s="36" t="s">
        <v>425</v>
      </c>
      <c r="D153" s="45">
        <f t="shared" si="11"/>
        <v>0</v>
      </c>
      <c r="E153" s="83">
        <f t="shared" si="12"/>
        <v>0</v>
      </c>
      <c r="F153" s="45">
        <f>IFERROR(INDEX(char3Weapons, MATCH(C153, weaponsDB!$A$134:$A$198, 0), MATCH(char3WeaponName,weaponsDB!$A$134:$CS$134, 0)),0)</f>
        <v>0</v>
      </c>
      <c r="G153" s="83">
        <f>IFERROR(INDEX(char3ArtiSetStats, MATCH('Character 3'!$L$14,artisDB!$A$109:$A$161, 0), MATCH(C153, artisDB!$A$109:$AP$109, 0))+INDEX(char3ArtiSetStats, MATCH('Character 3'!$L$15, artisDB!$A$109:$A$161, 0), MATCH(C153, artisDB!$A$109:$AP$109, 0)),0)</f>
        <v>0</v>
      </c>
      <c r="H153" s="45">
        <f>IFERROR(INDEX('Character 3'!$X$19:$Z$28, MATCH(C153, 'Character 3'!$X$19:$X$28, 0), 3)*HLOOKUP('Character 3'!$Z$7, artifactSubstatValues, MATCH(C153, 'Artifact Database'!$A$1:$A$11, 0)),0)</f>
        <v>0</v>
      </c>
      <c r="I153" s="83">
        <f>VLOOKUP(C153, 'Character 3'!$R$5:$T$50, 3,0)</f>
        <v>0</v>
      </c>
      <c r="J153" s="38"/>
      <c r="K153" s="83">
        <f t="shared" si="10"/>
        <v>0</v>
      </c>
      <c r="L153" s="35"/>
      <c r="N153" s="35"/>
      <c r="O153" s="35"/>
      <c r="P153" s="35"/>
      <c r="Q153" s="35"/>
      <c r="R153" s="35"/>
    </row>
    <row r="154" spans="2:24" x14ac:dyDescent="0.25">
      <c r="B154" s="35"/>
      <c r="C154" s="36" t="s">
        <v>438</v>
      </c>
      <c r="D154" s="45">
        <f t="shared" si="11"/>
        <v>0</v>
      </c>
      <c r="E154" s="83">
        <f t="shared" si="12"/>
        <v>0</v>
      </c>
      <c r="F154" s="45">
        <f>IFERROR(INDEX(char3Weapons, MATCH(C154, weaponsDB!$A$134:$A$198, 0), MATCH(char3WeaponName,weaponsDB!$A$134:$CS$134, 0)),0)</f>
        <v>0</v>
      </c>
      <c r="G154" s="83">
        <f>IFERROR(INDEX(char3ArtiSetStats, MATCH('Character 3'!$L$14,artisDB!$A$109:$A$161, 0), MATCH(C154, artisDB!$A$109:$AP$109, 0))+INDEX(char3ArtiSetStats, MATCH('Character 3'!$L$15, artisDB!$A$109:$A$161, 0), MATCH(C154, artisDB!$A$109:$AP$109, 0)),0)</f>
        <v>0</v>
      </c>
      <c r="H154" s="45">
        <f>IFERROR(INDEX('Character 3'!$X$19:$Z$28, MATCH(C154, 'Character 3'!$X$19:$X$28, 0), 3)*HLOOKUP('Character 3'!$Z$7, artifactSubstatValues, MATCH(C154, 'Artifact Database'!$A$1:$A$11, 0)),0)</f>
        <v>0</v>
      </c>
      <c r="I154" s="83">
        <f>VLOOKUP(C154, 'Character 3'!$R$5:$T$50, 3,0)</f>
        <v>0</v>
      </c>
      <c r="J154" s="38"/>
      <c r="K154" s="83">
        <f t="shared" si="10"/>
        <v>0</v>
      </c>
      <c r="L154" s="35"/>
    </row>
    <row r="155" spans="2:24" x14ac:dyDescent="0.25">
      <c r="B155" s="35"/>
      <c r="C155" s="36" t="s">
        <v>426</v>
      </c>
      <c r="D155" s="45">
        <f t="shared" si="11"/>
        <v>0</v>
      </c>
      <c r="E155" s="83">
        <f t="shared" si="12"/>
        <v>0</v>
      </c>
      <c r="F155" s="45">
        <f>IFERROR(INDEX(char3Weapons, MATCH(C155, weaponsDB!$A$134:$A$198, 0), MATCH(char3WeaponName,weaponsDB!$A$134:$CS$134, 0)),0)</f>
        <v>0</v>
      </c>
      <c r="G155" s="83">
        <f>IFERROR(INDEX(char3ArtiSetStats, MATCH('Character 3'!$L$14,artisDB!$A$109:$A$161, 0), MATCH(C155, artisDB!$A$109:$AP$109, 0))+INDEX(char3ArtiSetStats, MATCH('Character 3'!$L$15, artisDB!$A$109:$A$161, 0), MATCH(C155, artisDB!$A$109:$AP$109, 0)),0)</f>
        <v>0</v>
      </c>
      <c r="H155" s="45">
        <f>IFERROR(INDEX('Character 3'!$X$19:$Z$28, MATCH(C155, 'Character 3'!$X$19:$X$28, 0), 3)*HLOOKUP('Character 3'!$Z$7, artifactSubstatValues, MATCH(C155, 'Artifact Database'!$A$1:$A$11, 0)),0)</f>
        <v>0</v>
      </c>
      <c r="I155" s="83">
        <f>VLOOKUP(C155, 'Character 3'!$R$5:$T$50, 3,0)</f>
        <v>0</v>
      </c>
      <c r="J155" s="38"/>
      <c r="K155" s="83">
        <f t="shared" si="10"/>
        <v>0</v>
      </c>
      <c r="L155" s="35"/>
    </row>
    <row r="156" spans="2:24" x14ac:dyDescent="0.25">
      <c r="B156" s="35"/>
      <c r="C156" s="35"/>
      <c r="D156" s="35"/>
      <c r="E156" s="35"/>
      <c r="F156" s="35"/>
      <c r="G156" s="35"/>
      <c r="H156" s="35"/>
      <c r="I156" s="35"/>
      <c r="J156" s="35"/>
      <c r="K156" s="35"/>
      <c r="L156" s="35"/>
    </row>
    <row r="158" spans="2:24" x14ac:dyDescent="0.25">
      <c r="B158" s="35"/>
      <c r="C158" s="35"/>
      <c r="D158" s="35"/>
      <c r="E158" s="35"/>
      <c r="F158" s="35"/>
      <c r="G158" s="35"/>
      <c r="H158" s="35"/>
      <c r="I158" s="35"/>
      <c r="J158" s="35"/>
      <c r="K158" s="35"/>
      <c r="L158" s="35"/>
      <c r="N158" s="35"/>
      <c r="O158" s="35"/>
      <c r="P158" s="35"/>
      <c r="Q158" s="35"/>
      <c r="R158" s="35"/>
      <c r="T158" s="209"/>
      <c r="U158" s="209" t="s">
        <v>402</v>
      </c>
      <c r="V158" s="209" t="s">
        <v>51</v>
      </c>
      <c r="W158" s="209" t="s">
        <v>805</v>
      </c>
      <c r="X158" s="209" t="s">
        <v>794</v>
      </c>
    </row>
    <row r="159" spans="2:24" x14ac:dyDescent="0.25">
      <c r="B159" s="35"/>
      <c r="C159" s="237" t="s">
        <v>627</v>
      </c>
      <c r="D159" s="237"/>
      <c r="E159" s="237"/>
      <c r="F159" s="237"/>
      <c r="G159" s="237"/>
      <c r="H159" s="237"/>
      <c r="I159" s="237"/>
      <c r="J159" s="237"/>
      <c r="K159" s="237"/>
      <c r="L159" s="35"/>
      <c r="N159" s="35"/>
      <c r="O159" s="238" t="s">
        <v>421</v>
      </c>
      <c r="P159" s="238"/>
      <c r="Q159" s="238"/>
      <c r="R159" s="35"/>
      <c r="T159" s="7" t="s">
        <v>792</v>
      </c>
      <c r="U159" s="7" t="s">
        <v>64</v>
      </c>
      <c r="V159" s="7">
        <f>'Character 4'!$L$23</f>
        <v>20</v>
      </c>
      <c r="W159" s="7">
        <f>MATCH('Character 4'!$L$24, 'Artifact Database'!$F$1:$F$66, 0)+1</f>
        <v>2</v>
      </c>
      <c r="X159" s="7" cm="1">
        <f t="array" ref="X159">INDEX('Artifact Database'!$F$1:$W$66, Calculations!W159+V159, MATCH(Calculations!U159,'Artifact Database'!$F$1:$W$1, 0))</f>
        <v>4780</v>
      </c>
    </row>
    <row r="160" spans="2:24" x14ac:dyDescent="0.25">
      <c r="B160" s="35"/>
      <c r="C160" s="237"/>
      <c r="D160" s="237"/>
      <c r="E160" s="237"/>
      <c r="F160" s="237"/>
      <c r="G160" s="237"/>
      <c r="H160" s="237"/>
      <c r="I160" s="237"/>
      <c r="J160" s="237"/>
      <c r="K160" s="237"/>
      <c r="L160" s="35"/>
      <c r="N160" s="35"/>
      <c r="O160" s="238"/>
      <c r="P160" s="238"/>
      <c r="Q160" s="238"/>
      <c r="R160" s="35"/>
      <c r="T160" s="7" t="s">
        <v>793</v>
      </c>
      <c r="U160" s="7" t="s">
        <v>62</v>
      </c>
      <c r="V160" s="7">
        <f>'Character 4'!$L$25</f>
        <v>20</v>
      </c>
      <c r="W160" s="7">
        <f>MATCH('Character 4'!$L$26, 'Artifact Database'!$F$1:$F$66, 0)+1</f>
        <v>2</v>
      </c>
      <c r="X160" s="7" cm="1">
        <f t="array" ref="X160">INDEX('Artifact Database'!$F$1:$W$66, Calculations!W160+V160, MATCH(Calculations!U160,'Artifact Database'!$F$1:$W$1, 0))</f>
        <v>311</v>
      </c>
    </row>
    <row r="161" spans="2:24" x14ac:dyDescent="0.25">
      <c r="B161" s="35"/>
      <c r="C161" s="39" t="s">
        <v>402</v>
      </c>
      <c r="D161" s="38" t="s">
        <v>403</v>
      </c>
      <c r="E161" s="37" t="s">
        <v>404</v>
      </c>
      <c r="F161" s="38" t="s">
        <v>405</v>
      </c>
      <c r="G161" s="37" t="s">
        <v>406</v>
      </c>
      <c r="H161" s="38" t="s">
        <v>407</v>
      </c>
      <c r="I161" s="37" t="s">
        <v>61</v>
      </c>
      <c r="J161" s="38" t="s">
        <v>570</v>
      </c>
      <c r="K161" s="37" t="s">
        <v>408</v>
      </c>
      <c r="L161" s="35"/>
      <c r="N161" s="35"/>
      <c r="O161" s="239" t="s">
        <v>422</v>
      </c>
      <c r="P161" s="239"/>
      <c r="Q161" s="131" t="str">
        <f>char4Level</f>
        <v>80+</v>
      </c>
      <c r="R161" s="35"/>
      <c r="T161" s="7" t="s">
        <v>441</v>
      </c>
      <c r="U161" s="7" t="str">
        <f>'Character 4'!$L$28</f>
        <v>ER%</v>
      </c>
      <c r="V161" s="7">
        <f>'Character 4'!$L$27</f>
        <v>20</v>
      </c>
      <c r="W161" s="7">
        <f>MATCH('Character 4'!$L$29, 'Artifact Database'!$F$1:$F$66, 0)+1</f>
        <v>2</v>
      </c>
      <c r="X161" s="7" cm="1">
        <f t="array" ref="X161">INDEX('Artifact Database'!$F$1:$W$66, Calculations!W161+V161, MATCH(Calculations!U161,'Artifact Database'!$F$1:$W$1, 0))</f>
        <v>51.8</v>
      </c>
    </row>
    <row r="162" spans="2:24" x14ac:dyDescent="0.25">
      <c r="B162" s="35"/>
      <c r="C162" s="36" t="s">
        <v>62</v>
      </c>
      <c r="D162" s="38">
        <f>X160</f>
        <v>311</v>
      </c>
      <c r="E162" s="37">
        <v>0</v>
      </c>
      <c r="F162" s="38">
        <f>IFERROR(INDEX(char4Weapons, MATCH(C162, weaponsDB!$A$200:$A$264, 0), MATCH(char4WeaponName,weaponsDB!$A$200:$CS$200, 0)),0)</f>
        <v>0</v>
      </c>
      <c r="G162" s="37">
        <f>IFERROR(INDEX(char4ArtiSetStats, MATCH('Character 4'!$L$14,artisDB!$A$163:$A$215, 0), MATCH(C162, artisDB!$A$163:$AP$163, 0))+INDEX(char4ArtiSetStats, MATCH('Character 4'!$L$15, artisDB!$A$163:$A$215, 0), MATCH(C162, artisDB!$A$163:$AP$163, 0)),0)</f>
        <v>0</v>
      </c>
      <c r="H162" s="38">
        <f>IFERROR(INDEX('Character 4'!$X$19:$Z$28, MATCH(C162, 'Character 4'!$X$19:$X$28, 0), 3)*HLOOKUP('Character 4'!$Z$7, artifactSubstatValues, MATCH(C162, 'Artifact Database'!$A$1:$A$11, 0)),0)</f>
        <v>33.08</v>
      </c>
      <c r="I162" s="37">
        <f>VLOOKUP(C162, 'Character 4'!$R$5:$T$50, 3,0)</f>
        <v>0</v>
      </c>
      <c r="J162" s="38"/>
      <c r="K162" s="37">
        <f>SUM(D162:I162)</f>
        <v>344.08</v>
      </c>
      <c r="L162" s="35"/>
      <c r="N162" s="35"/>
      <c r="O162" s="35"/>
      <c r="P162" s="35"/>
      <c r="Q162" s="35"/>
      <c r="R162" s="35"/>
      <c r="T162" s="7" t="s">
        <v>440</v>
      </c>
      <c r="U162" s="7" t="str">
        <f>'Character 4'!$L$31</f>
        <v>Hydro DMG%</v>
      </c>
      <c r="V162" s="7">
        <f>'Character 4'!$L$30</f>
        <v>20</v>
      </c>
      <c r="W162" s="7">
        <f>MATCH('Character 4'!$L$32, 'Artifact Database'!$F$1:$F$66, 0)+1</f>
        <v>2</v>
      </c>
      <c r="X162" s="7" cm="1">
        <f t="array" ref="X162">INDEX('Artifact Database'!$F$1:$W$66, Calculations!W162+V162, MATCH(Calculations!U162,'Artifact Database'!$F$1:$W$1, 0))</f>
        <v>46.6</v>
      </c>
    </row>
    <row r="163" spans="2:24" x14ac:dyDescent="0.25">
      <c r="B163" s="35"/>
      <c r="C163" s="36" t="s">
        <v>63</v>
      </c>
      <c r="D163" s="38">
        <v>0</v>
      </c>
      <c r="E163" s="37">
        <v>0</v>
      </c>
      <c r="F163" s="38">
        <f>IFERROR(INDEX(char4Weapons, MATCH(C163, weaponsDB!$A$200:$A$264, 0), MATCH(char4WeaponName,weaponsDB!$A$200:$CS$200, 0)),0)</f>
        <v>0</v>
      </c>
      <c r="G163" s="37">
        <f>IFERROR(INDEX(char4ArtiSetStats, MATCH('Character 4'!$L$14,artisDB!$A$163:$A$215, 0), MATCH(C163, artisDB!$A$163:$AP$163, 0))+INDEX(char4ArtiSetStats, MATCH('Character 4'!$L$15, artisDB!$A$163:$A$215, 0), MATCH(C163, artisDB!$A$163:$AP$163, 0)),0)</f>
        <v>0</v>
      </c>
      <c r="H163" s="38">
        <f>IFERROR(INDEX('Character 4'!$X$19:$Z$28, MATCH(C163, 'Character 4'!$X$19:$X$28, 0), 3)*HLOOKUP('Character 4'!$Z$7, artifactSubstatValues, MATCH(C163, 'Artifact Database'!$A$1:$A$11, 0)),0)</f>
        <v>39.36</v>
      </c>
      <c r="I163" s="37">
        <f>VLOOKUP(C163, 'Character 4'!$R$5:$T$50, 3,0)</f>
        <v>0</v>
      </c>
      <c r="J163" s="38"/>
      <c r="K163" s="37">
        <f t="shared" ref="K163:K207" si="13">SUM(D163:I163)</f>
        <v>39.36</v>
      </c>
      <c r="L163" s="35"/>
      <c r="T163" s="7" t="s">
        <v>442</v>
      </c>
      <c r="U163" s="7" t="str">
        <f>'Character 4'!$L$34</f>
        <v>CR%</v>
      </c>
      <c r="V163" s="7">
        <f>'Character 4'!$L$33</f>
        <v>20</v>
      </c>
      <c r="W163" s="7">
        <f>MATCH('Character 4'!$L$35, 'Artifact Database'!$F$1:$F$66, 0)+1</f>
        <v>2</v>
      </c>
      <c r="X163" s="7" cm="1">
        <f t="array" ref="X163">INDEX('Artifact Database'!$F$1:$W$66, Calculations!W163+V163, MATCH(Calculations!U163,'Artifact Database'!$F$1:$W$1, 0))</f>
        <v>31.1</v>
      </c>
    </row>
    <row r="164" spans="2:24" x14ac:dyDescent="0.25">
      <c r="B164" s="35"/>
      <c r="C164" s="36" t="s">
        <v>64</v>
      </c>
      <c r="D164" s="38">
        <f>X159</f>
        <v>4780</v>
      </c>
      <c r="E164" s="37">
        <v>0</v>
      </c>
      <c r="F164" s="38">
        <f>IFERROR(INDEX(char4Weapons, MATCH(C164, weaponsDB!$A$200:$A$264, 0), MATCH(char4WeaponName,weaponsDB!$A$200:$CS$200, 0)),0)</f>
        <v>0</v>
      </c>
      <c r="G164" s="37">
        <f>IFERROR(INDEX(char4ArtiSetStats, MATCH('Character 4'!$L$14,artisDB!$A$163:$A$215, 0), MATCH(C164, artisDB!$A$163:$AP$163, 0))+INDEX(char4ArtiSetStats, MATCH('Character 4'!$L$15, artisDB!$A$163:$A$215, 0), MATCH(C164, artisDB!$A$163:$AP$163, 0)),0)</f>
        <v>0</v>
      </c>
      <c r="H164" s="38">
        <f>IFERROR(INDEX('Character 4'!$X$19:$Z$28, MATCH(C164, 'Character 4'!$X$19:$X$28, 0), 3)*HLOOKUP('Character 4'!$Z$7, artifactSubstatValues, MATCH(C164, 'Artifact Database'!$A$1:$A$11, 0)),0)</f>
        <v>507.88</v>
      </c>
      <c r="I164" s="37">
        <f>VLOOKUP(C164, 'Character 4'!$R$5:$T$50, 3,0)</f>
        <v>0</v>
      </c>
      <c r="J164" s="38"/>
      <c r="K164" s="37">
        <f t="shared" si="13"/>
        <v>5287.88</v>
      </c>
      <c r="L164" s="35"/>
    </row>
    <row r="165" spans="2:24" x14ac:dyDescent="0.25">
      <c r="B165" s="35"/>
      <c r="C165" s="36" t="s">
        <v>69</v>
      </c>
      <c r="D165" s="38">
        <f>IF(C165=$U$161, $X$161, 0)+IF(C165=$U$162, $X$162, 0)+IF(C165 = $U$163, $X$163, 0)</f>
        <v>0</v>
      </c>
      <c r="E165" s="37">
        <f>IFERROR(VLOOKUP(C165,$T$166:$U$171, 2, 0), 0)</f>
        <v>0</v>
      </c>
      <c r="F165" s="38">
        <f>IFERROR(INDEX(char4Weapons, MATCH(C165, weaponsDB!$A$200:$A$264, 0), MATCH(char4WeaponName,weaponsDB!$A$200:$CS$200, 0)),0)</f>
        <v>0</v>
      </c>
      <c r="G165" s="37">
        <f>IFERROR(INDEX(char4ArtiSetStats, MATCH('Character 4'!$L$14,artisDB!$A$163:$A$215, 0), MATCH(C165, artisDB!$A$163:$AP$163, 0))+INDEX(char4ArtiSetStats, MATCH('Character 4'!$L$15, artisDB!$A$163:$A$215, 0), MATCH(C165, artisDB!$A$163:$AP$163, 0)),0)</f>
        <v>0</v>
      </c>
      <c r="H165" s="38">
        <f>IFERROR(INDEX('Character 4'!$X$19:$Z$28, MATCH(C165, 'Character 4'!$X$19:$X$28, 0), 3)*HLOOKUP('Character 4'!$Z$7, artifactSubstatValues, MATCH(C165, 'Artifact Database'!$A$1:$A$11, 0)),0)</f>
        <v>39.64</v>
      </c>
      <c r="I165" s="37">
        <f>VLOOKUP(C165, 'Character 4'!$R$5:$T$50, 3,0)</f>
        <v>0</v>
      </c>
      <c r="J165" s="38"/>
      <c r="K165" s="37">
        <f t="shared" si="13"/>
        <v>39.64</v>
      </c>
      <c r="L165" s="35"/>
      <c r="T165" s="7" t="s">
        <v>805</v>
      </c>
      <c r="U165" s="7">
        <f>MATCH(char4Name, 'Char Stats'!$A$1:$A$660, 0)</f>
        <v>526</v>
      </c>
    </row>
    <row r="166" spans="2:24" x14ac:dyDescent="0.25">
      <c r="B166" s="35"/>
      <c r="C166" s="36" t="s">
        <v>65</v>
      </c>
      <c r="D166" s="45">
        <f t="shared" ref="D166:D207" si="14">(IF(C166=$U$161, $X$161, 0)+IF(C166=$U$162, $X$162, 0)+IF(C166 = $U$163, $X$163, 0))/100</f>
        <v>0</v>
      </c>
      <c r="E166" s="83">
        <f t="shared" ref="E166:E207" ca="1" si="15">IFERROR(VLOOKUP(C166,$T$166:$U$171, 2, 0), 0)</f>
        <v>0.24</v>
      </c>
      <c r="F166" s="45">
        <f>IFERROR(INDEX(char4Weapons, MATCH(C166, weaponsDB!$A$200:$A$264, 0), MATCH(char4WeaponName,weaponsDB!$A$200:$CS$200, 0)),0)</f>
        <v>0.41299999999999998</v>
      </c>
      <c r="G166" s="83">
        <f>IFERROR(INDEX(char4ArtiSetStats, MATCH('Character 4'!$L$14,artisDB!$A$163:$A$215, 0), MATCH(C166, artisDB!$A$163:$AP$163, 0))+INDEX(char4ArtiSetStats, MATCH('Character 4'!$L$15, artisDB!$A$163:$A$215, 0), MATCH(C166, artisDB!$A$163:$AP$163, 0)),0)</f>
        <v>0</v>
      </c>
      <c r="H166" s="45">
        <f>IFERROR(INDEX('Character 4'!$X$19:$Z$28, MATCH(C166, 'Character 4'!$X$19:$X$28, 0), 3)*HLOOKUP('Character 4'!$Z$7, artifactSubstatValues, MATCH(C166, 'Artifact Database'!$A$1:$A$11, 0)),0)</f>
        <v>9.9199999999999997E-2</v>
      </c>
      <c r="I166" s="83">
        <f>VLOOKUP(C166, 'Character 4'!$R$5:$T$50, 3,0)</f>
        <v>0.45</v>
      </c>
      <c r="J166" s="38"/>
      <c r="K166" s="83">
        <f t="shared" ca="1" si="13"/>
        <v>1.2021999999999999</v>
      </c>
      <c r="L166" s="35"/>
      <c r="T166" s="7" t="s">
        <v>410</v>
      </c>
      <c r="U166" s="7" cm="1">
        <f t="array" ref="U166">INDEX('Char Stats'!$A$1:$G$660, MATCH($Q$161, 'Char Stats'!$A$1:$A$15, 0)+$U$165-1, MATCH(Calculations!T166, 'Char Stats'!$A$1:$G$1, 0))</f>
        <v>9514</v>
      </c>
    </row>
    <row r="167" spans="2:24" x14ac:dyDescent="0.25">
      <c r="B167" s="35"/>
      <c r="C167" s="36" t="s">
        <v>66</v>
      </c>
      <c r="D167" s="45">
        <f t="shared" si="14"/>
        <v>0</v>
      </c>
      <c r="E167" s="83">
        <f t="shared" si="15"/>
        <v>0</v>
      </c>
      <c r="F167" s="45">
        <f>IFERROR(INDEX(char4Weapons, MATCH(C167, weaponsDB!$A$200:$A$264, 0), MATCH(char4WeaponName,weaponsDB!$A$200:$CS$200, 0)),0)</f>
        <v>0</v>
      </c>
      <c r="G167" s="83">
        <f>IFERROR(INDEX(char4ArtiSetStats, MATCH('Character 4'!$L$14,artisDB!$A$163:$A$215, 0), MATCH(C167, artisDB!$A$163:$AP$163, 0))+INDEX(char4ArtiSetStats, MATCH('Character 4'!$L$15, artisDB!$A$163:$A$215, 0), MATCH(C167, artisDB!$A$163:$AP$163, 0)),0)</f>
        <v>0</v>
      </c>
      <c r="H167" s="45">
        <f>IFERROR(INDEX('Character 4'!$X$19:$Z$28, MATCH(C167, 'Character 4'!$X$19:$X$28, 0), 3)*HLOOKUP('Character 4'!$Z$7, artifactSubstatValues, MATCH(C167, 'Artifact Database'!$A$1:$A$11, 0)),0)</f>
        <v>0.124</v>
      </c>
      <c r="I167" s="83">
        <f>VLOOKUP(C167, 'Character 4'!$R$5:$T$50, 3,0)</f>
        <v>0</v>
      </c>
      <c r="J167" s="38"/>
      <c r="K167" s="83">
        <f t="shared" si="13"/>
        <v>0.124</v>
      </c>
      <c r="L167" s="35"/>
      <c r="T167" s="7" t="s">
        <v>411</v>
      </c>
      <c r="U167" s="7" cm="1">
        <f t="array" ref="U167">INDEX('Char Stats'!$A$1:$G$660, MATCH($Q$161, 'Char Stats'!$A$1:$A$15, 0)+$U$165-1, MATCH(Calculations!T167, 'Char Stats'!$A$1:$G$1, 0))</f>
        <v>188</v>
      </c>
    </row>
    <row r="168" spans="2:24" x14ac:dyDescent="0.25">
      <c r="B168" s="35"/>
      <c r="C168" s="36" t="s">
        <v>67</v>
      </c>
      <c r="D168" s="45">
        <f t="shared" si="14"/>
        <v>0</v>
      </c>
      <c r="E168" s="83">
        <f t="shared" si="15"/>
        <v>0</v>
      </c>
      <c r="F168" s="45">
        <f>IFERROR(INDEX(char4Weapons, MATCH(C168, weaponsDB!$A$200:$A$264, 0), MATCH(char4WeaponName,weaponsDB!$A$200:$CS$200, 0)),0)</f>
        <v>0</v>
      </c>
      <c r="G168" s="83">
        <f>IFERROR(INDEX(char4ArtiSetStats, MATCH('Character 4'!$L$14,artisDB!$A$163:$A$215, 0), MATCH(C168, artisDB!$A$163:$AP$163, 0))+INDEX(char4ArtiSetStats, MATCH('Character 4'!$L$15, artisDB!$A$163:$A$215, 0), MATCH(C168, artisDB!$A$163:$AP$163, 0)),0)</f>
        <v>0</v>
      </c>
      <c r="H168" s="45">
        <f>IFERROR(INDEX('Character 4'!$X$19:$Z$28, MATCH(C168, 'Character 4'!$X$19:$X$28, 0), 3)*HLOOKUP('Character 4'!$Z$7, artifactSubstatValues, MATCH(C168, 'Artifact Database'!$A$1:$A$11, 0)),0)</f>
        <v>9.9199999999999997E-2</v>
      </c>
      <c r="I168" s="83">
        <f>VLOOKUP(C168, 'Character 4'!$R$5:$T$50, 3,0)</f>
        <v>0</v>
      </c>
      <c r="J168" s="38"/>
      <c r="K168" s="83">
        <f t="shared" si="13"/>
        <v>9.9199999999999997E-2</v>
      </c>
      <c r="L168" s="35"/>
      <c r="T168" s="7" t="s">
        <v>412</v>
      </c>
      <c r="U168" s="7" cm="1">
        <f t="array" ref="U168">INDEX('Char Stats'!$A$1:$G$660, MATCH($Q$161, 'Char Stats'!$A$1:$A$15, 0)+$U$165-1, MATCH(Calculations!T168, 'Char Stats'!$A$1:$G$1, 0))</f>
        <v>705</v>
      </c>
    </row>
    <row r="169" spans="2:24" x14ac:dyDescent="0.25">
      <c r="B169" s="35"/>
      <c r="C169" s="36" t="s">
        <v>413</v>
      </c>
      <c r="D169" s="45">
        <f t="shared" si="14"/>
        <v>0.311</v>
      </c>
      <c r="E169" s="83">
        <f t="shared" ca="1" si="15"/>
        <v>0.05</v>
      </c>
      <c r="F169" s="45">
        <f>IFERROR(INDEX(char4Weapons, MATCH(C169, weaponsDB!$A$200:$A$264, 0), MATCH(char4WeaponName,weaponsDB!$A$200:$CS$200, 0)),0)</f>
        <v>0</v>
      </c>
      <c r="G169" s="83">
        <f>IFERROR(INDEX(char4ArtiSetStats, MATCH('Character 4'!$L$14,artisDB!$A$163:$A$215, 0), MATCH(C169, artisDB!$A$163:$AP$163, 0))+INDEX(char4ArtiSetStats, MATCH('Character 4'!$L$15, artisDB!$A$163:$A$215, 0), MATCH(C169, artisDB!$A$163:$AP$163, 0)),0)</f>
        <v>0</v>
      </c>
      <c r="H169" s="45">
        <f>IFERROR(INDEX('Character 4'!$X$19:$Z$28, MATCH(C169, 'Character 4'!$X$19:$X$28, 0), 3)*HLOOKUP('Character 4'!$Z$7, artifactSubstatValues, MATCH(C169, 'Artifact Database'!$A$1:$A$11, 0)),0)</f>
        <v>0.26479999999999998</v>
      </c>
      <c r="I169" s="83">
        <f>VLOOKUP(C169, 'Character 4'!$R$5:$T$50, 3,0)</f>
        <v>0</v>
      </c>
      <c r="J169" s="38"/>
      <c r="K169" s="83">
        <f ca="1">IF(SUM(D169:J169)&gt;100%, 100%, IF(SUM(D169:J169)&lt;0%, 0%, SUM(D169:J169)))</f>
        <v>0.62579999999999991</v>
      </c>
      <c r="L169" s="35"/>
      <c r="N169" s="35"/>
      <c r="O169" s="35"/>
      <c r="P169" s="35"/>
      <c r="Q169" s="35"/>
      <c r="R169" s="35"/>
      <c r="T169" s="7" t="str" cm="1">
        <f t="array" ref="T169">INDEX('Char Stats'!$A$1:$G$660, $U$165, 5)</f>
        <v>ATK%</v>
      </c>
      <c r="U169" s="105">
        <f ca="1">INDEX(INDIRECT(char4Name&amp;"BaseStats"), MATCH(char4Level,  INDEX(INDIRECT(char4Name&amp;"BaseStats"), 0, 1), 0), MATCH(T169, INDEX(INDIRECT(char4Name&amp;"BaseStats"), 1, 0), 0))*IF(NOT(T169="EM"), 0.01, 1)</f>
        <v>0.24</v>
      </c>
    </row>
    <row r="170" spans="2:24" x14ac:dyDescent="0.25">
      <c r="B170" s="35"/>
      <c r="C170" s="36" t="s">
        <v>414</v>
      </c>
      <c r="D170" s="45">
        <f t="shared" si="14"/>
        <v>0</v>
      </c>
      <c r="E170" s="83">
        <f t="shared" ca="1" si="15"/>
        <v>0.5</v>
      </c>
      <c r="F170" s="45">
        <f>IFERROR(INDEX(char4Weapons, MATCH(C170, weaponsDB!$A$200:$A$264, 0), MATCH(char4WeaponName,weaponsDB!$A$200:$CS$200, 0)),0)</f>
        <v>0</v>
      </c>
      <c r="G170" s="83">
        <f>IFERROR(INDEX(char4ArtiSetStats, MATCH('Character 4'!$L$14,artisDB!$A$163:$A$215, 0), MATCH(C170, artisDB!$A$163:$AP$163, 0))+INDEX(char4ArtiSetStats, MATCH('Character 4'!$L$15, artisDB!$A$163:$A$215, 0), MATCH(C170, artisDB!$A$163:$AP$163, 0)),0)</f>
        <v>0</v>
      </c>
      <c r="H170" s="45">
        <f>IFERROR(INDEX('Character 4'!$X$19:$Z$28, MATCH(C170, 'Character 4'!$X$19:$X$28, 0), 3)*HLOOKUP('Character 4'!$Z$7, artifactSubstatValues, MATCH(C170, 'Artifact Database'!$A$1:$A$11, 0)),0)</f>
        <v>0.72819999999999996</v>
      </c>
      <c r="I170" s="83">
        <f>VLOOKUP(C170, 'Character 4'!$R$5:$T$50, 3,0)</f>
        <v>0</v>
      </c>
      <c r="J170" s="38"/>
      <c r="K170" s="83">
        <f t="shared" ca="1" si="13"/>
        <v>1.2282</v>
      </c>
      <c r="L170" s="35"/>
      <c r="N170" s="35"/>
      <c r="O170" s="238" t="s">
        <v>628</v>
      </c>
      <c r="P170" s="238"/>
      <c r="Q170" s="238"/>
      <c r="R170" s="35"/>
      <c r="T170" s="7" t="str" cm="1">
        <f t="array" ref="T170">INDEX('Char Stats'!$A$1:$G$660, $U$165, 6)</f>
        <v>CR%</v>
      </c>
      <c r="U170" s="105">
        <f ca="1">INDEX(INDIRECT(char4Name&amp;"BaseStats"), MATCH(char4Level,  INDEX(INDIRECT(char4Name&amp;"BaseStats"), 0, 1), 0), MATCH(T170, INDEX(INDIRECT(char4Name&amp;"BaseStats"), 1, 0), 0))*IF(NOT(T170="EM"), 0.01, 1)</f>
        <v>0.05</v>
      </c>
    </row>
    <row r="171" spans="2:24" x14ac:dyDescent="0.25">
      <c r="B171" s="35"/>
      <c r="C171" s="36" t="s">
        <v>68</v>
      </c>
      <c r="D171" s="45">
        <f t="shared" si="14"/>
        <v>0.51800000000000002</v>
      </c>
      <c r="E171" s="83">
        <f t="shared" si="15"/>
        <v>0</v>
      </c>
      <c r="F171" s="45">
        <f>IFERROR(INDEX(char4Weapons, MATCH(C171, weaponsDB!$A$200:$A$264, 0), MATCH(char4WeaponName,weaponsDB!$A$200:$CS$200, 0)),0)</f>
        <v>0</v>
      </c>
      <c r="G171" s="83">
        <f>IFERROR(INDEX(char4ArtiSetStats, MATCH('Character 4'!$L$14,artisDB!$A$163:$A$215, 0), MATCH(C171, artisDB!$A$163:$AP$163, 0))+INDEX(char4ArtiSetStats, MATCH('Character 4'!$L$15, artisDB!$A$163:$A$215, 0), MATCH(C171, artisDB!$A$163:$AP$163, 0)),0)</f>
        <v>0.2</v>
      </c>
      <c r="H171" s="45">
        <f>IFERROR(INDEX('Character 4'!$X$19:$Z$28, MATCH(C171, 'Character 4'!$X$19:$X$28, 0), 3)*HLOOKUP('Character 4'!$Z$7, artifactSubstatValues, MATCH(C171, 'Artifact Database'!$A$1:$A$11, 0)),0)</f>
        <v>0.11020000000000001</v>
      </c>
      <c r="I171" s="83">
        <f>VLOOKUP(C171, 'Character 4'!$R$5:$T$50, 3,0)</f>
        <v>0</v>
      </c>
      <c r="J171" s="38"/>
      <c r="K171" s="83">
        <f>SUM(D171:I171)+100%</f>
        <v>1.8281999999999998</v>
      </c>
      <c r="L171" s="35"/>
      <c r="N171" s="35"/>
      <c r="O171" s="238"/>
      <c r="P171" s="238"/>
      <c r="Q171" s="238"/>
      <c r="R171" s="35"/>
      <c r="T171" s="7" t="str" cm="1">
        <f t="array" ref="T171">INDEX('Char Stats'!$A$1:$G$660, $U$165, 7)</f>
        <v>CDMG%</v>
      </c>
      <c r="U171" s="105">
        <f ca="1">INDEX(INDIRECT(char4Name&amp;"BaseStats"), MATCH(char4Level, INDEX(INDIRECT(char4Name&amp;"BaseStats"), 0, 1), 0), MATCH(T171, INDEX(INDIRECT(char4Name&amp;"BaseStats"), 1, 0), 0))*IF(NOT(T171="EM"), 0.01, 1)</f>
        <v>0.5</v>
      </c>
    </row>
    <row r="172" spans="2:24" x14ac:dyDescent="0.25">
      <c r="B172" s="35"/>
      <c r="C172" s="36" t="s">
        <v>82</v>
      </c>
      <c r="D172" s="45">
        <f t="shared" si="14"/>
        <v>0</v>
      </c>
      <c r="E172" s="83">
        <f t="shared" si="15"/>
        <v>0</v>
      </c>
      <c r="F172" s="45">
        <f>IFERROR(INDEX(char4Weapons, MATCH(C172, weaponsDB!$A$200:$A$264, 0), MATCH(char4WeaponName,weaponsDB!$A$200:$CS$200, 0)),0)</f>
        <v>0.2</v>
      </c>
      <c r="G172" s="83">
        <f>IFERROR(INDEX(char4ArtiSetStats, MATCH('Character 4'!$L$14,artisDB!$A$163:$A$215, 0), MATCH(C172, artisDB!$A$163:$AP$163, 0))+INDEX(char4ArtiSetStats, MATCH('Character 4'!$L$15, artisDB!$A$163:$A$215, 0), MATCH(C172, artisDB!$A$163:$AP$163, 0)),0)</f>
        <v>0</v>
      </c>
      <c r="H172" s="45">
        <f>IFERROR(INDEX('Character 4'!$X$19:$Z$28, MATCH(C172, 'Character 4'!$X$19:$X$28, 0), 3)*HLOOKUP('Character 4'!$Z$7, artifactSubstatValues, MATCH(C172, 'Artifact Database'!$A$1:$A$11, 0)),0)</f>
        <v>0</v>
      </c>
      <c r="I172" s="83">
        <f>VLOOKUP(C172, 'Character 4'!$R$5:$T$50, 3,0)</f>
        <v>0</v>
      </c>
      <c r="J172" s="38"/>
      <c r="K172" s="83">
        <f t="shared" si="13"/>
        <v>0.2</v>
      </c>
      <c r="L172" s="35"/>
      <c r="N172" s="35"/>
      <c r="O172" s="239" t="s">
        <v>422</v>
      </c>
      <c r="P172" s="239"/>
      <c r="Q172" s="104">
        <f>VALUE(LEFT(Q161, 2))</f>
        <v>80</v>
      </c>
      <c r="R172" s="35"/>
    </row>
    <row r="173" spans="2:24" x14ac:dyDescent="0.25">
      <c r="B173" s="35"/>
      <c r="C173" s="36" t="s">
        <v>70</v>
      </c>
      <c r="D173" s="45">
        <f t="shared" si="14"/>
        <v>0</v>
      </c>
      <c r="E173" s="83">
        <f t="shared" si="15"/>
        <v>0</v>
      </c>
      <c r="F173" s="45">
        <f>IFERROR(INDEX(char4Weapons, MATCH(C173, weaponsDB!$A$200:$A$264, 0), MATCH(char4WeaponName,weaponsDB!$A$200:$CS$200, 0)),0)</f>
        <v>0</v>
      </c>
      <c r="G173" s="83">
        <f>IFERROR(INDEX(char4ArtiSetStats, MATCH('Character 4'!$L$14,artisDB!$A$163:$A$215, 0), MATCH(C173, artisDB!$A$163:$AP$163, 0))+INDEX(char4ArtiSetStats, MATCH('Character 4'!$L$15, artisDB!$A$163:$A$215, 0), MATCH(C173, artisDB!$A$163:$AP$163, 0)),0)</f>
        <v>0</v>
      </c>
      <c r="H173" s="45">
        <f>IFERROR(INDEX('Character 4'!$X$19:$Z$28, MATCH(C173, 'Character 4'!$X$19:$X$28, 0), 3)*HLOOKUP('Character 4'!$Z$7, artifactSubstatValues, MATCH(C173, 'Artifact Database'!$A$1:$A$11, 0)),0)</f>
        <v>0</v>
      </c>
      <c r="I173" s="83">
        <f>VLOOKUP(C173, 'Character 4'!$R$5:$T$50, 3,0)</f>
        <v>0</v>
      </c>
      <c r="J173" s="38"/>
      <c r="K173" s="83">
        <f t="shared" si="13"/>
        <v>0</v>
      </c>
      <c r="L173" s="35"/>
      <c r="N173" s="35"/>
      <c r="O173" s="239" t="s">
        <v>25</v>
      </c>
      <c r="P173" s="239"/>
      <c r="Q173" s="7">
        <f>'Character 1'!$E$29</f>
        <v>90</v>
      </c>
      <c r="R173" s="35"/>
    </row>
    <row r="174" spans="2:24" x14ac:dyDescent="0.25">
      <c r="B174" s="35"/>
      <c r="C174" s="36" t="s">
        <v>71</v>
      </c>
      <c r="D174" s="45">
        <f t="shared" si="14"/>
        <v>0</v>
      </c>
      <c r="E174" s="83">
        <f t="shared" si="15"/>
        <v>0</v>
      </c>
      <c r="F174" s="45">
        <f>IFERROR(INDEX(char4Weapons, MATCH(C174, weaponsDB!$A$200:$A$264, 0), MATCH(char4WeaponName,weaponsDB!$A$200:$CS$200, 0)),0)</f>
        <v>0</v>
      </c>
      <c r="G174" s="83">
        <f>IFERROR(INDEX(char4ArtiSetStats, MATCH('Character 4'!$L$14,artisDB!$A$163:$A$215, 0), MATCH(C174, artisDB!$A$163:$AP$163, 0))+INDEX(char4ArtiSetStats, MATCH('Character 4'!$L$15, artisDB!$A$163:$A$215, 0), MATCH(C174, artisDB!$A$163:$AP$163, 0)),0)</f>
        <v>0</v>
      </c>
      <c r="H174" s="45">
        <f>IFERROR(INDEX('Character 4'!$X$19:$Z$28, MATCH(C174, 'Character 4'!$X$19:$X$28, 0), 3)*HLOOKUP('Character 4'!$Z$7, artifactSubstatValues, MATCH(C174, 'Artifact Database'!$A$1:$A$11, 0)),0)</f>
        <v>0</v>
      </c>
      <c r="I174" s="83">
        <f>VLOOKUP(C174, 'Character 4'!$R$5:$T$50, 3,0)</f>
        <v>0</v>
      </c>
      <c r="J174" s="38"/>
      <c r="K174" s="83">
        <f t="shared" si="13"/>
        <v>0</v>
      </c>
      <c r="L174" s="35"/>
      <c r="N174" s="35"/>
      <c r="O174" s="239" t="s">
        <v>649</v>
      </c>
      <c r="P174" s="239"/>
      <c r="Q174" s="7">
        <f>IF(Q172&lt;60, 0.0002325*Q172^3+0.05547*Q172^2-0.2523*Q172+14.47, 0.00194*Q172^3-0.319*Q172^2+30.7*Q172-868)</f>
        <v>539.67999999999984</v>
      </c>
      <c r="R174" s="35"/>
    </row>
    <row r="175" spans="2:24" x14ac:dyDescent="0.25">
      <c r="B175" s="35"/>
      <c r="C175" s="36" t="s">
        <v>72</v>
      </c>
      <c r="D175" s="45">
        <f t="shared" si="14"/>
        <v>0</v>
      </c>
      <c r="E175" s="83">
        <f t="shared" si="15"/>
        <v>0</v>
      </c>
      <c r="F175" s="45">
        <f>IFERROR(INDEX(char4Weapons, MATCH(C175, weaponsDB!$A$200:$A$264, 0), MATCH(char4WeaponName,weaponsDB!$A$200:$CS$200, 0)),0)</f>
        <v>0</v>
      </c>
      <c r="G175" s="83">
        <f>IFERROR(INDEX(char4ArtiSetStats, MATCH('Character 4'!$L$14,artisDB!$A$163:$A$215, 0), MATCH(C175, artisDB!$A$163:$AP$163, 0))+INDEX(char4ArtiSetStats, MATCH('Character 4'!$L$15, artisDB!$A$163:$A$215, 0), MATCH(C175, artisDB!$A$163:$AP$163, 0)),0)</f>
        <v>0</v>
      </c>
      <c r="H175" s="45">
        <f>IFERROR(INDEX('Character 4'!$X$19:$Z$28, MATCH(C175, 'Character 4'!$X$19:$X$28, 0), 3)*HLOOKUP('Character 4'!$Z$7, artifactSubstatValues, MATCH(C175, 'Artifact Database'!$A$1:$A$11, 0)),0)</f>
        <v>0</v>
      </c>
      <c r="I175" s="83">
        <f>VLOOKUP(C175, 'Character 4'!$R$5:$T$50, 3,0)</f>
        <v>0</v>
      </c>
      <c r="J175" s="38"/>
      <c r="K175" s="83">
        <f t="shared" si="13"/>
        <v>0</v>
      </c>
      <c r="L175" s="35"/>
      <c r="N175" s="35"/>
      <c r="O175" s="35"/>
      <c r="P175" s="35"/>
      <c r="Q175" s="35"/>
      <c r="R175" s="35"/>
    </row>
    <row r="176" spans="2:24" x14ac:dyDescent="0.25">
      <c r="B176" s="35"/>
      <c r="C176" s="36" t="s">
        <v>73</v>
      </c>
      <c r="D176" s="45">
        <f t="shared" si="14"/>
        <v>0</v>
      </c>
      <c r="E176" s="83">
        <f t="shared" si="15"/>
        <v>0</v>
      </c>
      <c r="F176" s="45">
        <f>IFERROR(INDEX(char4Weapons, MATCH(C176, weaponsDB!$A$200:$A$264, 0), MATCH(char4WeaponName,weaponsDB!$A$200:$CS$200, 0)),0)</f>
        <v>0</v>
      </c>
      <c r="G176" s="83">
        <f>IFERROR(INDEX(char4ArtiSetStats, MATCH('Character 4'!$L$14,artisDB!$A$163:$A$215, 0), MATCH(C176, artisDB!$A$163:$AP$163, 0))+INDEX(char4ArtiSetStats, MATCH('Character 4'!$L$15, artisDB!$A$163:$A$215, 0), MATCH(C176, artisDB!$A$163:$AP$163, 0)),0)</f>
        <v>0</v>
      </c>
      <c r="H176" s="45">
        <f>IFERROR(INDEX('Character 4'!$X$19:$Z$28, MATCH(C176, 'Character 4'!$X$19:$X$28, 0), 3)*HLOOKUP('Character 4'!$Z$7, artifactSubstatValues, MATCH(C176, 'Artifact Database'!$A$1:$A$11, 0)),0)</f>
        <v>0</v>
      </c>
      <c r="I176" s="83">
        <f>VLOOKUP(C176, 'Character 4'!$R$5:$T$50, 3,0)</f>
        <v>0</v>
      </c>
      <c r="J176" s="38"/>
      <c r="K176" s="83">
        <f t="shared" si="13"/>
        <v>0</v>
      </c>
      <c r="L176" s="35"/>
    </row>
    <row r="177" spans="2:18" x14ac:dyDescent="0.25">
      <c r="B177" s="35"/>
      <c r="C177" s="36" t="s">
        <v>74</v>
      </c>
      <c r="D177" s="45">
        <f t="shared" si="14"/>
        <v>0</v>
      </c>
      <c r="E177" s="83">
        <f t="shared" si="15"/>
        <v>0</v>
      </c>
      <c r="F177" s="45">
        <f>IFERROR(INDEX(char4Weapons, MATCH(C177, weaponsDB!$A$200:$A$264, 0), MATCH(char4WeaponName,weaponsDB!$A$200:$CS$200, 0)),0)</f>
        <v>0</v>
      </c>
      <c r="G177" s="83">
        <f>IFERROR(INDEX(char4ArtiSetStats, MATCH('Character 4'!$L$14,artisDB!$A$163:$A$215, 0), MATCH(C177, artisDB!$A$163:$AP$163, 0))+INDEX(char4ArtiSetStats, MATCH('Character 4'!$L$15, artisDB!$A$163:$A$215, 0), MATCH(C177, artisDB!$A$163:$AP$163, 0)),0)</f>
        <v>0</v>
      </c>
      <c r="H177" s="45">
        <f>IFERROR(INDEX('Character 4'!$X$19:$Z$28, MATCH(C177, 'Character 4'!$X$19:$X$28, 0), 3)*HLOOKUP('Character 4'!$Z$7, artifactSubstatValues, MATCH(C177, 'Artifact Database'!$A$1:$A$11, 0)),0)</f>
        <v>0</v>
      </c>
      <c r="I177" s="83">
        <f>VLOOKUP(C177, 'Character 4'!$R$5:$T$50, 3,0)</f>
        <v>0</v>
      </c>
      <c r="J177" s="38"/>
      <c r="K177" s="83">
        <f t="shared" si="13"/>
        <v>0</v>
      </c>
      <c r="L177" s="35"/>
      <c r="N177" s="35"/>
      <c r="O177" s="35"/>
      <c r="P177" s="35"/>
      <c r="Q177" s="35"/>
      <c r="R177" s="35"/>
    </row>
    <row r="178" spans="2:18" x14ac:dyDescent="0.25">
      <c r="B178" s="35"/>
      <c r="C178" s="36" t="s">
        <v>75</v>
      </c>
      <c r="D178" s="45">
        <f t="shared" si="14"/>
        <v>0.46600000000000003</v>
      </c>
      <c r="E178" s="83">
        <f t="shared" si="15"/>
        <v>0</v>
      </c>
      <c r="F178" s="45">
        <f>IFERROR(INDEX(char4Weapons, MATCH(C178, weaponsDB!$A$200:$A$264, 0), MATCH(char4WeaponName,weaponsDB!$A$200:$CS$200, 0)),0)</f>
        <v>0</v>
      </c>
      <c r="G178" s="83">
        <f>IFERROR(INDEX(char4ArtiSetStats, MATCH('Character 4'!$L$14,artisDB!$A$163:$A$215, 0), MATCH(C178, artisDB!$A$163:$AP$163, 0))+INDEX(char4ArtiSetStats, MATCH('Character 4'!$L$15, artisDB!$A$163:$A$215, 0), MATCH(C178, artisDB!$A$163:$AP$163, 0)),0)</f>
        <v>0</v>
      </c>
      <c r="H178" s="45">
        <f>IFERROR(INDEX('Character 4'!$X$19:$Z$28, MATCH(C178, 'Character 4'!$X$19:$X$28, 0), 3)*HLOOKUP('Character 4'!$Z$7, artifactSubstatValues, MATCH(C178, 'Artifact Database'!$A$1:$A$11, 0)),0)</f>
        <v>0</v>
      </c>
      <c r="I178" s="83">
        <f>VLOOKUP(C178, 'Character 4'!$R$5:$T$50, 3,0)</f>
        <v>0.2</v>
      </c>
      <c r="J178" s="38"/>
      <c r="K178" s="83">
        <f t="shared" si="13"/>
        <v>0.66600000000000004</v>
      </c>
      <c r="L178" s="35"/>
      <c r="N178" s="35"/>
      <c r="O178" s="238" t="s">
        <v>637</v>
      </c>
      <c r="P178" s="238"/>
      <c r="Q178" s="238"/>
      <c r="R178" s="35"/>
    </row>
    <row r="179" spans="2:18" x14ac:dyDescent="0.25">
      <c r="B179" s="35"/>
      <c r="C179" s="36" t="s">
        <v>76</v>
      </c>
      <c r="D179" s="45">
        <f t="shared" si="14"/>
        <v>0</v>
      </c>
      <c r="E179" s="83">
        <f t="shared" si="15"/>
        <v>0</v>
      </c>
      <c r="F179" s="45">
        <f>IFERROR(INDEX(char4Weapons, MATCH(C179, weaponsDB!$A$200:$A$264, 0), MATCH(char4WeaponName,weaponsDB!$A$200:$CS$200, 0)),0)</f>
        <v>0</v>
      </c>
      <c r="G179" s="83">
        <f>IFERROR(INDEX(char4ArtiSetStats, MATCH('Character 4'!$L$14,artisDB!$A$163:$A$215, 0), MATCH(C179, artisDB!$A$163:$AP$163, 0))+INDEX(char4ArtiSetStats, MATCH('Character 4'!$L$15, artisDB!$A$163:$A$215, 0), MATCH(C179, artisDB!$A$163:$AP$163, 0)),0)</f>
        <v>0</v>
      </c>
      <c r="H179" s="45">
        <f>IFERROR(INDEX('Character 4'!$X$19:$Z$28, MATCH(C179, 'Character 4'!$X$19:$X$28, 0), 3)*HLOOKUP('Character 4'!$Z$7, artifactSubstatValues, MATCH(C179, 'Artifact Database'!$A$1:$A$11, 0)),0)</f>
        <v>0</v>
      </c>
      <c r="I179" s="83">
        <f>VLOOKUP(C179, 'Character 4'!$R$5:$T$50, 3,0)</f>
        <v>0</v>
      </c>
      <c r="J179" s="38"/>
      <c r="K179" s="83">
        <f t="shared" si="13"/>
        <v>0</v>
      </c>
      <c r="L179" s="35"/>
      <c r="N179" s="35"/>
      <c r="O179" s="238"/>
      <c r="P179" s="238"/>
      <c r="Q179" s="238"/>
      <c r="R179" s="35"/>
    </row>
    <row r="180" spans="2:18" x14ac:dyDescent="0.25">
      <c r="B180" s="35"/>
      <c r="C180" s="36" t="s">
        <v>77</v>
      </c>
      <c r="D180" s="45">
        <f t="shared" si="14"/>
        <v>0</v>
      </c>
      <c r="E180" s="83">
        <f t="shared" si="15"/>
        <v>0</v>
      </c>
      <c r="F180" s="45">
        <f>IFERROR(INDEX(char4Weapons, MATCH(C180, weaponsDB!$A$200:$A$264, 0), MATCH(char4WeaponName,weaponsDB!$A$200:$CS$200, 0)),0)</f>
        <v>0</v>
      </c>
      <c r="G180" s="83">
        <f>IFERROR(INDEX(char4ArtiSetStats, MATCH('Character 4'!$L$14,artisDB!$A$163:$A$215, 0), MATCH(C180, artisDB!$A$163:$AP$163, 0))+INDEX(char4ArtiSetStats, MATCH('Character 4'!$L$15, artisDB!$A$163:$A$215, 0), MATCH(C180, artisDB!$A$163:$AP$163, 0)),0)</f>
        <v>0</v>
      </c>
      <c r="H180" s="45">
        <f>IFERROR(INDEX('Character 4'!$X$19:$Z$28, MATCH(C180, 'Character 4'!$X$19:$X$28, 0), 3)*HLOOKUP('Character 4'!$Z$7, artifactSubstatValues, MATCH(C180, 'Artifact Database'!$A$1:$A$11, 0)),0)</f>
        <v>0</v>
      </c>
      <c r="I180" s="83">
        <f>VLOOKUP(C180, 'Character 4'!$R$5:$T$50, 3,0)</f>
        <v>0</v>
      </c>
      <c r="J180" s="38"/>
      <c r="K180" s="83">
        <f t="shared" si="13"/>
        <v>0</v>
      </c>
      <c r="L180" s="35"/>
      <c r="N180" s="35"/>
      <c r="O180" s="239" t="s">
        <v>636</v>
      </c>
      <c r="P180" s="239"/>
      <c r="Q180" s="7">
        <f>INDEX(char4Weapons, MATCH("Base ATK", weaponsDB!$A$200:$A$264, 0), MATCH(char4WeaponName, weaponsDB!$A$200:$CS$200, 0))</f>
        <v>510</v>
      </c>
      <c r="R180" s="35"/>
    </row>
    <row r="181" spans="2:18" x14ac:dyDescent="0.25">
      <c r="B181" s="35"/>
      <c r="C181" s="36" t="s">
        <v>78</v>
      </c>
      <c r="D181" s="45">
        <f t="shared" si="14"/>
        <v>0</v>
      </c>
      <c r="E181" s="83">
        <f t="shared" si="15"/>
        <v>0</v>
      </c>
      <c r="F181" s="45">
        <f>IFERROR(INDEX(char4Weapons, MATCH(C181, weaponsDB!$A$200:$A$264, 0), MATCH(char4WeaponName,weaponsDB!$A$200:$CS$200, 0)),0)</f>
        <v>0</v>
      </c>
      <c r="G181" s="83">
        <f>IFERROR(INDEX(char4ArtiSetStats, MATCH('Character 4'!$L$14,artisDB!$A$163:$A$215, 0), MATCH(C181, artisDB!$A$163:$AP$163, 0))+INDEX(char4ArtiSetStats, MATCH('Character 4'!$L$15, artisDB!$A$163:$A$215, 0), MATCH(C181, artisDB!$A$163:$AP$163, 0)),0)</f>
        <v>0</v>
      </c>
      <c r="H181" s="45">
        <f>IFERROR(INDEX('Character 4'!$X$19:$Z$28, MATCH(C181, 'Character 4'!$X$19:$X$28, 0), 3)*HLOOKUP('Character 4'!$Z$7, artifactSubstatValues, MATCH(C181, 'Artifact Database'!$A$1:$A$11, 0)),0)</f>
        <v>0</v>
      </c>
      <c r="I181" s="83">
        <f>VLOOKUP(C181, 'Character 4'!$R$5:$T$50, 3,0)</f>
        <v>0</v>
      </c>
      <c r="J181" s="38"/>
      <c r="K181" s="83">
        <f t="shared" si="13"/>
        <v>0</v>
      </c>
      <c r="L181" s="35"/>
      <c r="N181" s="35"/>
      <c r="O181" s="239" t="s">
        <v>629</v>
      </c>
      <c r="P181" s="239"/>
      <c r="Q181" s="7">
        <f>U167</f>
        <v>188</v>
      </c>
      <c r="R181" s="35"/>
    </row>
    <row r="182" spans="2:18" x14ac:dyDescent="0.25">
      <c r="B182" s="35"/>
      <c r="C182" s="36" t="s">
        <v>79</v>
      </c>
      <c r="D182" s="45">
        <f t="shared" si="14"/>
        <v>0</v>
      </c>
      <c r="E182" s="83">
        <f t="shared" si="15"/>
        <v>0</v>
      </c>
      <c r="F182" s="45">
        <f>IFERROR(INDEX(char4Weapons, MATCH(C182, weaponsDB!$A$200:$A$264, 0), MATCH(char4WeaponName,weaponsDB!$A$200:$CS$200, 0)),0)</f>
        <v>0</v>
      </c>
      <c r="G182" s="83">
        <f>IFERROR(INDEX(char4ArtiSetStats, MATCH('Character 4'!$L$14,artisDB!$A$163:$A$215, 0), MATCH(C182, artisDB!$A$163:$AP$163, 0))+INDEX(char4ArtiSetStats, MATCH('Character 4'!$L$15, artisDB!$A$163:$A$215, 0), MATCH(C182, artisDB!$A$163:$AP$163, 0)),0)</f>
        <v>0</v>
      </c>
      <c r="H182" s="45">
        <f>IFERROR(INDEX('Character 4'!$X$19:$Z$28, MATCH(C182, 'Character 4'!$X$19:$X$28, 0), 3)*HLOOKUP('Character 4'!$Z$7, artifactSubstatValues, MATCH(C182, 'Artifact Database'!$A$1:$A$11, 0)),0)</f>
        <v>0</v>
      </c>
      <c r="I182" s="83">
        <f>VLOOKUP(C182, 'Character 4'!$R$5:$T$50, 3,0)</f>
        <v>0</v>
      </c>
      <c r="J182" s="38"/>
      <c r="K182" s="83">
        <f t="shared" si="13"/>
        <v>0</v>
      </c>
      <c r="L182" s="35"/>
      <c r="N182" s="35"/>
      <c r="O182" s="239" t="s">
        <v>638</v>
      </c>
      <c r="P182" s="239"/>
      <c r="Q182" s="7">
        <f>U168</f>
        <v>705</v>
      </c>
      <c r="R182" s="35"/>
    </row>
    <row r="183" spans="2:18" x14ac:dyDescent="0.25">
      <c r="B183" s="35"/>
      <c r="C183" s="36" t="s">
        <v>80</v>
      </c>
      <c r="D183" s="45">
        <f t="shared" si="14"/>
        <v>0</v>
      </c>
      <c r="E183" s="83">
        <f t="shared" si="15"/>
        <v>0</v>
      </c>
      <c r="F183" s="45">
        <f>IFERROR(INDEX(char4Weapons, MATCH(C183, weaponsDB!$A$200:$A$264, 0), MATCH(char4WeaponName,weaponsDB!$A$200:$CS$200, 0)),0)</f>
        <v>0</v>
      </c>
      <c r="G183" s="83">
        <f>IFERROR(INDEX(char4ArtiSetStats, MATCH('Character 4'!$L$14,artisDB!$A$163:$A$215, 0), MATCH(C183, artisDB!$A$163:$AP$163, 0))+INDEX(char4ArtiSetStats, MATCH('Character 4'!$L$15, artisDB!$A$163:$A$215, 0), MATCH(C183, artisDB!$A$163:$AP$163, 0)),0)</f>
        <v>0</v>
      </c>
      <c r="H183" s="45">
        <f>IFERROR(INDEX('Character 4'!$X$19:$Z$28, MATCH(C183, 'Character 4'!$X$19:$X$28, 0), 3)*HLOOKUP('Character 4'!$Z$7, artifactSubstatValues, MATCH(C183, 'Artifact Database'!$A$1:$A$11, 0)),0)</f>
        <v>0</v>
      </c>
      <c r="I183" s="83">
        <f>VLOOKUP(C183, 'Character 4'!$R$5:$T$50, 3,0)</f>
        <v>0</v>
      </c>
      <c r="J183" s="38"/>
      <c r="K183" s="83">
        <f t="shared" si="13"/>
        <v>0</v>
      </c>
      <c r="L183" s="35"/>
      <c r="N183" s="35"/>
      <c r="O183" s="239" t="s">
        <v>639</v>
      </c>
      <c r="P183" s="239"/>
      <c r="Q183" s="7">
        <f>U166</f>
        <v>9514</v>
      </c>
      <c r="R183" s="35"/>
    </row>
    <row r="184" spans="2:18" x14ac:dyDescent="0.25">
      <c r="B184" s="35"/>
      <c r="C184" s="36" t="s">
        <v>81</v>
      </c>
      <c r="D184" s="45">
        <f t="shared" si="14"/>
        <v>0</v>
      </c>
      <c r="E184" s="83">
        <f t="shared" si="15"/>
        <v>0</v>
      </c>
      <c r="F184" s="45">
        <f>IFERROR(INDEX(char4Weapons, MATCH(C184, weaponsDB!$A$200:$A$264, 0), MATCH(char4WeaponName,weaponsDB!$A$200:$CS$200, 0)),0)</f>
        <v>0</v>
      </c>
      <c r="G184" s="83">
        <f>IFERROR(INDEX(char4ArtiSetStats, MATCH('Character 4'!$L$14,artisDB!$A$163:$A$215, 0), MATCH(C184, artisDB!$A$163:$AP$163, 0))+INDEX(char4ArtiSetStats, MATCH('Character 4'!$L$15, artisDB!$A$163:$A$215, 0), MATCH(C184, artisDB!$A$163:$AP$163, 0)),0)</f>
        <v>0.45704999999999996</v>
      </c>
      <c r="H184" s="45">
        <f>IFERROR(INDEX('Character 4'!$X$19:$Z$28, MATCH(C184, 'Character 4'!$X$19:$X$28, 0), 3)*HLOOKUP('Character 4'!$Z$7, artifactSubstatValues, MATCH(C184, 'Artifact Database'!$A$1:$A$11, 0)),0)</f>
        <v>0</v>
      </c>
      <c r="I184" s="83">
        <f>VLOOKUP(C184, 'Character 4'!$R$5:$T$50, 3,0)</f>
        <v>0.24</v>
      </c>
      <c r="J184" s="38"/>
      <c r="K184" s="83">
        <f t="shared" si="13"/>
        <v>0.69704999999999995</v>
      </c>
      <c r="L184" s="35"/>
      <c r="N184" s="35"/>
      <c r="O184" s="35"/>
      <c r="P184" s="35"/>
      <c r="Q184" s="35"/>
      <c r="R184" s="35"/>
    </row>
    <row r="185" spans="2:18" x14ac:dyDescent="0.25">
      <c r="B185" s="35"/>
      <c r="C185" s="36" t="s">
        <v>83</v>
      </c>
      <c r="D185" s="45">
        <f t="shared" si="14"/>
        <v>0</v>
      </c>
      <c r="E185" s="83">
        <f t="shared" si="15"/>
        <v>0</v>
      </c>
      <c r="F185" s="45">
        <f>IFERROR(INDEX(char4Weapons, MATCH(C185, weaponsDB!$A$200:$A$264, 0), MATCH(char4WeaponName,weaponsDB!$A$200:$CS$200, 0)),0)</f>
        <v>0</v>
      </c>
      <c r="G185" s="83">
        <f>IFERROR(INDEX(char4ArtiSetStats, MATCH('Character 4'!$L$14,artisDB!$A$163:$A$215, 0), MATCH(C185, artisDB!$A$163:$AP$163, 0))+INDEX(char4ArtiSetStats, MATCH('Character 4'!$L$15, artisDB!$A$163:$A$215, 0), MATCH(C185, artisDB!$A$163:$AP$163, 0)),0)</f>
        <v>0</v>
      </c>
      <c r="H185" s="45">
        <f>IFERROR(INDEX('Character 4'!$X$19:$Z$28, MATCH(C185, 'Character 4'!$X$19:$X$28, 0), 3)*HLOOKUP('Character 4'!$Z$7, artifactSubstatValues, MATCH(C185, 'Artifact Database'!$A$1:$A$11, 0)),0)</f>
        <v>0</v>
      </c>
      <c r="I185" s="83">
        <f>VLOOKUP(C185, 'Character 4'!$R$5:$T$50, 3,0)</f>
        <v>0</v>
      </c>
      <c r="J185" s="38"/>
      <c r="K185" s="83">
        <f t="shared" si="13"/>
        <v>0</v>
      </c>
      <c r="L185" s="35"/>
    </row>
    <row r="186" spans="2:18" x14ac:dyDescent="0.25">
      <c r="B186" s="35"/>
      <c r="C186" s="36" t="s">
        <v>84</v>
      </c>
      <c r="D186" s="45">
        <f t="shared" si="14"/>
        <v>0</v>
      </c>
      <c r="E186" s="83">
        <f t="shared" si="15"/>
        <v>0</v>
      </c>
      <c r="F186" s="45">
        <f>IFERROR(INDEX(char4Weapons, MATCH(C186, weaponsDB!$A$200:$A$264, 0), MATCH(char4WeaponName,weaponsDB!$A$200:$CS$200, 0)),0)</f>
        <v>0</v>
      </c>
      <c r="G186" s="83">
        <f>IFERROR(INDEX(char4ArtiSetStats, MATCH('Character 4'!$L$14,artisDB!$A$163:$A$215, 0), MATCH(C186, artisDB!$A$163:$AP$163, 0))+INDEX(char4ArtiSetStats, MATCH('Character 4'!$L$15, artisDB!$A$163:$A$215, 0), MATCH(C186, artisDB!$A$163:$AP$163, 0)),0)</f>
        <v>0</v>
      </c>
      <c r="H186" s="45">
        <f>IFERROR(INDEX('Character 4'!$X$19:$Z$28, MATCH(C186, 'Character 4'!$X$19:$X$28, 0), 3)*HLOOKUP('Character 4'!$Z$7, artifactSubstatValues, MATCH(C186, 'Artifact Database'!$A$1:$A$11, 0)),0)</f>
        <v>0</v>
      </c>
      <c r="I186" s="83">
        <f>VLOOKUP(C186, 'Character 4'!$R$5:$T$50, 3,0)</f>
        <v>0</v>
      </c>
      <c r="J186" s="38"/>
      <c r="K186" s="83">
        <f t="shared" si="13"/>
        <v>0</v>
      </c>
      <c r="L186" s="35"/>
      <c r="N186" s="35"/>
      <c r="O186" s="35"/>
      <c r="P186" s="35"/>
      <c r="Q186" s="35"/>
      <c r="R186" s="35"/>
    </row>
    <row r="187" spans="2:18" x14ac:dyDescent="0.25">
      <c r="B187" s="35"/>
      <c r="C187" s="36" t="s">
        <v>85</v>
      </c>
      <c r="D187" s="45">
        <f t="shared" si="14"/>
        <v>0</v>
      </c>
      <c r="E187" s="83">
        <f t="shared" si="15"/>
        <v>0</v>
      </c>
      <c r="F187" s="45">
        <f>IFERROR(INDEX(char4Weapons, MATCH(C187, weaponsDB!$A$200:$A$264, 0), MATCH(char4WeaponName,weaponsDB!$A$200:$CS$200, 0)),0)</f>
        <v>0</v>
      </c>
      <c r="G187" s="83">
        <f>IFERROR(INDEX(char4ArtiSetStats, MATCH('Character 4'!$L$14,artisDB!$A$163:$A$215, 0), MATCH(C187, artisDB!$A$163:$AP$163, 0))+INDEX(char4ArtiSetStats, MATCH('Character 4'!$L$15, artisDB!$A$163:$A$215, 0), MATCH(C187, artisDB!$A$163:$AP$163, 0)),0)</f>
        <v>0</v>
      </c>
      <c r="H187" s="45">
        <f>IFERROR(INDEX('Character 4'!$X$19:$Z$28, MATCH(C187, 'Character 4'!$X$19:$X$28, 0), 3)*HLOOKUP('Character 4'!$Z$7, artifactSubstatValues, MATCH(C187, 'Artifact Database'!$A$1:$A$11, 0)),0)</f>
        <v>0</v>
      </c>
      <c r="I187" s="83">
        <f>VLOOKUP(C187, 'Character 4'!$R$5:$T$50, 3,0)</f>
        <v>0</v>
      </c>
      <c r="J187" s="38"/>
      <c r="K187" s="83">
        <f t="shared" si="13"/>
        <v>0</v>
      </c>
      <c r="L187" s="35"/>
      <c r="N187" s="35"/>
      <c r="O187" s="238" t="s">
        <v>676</v>
      </c>
      <c r="P187" s="238"/>
      <c r="Q187" s="238"/>
      <c r="R187" s="35"/>
    </row>
    <row r="188" spans="2:18" x14ac:dyDescent="0.25">
      <c r="B188" s="35"/>
      <c r="C188" s="36" t="s">
        <v>86</v>
      </c>
      <c r="D188" s="45">
        <f t="shared" si="14"/>
        <v>0</v>
      </c>
      <c r="E188" s="83">
        <f t="shared" si="15"/>
        <v>0</v>
      </c>
      <c r="F188" s="45">
        <f>IFERROR(INDEX(char4Weapons, MATCH(C188, weaponsDB!$A$200:$A$264, 0), MATCH(char4WeaponName,weaponsDB!$A$200:$CS$200, 0)),0)</f>
        <v>0</v>
      </c>
      <c r="G188" s="83">
        <f>IFERROR(INDEX(char4ArtiSetStats, MATCH('Character 4'!$L$14,artisDB!$A$163:$A$215, 0), MATCH(C188, artisDB!$A$163:$AP$163, 0))+INDEX(char4ArtiSetStats, MATCH('Character 4'!$L$15, artisDB!$A$163:$A$215, 0), MATCH(C188, artisDB!$A$163:$AP$163, 0)),0)</f>
        <v>0</v>
      </c>
      <c r="H188" s="45">
        <f>IFERROR(INDEX('Character 4'!$X$19:$Z$28, MATCH(C188, 'Character 4'!$X$19:$X$28, 0), 3)*HLOOKUP('Character 4'!$Z$7, artifactSubstatValues, MATCH(C188, 'Artifact Database'!$A$1:$A$11, 0)),0)</f>
        <v>0</v>
      </c>
      <c r="I188" s="83">
        <f>VLOOKUP(C188, 'Character 4'!$R$5:$T$50, 3,0)</f>
        <v>0</v>
      </c>
      <c r="J188" s="38"/>
      <c r="K188" s="83">
        <f t="shared" si="13"/>
        <v>0</v>
      </c>
      <c r="L188" s="35"/>
      <c r="N188" s="35"/>
      <c r="O188" s="238"/>
      <c r="P188" s="238"/>
      <c r="Q188" s="238"/>
      <c r="R188" s="35"/>
    </row>
    <row r="189" spans="2:18" x14ac:dyDescent="0.25">
      <c r="B189" s="35"/>
      <c r="C189" s="36" t="s">
        <v>87</v>
      </c>
      <c r="D189" s="45">
        <f t="shared" si="14"/>
        <v>0</v>
      </c>
      <c r="E189" s="83">
        <f t="shared" si="15"/>
        <v>0</v>
      </c>
      <c r="F189" s="45">
        <f>IFERROR(INDEX(char4Weapons, MATCH(C189, weaponsDB!$A$200:$A$264, 0), MATCH(char4WeaponName,weaponsDB!$A$200:$CS$200, 0)),0)</f>
        <v>0</v>
      </c>
      <c r="G189" s="83">
        <f>IFERROR(INDEX(char4ArtiSetStats, MATCH('Character 4'!$L$14,artisDB!$A$163:$A$215, 0), MATCH(C189, artisDB!$A$163:$AP$163, 0))+INDEX(char4ArtiSetStats, MATCH('Character 4'!$L$15, artisDB!$A$163:$A$215, 0), MATCH(C189, artisDB!$A$163:$AP$163, 0)),0)</f>
        <v>0</v>
      </c>
      <c r="H189" s="45">
        <f>IFERROR(INDEX('Character 4'!$X$19:$Z$28, MATCH(C189, 'Character 4'!$X$19:$X$28, 0), 3)*HLOOKUP('Character 4'!$Z$7, artifactSubstatValues, MATCH(C189, 'Artifact Database'!$A$1:$A$11, 0)),0)</f>
        <v>0</v>
      </c>
      <c r="I189" s="83">
        <f>VLOOKUP(C189, 'Character 4'!$R$5:$T$50, 3,0)</f>
        <v>0</v>
      </c>
      <c r="J189" s="38"/>
      <c r="K189" s="83">
        <f t="shared" si="13"/>
        <v>0</v>
      </c>
      <c r="L189" s="35"/>
      <c r="N189" s="35"/>
      <c r="O189" s="239" t="s">
        <v>677</v>
      </c>
      <c r="P189" s="239"/>
      <c r="Q189" s="7" t="str">
        <f>'Character 4'!E20</f>
        <v>skill</v>
      </c>
      <c r="R189" s="35"/>
    </row>
    <row r="190" spans="2:18" x14ac:dyDescent="0.25">
      <c r="B190" s="35"/>
      <c r="C190" s="36" t="s">
        <v>90</v>
      </c>
      <c r="D190" s="45">
        <f t="shared" si="14"/>
        <v>0</v>
      </c>
      <c r="E190" s="83">
        <f t="shared" si="15"/>
        <v>0</v>
      </c>
      <c r="F190" s="45">
        <f>IFERROR(INDEX(char4Weapons, MATCH(C190, weaponsDB!$A$200:$A$264, 0), MATCH(char4WeaponName,weaponsDB!$A$200:$CS$200, 0)),0)</f>
        <v>0</v>
      </c>
      <c r="G190" s="83">
        <f>IFERROR(INDEX(char4ArtiSetStats, MATCH('Character 4'!$L$14,artisDB!$A$163:$A$215, 0), MATCH(C190, artisDB!$A$163:$AP$163, 0))+INDEX(char4ArtiSetStats, MATCH('Character 4'!$L$15, artisDB!$A$163:$A$215, 0), MATCH(C190, artisDB!$A$163:$AP$163, 0)),0)</f>
        <v>0</v>
      </c>
      <c r="H190" s="45">
        <f>IFERROR(INDEX('Character 4'!$X$19:$Z$28, MATCH(C190, 'Character 4'!$X$19:$X$28, 0), 3)*HLOOKUP('Character 4'!$Z$7, artifactSubstatValues, MATCH(C190, 'Artifact Database'!$A$1:$A$11, 0)),0)</f>
        <v>0</v>
      </c>
      <c r="I190" s="83">
        <f>VLOOKUP(C190, 'Character 4'!$R$5:$T$50, 3,0)</f>
        <v>0</v>
      </c>
      <c r="J190" s="38"/>
      <c r="K190" s="83">
        <f t="shared" si="13"/>
        <v>0</v>
      </c>
      <c r="L190" s="35"/>
      <c r="N190" s="35"/>
      <c r="O190" s="239" t="s">
        <v>678</v>
      </c>
      <c r="P190" s="239"/>
      <c r="Q190" s="7" t="str">
        <f>'Character 4'!E23</f>
        <v>burst</v>
      </c>
      <c r="R190" s="35"/>
    </row>
    <row r="191" spans="2:18" x14ac:dyDescent="0.25">
      <c r="B191" s="35"/>
      <c r="C191" s="36" t="s">
        <v>88</v>
      </c>
      <c r="D191" s="45">
        <f t="shared" si="14"/>
        <v>0</v>
      </c>
      <c r="E191" s="83">
        <f t="shared" si="15"/>
        <v>0</v>
      </c>
      <c r="F191" s="45">
        <f>IFERROR(INDEX(char4Weapons, MATCH(C191, weaponsDB!$A$200:$A$264, 0), MATCH(char4WeaponName,weaponsDB!$A$200:$CS$200, 0)),0)</f>
        <v>0</v>
      </c>
      <c r="G191" s="83">
        <f>IFERROR(INDEX(char4ArtiSetStats, MATCH('Character 4'!$L$14,artisDB!$A$163:$A$215, 0), MATCH(C191, artisDB!$A$163:$AP$163, 0))+INDEX(char4ArtiSetStats, MATCH('Character 4'!$L$15, artisDB!$A$163:$A$215, 0), MATCH(C191, artisDB!$A$163:$AP$163, 0)),0)</f>
        <v>0</v>
      </c>
      <c r="H191" s="45">
        <f>IFERROR(INDEX('Character 4'!$X$19:$Z$28, MATCH(C191, 'Character 4'!$X$19:$X$28, 0), 3)*HLOOKUP('Character 4'!$Z$7, artifactSubstatValues, MATCH(C191, 'Artifact Database'!$A$1:$A$11, 0)),0)</f>
        <v>0</v>
      </c>
      <c r="I191" s="83">
        <f>VLOOKUP(C191, 'Character 4'!$R$5:$T$50, 3,0)</f>
        <v>0</v>
      </c>
      <c r="J191" s="38"/>
      <c r="K191" s="83">
        <f t="shared" si="13"/>
        <v>0</v>
      </c>
      <c r="L191" s="35"/>
      <c r="N191" s="35"/>
      <c r="O191" s="35"/>
      <c r="P191" s="35"/>
      <c r="Q191" s="35"/>
      <c r="R191" s="35"/>
    </row>
    <row r="192" spans="2:18" x14ac:dyDescent="0.25">
      <c r="B192" s="35"/>
      <c r="C192" s="36" t="s">
        <v>89</v>
      </c>
      <c r="D192" s="45">
        <f t="shared" si="14"/>
        <v>0</v>
      </c>
      <c r="E192" s="83">
        <f t="shared" si="15"/>
        <v>0</v>
      </c>
      <c r="F192" s="45">
        <f>IFERROR(INDEX(char4Weapons, MATCH(C192, weaponsDB!$A$200:$A$264, 0), MATCH(char4WeaponName,weaponsDB!$A$200:$CS$200, 0)),0)</f>
        <v>0</v>
      </c>
      <c r="G192" s="83">
        <f>IFERROR(INDEX(char4ArtiSetStats, MATCH('Character 4'!$L$14,artisDB!$A$163:$A$215, 0), MATCH(C192, artisDB!$A$163:$AP$163, 0))+INDEX(char4ArtiSetStats, MATCH('Character 4'!$L$15, artisDB!$A$163:$A$215, 0), MATCH(C192, artisDB!$A$163:$AP$163, 0)),0)</f>
        <v>0</v>
      </c>
      <c r="H192" s="45">
        <f>IFERROR(INDEX('Character 4'!$X$19:$Z$28, MATCH(C192, 'Character 4'!$X$19:$X$28, 0), 3)*HLOOKUP('Character 4'!$Z$7, artifactSubstatValues, MATCH(C192, 'Artifact Database'!$A$1:$A$11, 0)),0)</f>
        <v>0</v>
      </c>
      <c r="I192" s="83">
        <f>VLOOKUP(C192, 'Character 4'!$R$5:$T$50, 3,0)</f>
        <v>0</v>
      </c>
      <c r="J192" s="38"/>
      <c r="K192" s="83">
        <f t="shared" si="13"/>
        <v>0</v>
      </c>
      <c r="L192" s="35"/>
    </row>
    <row r="193" spans="2:18" x14ac:dyDescent="0.25">
      <c r="B193" s="35"/>
      <c r="C193" s="36" t="s">
        <v>91</v>
      </c>
      <c r="D193" s="45">
        <f t="shared" si="14"/>
        <v>0</v>
      </c>
      <c r="E193" s="83">
        <f t="shared" si="15"/>
        <v>0</v>
      </c>
      <c r="F193" s="45">
        <f>IFERROR(INDEX(char4Weapons, MATCH(C193, weaponsDB!$A$200:$A$264, 0), MATCH(char4WeaponName,weaponsDB!$A$200:$CS$200, 0)),0)</f>
        <v>0</v>
      </c>
      <c r="G193" s="83">
        <f>IFERROR(INDEX(char4ArtiSetStats, MATCH('Character 4'!$L$14,artisDB!$A$163:$A$215, 0), MATCH(C193, artisDB!$A$163:$AP$163, 0))+INDEX(char4ArtiSetStats, MATCH('Character 4'!$L$15, artisDB!$A$163:$A$215, 0), MATCH(C193, artisDB!$A$163:$AP$163, 0)),0)</f>
        <v>0</v>
      </c>
      <c r="H193" s="45">
        <f>IFERROR(INDEX('Character 4'!$X$19:$Z$28, MATCH(C193, 'Character 4'!$X$19:$X$28, 0), 3)*HLOOKUP('Character 4'!$Z$7, artifactSubstatValues, MATCH(C193, 'Artifact Database'!$A$1:$A$11, 0)),0)</f>
        <v>0</v>
      </c>
      <c r="I193" s="83">
        <f>VLOOKUP(C193, 'Character 4'!$R$5:$T$50, 3,0)</f>
        <v>0</v>
      </c>
      <c r="J193" s="38"/>
      <c r="K193" s="83">
        <f t="shared" si="13"/>
        <v>0</v>
      </c>
      <c r="L193" s="35"/>
      <c r="N193" s="35"/>
      <c r="O193" s="35"/>
      <c r="P193" s="35"/>
      <c r="Q193" s="35"/>
      <c r="R193" s="35"/>
    </row>
    <row r="194" spans="2:18" x14ac:dyDescent="0.25">
      <c r="B194" s="35"/>
      <c r="C194" s="36" t="s">
        <v>458</v>
      </c>
      <c r="D194" s="45">
        <f t="shared" si="14"/>
        <v>0</v>
      </c>
      <c r="E194" s="83">
        <f t="shared" si="15"/>
        <v>0</v>
      </c>
      <c r="F194" s="45">
        <f>IFERROR(INDEX(char4Weapons, MATCH(C194, weaponsDB!$A$200:$A$264, 0), MATCH(char4WeaponName,weaponsDB!$A$200:$CS$200, 0)),0)</f>
        <v>0</v>
      </c>
      <c r="G194" s="83">
        <f>IFERROR(INDEX(char4ArtiSetStats, MATCH('Character 4'!$L$14,artisDB!$A$163:$A$215, 0), MATCH(C194, artisDB!$A$163:$AP$163, 0))+INDEX(char4ArtiSetStats, MATCH('Character 4'!$L$15, artisDB!$A$163:$A$215, 0), MATCH(C194, artisDB!$A$163:$AP$163, 0)),0)</f>
        <v>0</v>
      </c>
      <c r="H194" s="45">
        <f>IFERROR(INDEX('Character 4'!$X$19:$Z$28, MATCH(C194, 'Character 4'!$X$19:$X$28, 0), 3)*HLOOKUP('Character 4'!$Z$7, artifactSubstatValues, MATCH(C194, 'Artifact Database'!$A$1:$A$11, 0)),0)</f>
        <v>0</v>
      </c>
      <c r="I194" s="83">
        <f>VLOOKUP(C194, 'Character 4'!$R$5:$T$50, 3,0)</f>
        <v>0</v>
      </c>
      <c r="J194" s="38"/>
      <c r="K194" s="83">
        <f t="shared" si="13"/>
        <v>0</v>
      </c>
      <c r="L194" s="35"/>
      <c r="N194" s="35"/>
      <c r="O194" s="238" t="s">
        <v>683</v>
      </c>
      <c r="P194" s="238"/>
      <c r="Q194" s="238"/>
      <c r="R194" s="35"/>
    </row>
    <row r="195" spans="2:18" x14ac:dyDescent="0.25">
      <c r="B195" s="35"/>
      <c r="C195" s="36" t="s">
        <v>93</v>
      </c>
      <c r="D195" s="45">
        <f t="shared" si="14"/>
        <v>0</v>
      </c>
      <c r="E195" s="83">
        <f t="shared" si="15"/>
        <v>0</v>
      </c>
      <c r="F195" s="45">
        <f>IFERROR(INDEX(char4Weapons, MATCH(C195, weaponsDB!$A$200:$A$264, 0), MATCH(char4WeaponName,weaponsDB!$A$200:$CS$200, 0)),0)</f>
        <v>0</v>
      </c>
      <c r="G195" s="83">
        <f>IFERROR(INDEX(char4ArtiSetStats, MATCH('Character 4'!$L$14,artisDB!$A$163:$A$215, 0), MATCH(C195, artisDB!$A$163:$AP$163, 0))+INDEX(char4ArtiSetStats, MATCH('Character 4'!$L$15, artisDB!$A$163:$A$215, 0), MATCH(C195, artisDB!$A$163:$AP$163, 0)),0)</f>
        <v>0</v>
      </c>
      <c r="H195" s="45">
        <f>IFERROR(INDEX('Character 4'!$X$19:$Z$28, MATCH(C195, 'Character 4'!$X$19:$X$28, 0), 3)*HLOOKUP('Character 4'!$Z$7, artifactSubstatValues, MATCH(C195, 'Artifact Database'!$A$1:$A$11, 0)),0)</f>
        <v>0</v>
      </c>
      <c r="I195" s="83">
        <f>VLOOKUP(C195, 'Character 4'!$R$5:$T$50, 3,0)</f>
        <v>0</v>
      </c>
      <c r="J195" s="38"/>
      <c r="K195" s="83">
        <f t="shared" si="13"/>
        <v>0</v>
      </c>
      <c r="L195" s="35"/>
      <c r="N195" s="35"/>
      <c r="O195" s="238"/>
      <c r="P195" s="238"/>
      <c r="Q195" s="238"/>
      <c r="R195" s="35"/>
    </row>
    <row r="196" spans="2:18" x14ac:dyDescent="0.25">
      <c r="B196" s="35"/>
      <c r="C196" s="36" t="s">
        <v>427</v>
      </c>
      <c r="D196" s="45">
        <f t="shared" si="14"/>
        <v>0</v>
      </c>
      <c r="E196" s="83">
        <f t="shared" si="15"/>
        <v>0</v>
      </c>
      <c r="F196" s="45">
        <f>IFERROR(INDEX(char4Weapons, MATCH(C196, weaponsDB!$A$200:$A$264, 0), MATCH(char4WeaponName,weaponsDB!$A$200:$CS$200, 0)),0)</f>
        <v>0</v>
      </c>
      <c r="G196" s="83">
        <f>IFERROR(INDEX(char4ArtiSetStats, MATCH('Character 4'!$L$14,artisDB!$A$163:$A$215, 0), MATCH(C196, artisDB!$A$163:$AP$163, 0))+INDEX(char4ArtiSetStats, MATCH('Character 4'!$L$15, artisDB!$A$163:$A$215, 0), MATCH(C196, artisDB!$A$163:$AP$163, 0)),0)</f>
        <v>0</v>
      </c>
      <c r="H196" s="45">
        <f>IFERROR(INDEX('Character 4'!$X$19:$Z$28, MATCH(C196, 'Character 4'!$X$19:$X$28, 0), 3)*HLOOKUP('Character 4'!$Z$7, artifactSubstatValues, MATCH(C196, 'Artifact Database'!$A$1:$A$11, 0)),0)</f>
        <v>0</v>
      </c>
      <c r="I196" s="83">
        <f>VLOOKUP(C196, 'Character 4'!$R$5:$T$50, 3,0)</f>
        <v>0</v>
      </c>
      <c r="J196" s="38"/>
      <c r="K196" s="83">
        <f t="shared" si="13"/>
        <v>0</v>
      </c>
      <c r="L196" s="35"/>
      <c r="N196" s="35"/>
      <c r="O196" s="239" t="s">
        <v>398</v>
      </c>
      <c r="P196" s="239"/>
      <c r="Q196" s="7">
        <f>(char4LevelNum+100)/((char4LevelNum+100)+(enemyLevel+100)*(1-K193))</f>
        <v>0.48648648648648651</v>
      </c>
      <c r="R196" s="35"/>
    </row>
    <row r="197" spans="2:18" x14ac:dyDescent="0.25">
      <c r="B197" s="35"/>
      <c r="C197" s="36" t="s">
        <v>457</v>
      </c>
      <c r="D197" s="45">
        <f t="shared" si="14"/>
        <v>0</v>
      </c>
      <c r="E197" s="83">
        <f t="shared" si="15"/>
        <v>0</v>
      </c>
      <c r="F197" s="45">
        <f>IFERROR(INDEX(char4Weapons, MATCH(C197, weaponsDB!$A$200:$A$264, 0), MATCH(char4WeaponName,weaponsDB!$A$200:$CS$200, 0)),0)</f>
        <v>0</v>
      </c>
      <c r="G197" s="83">
        <f>IFERROR(INDEX(char4ArtiSetStats, MATCH('Character 4'!$L$14,artisDB!$A$163:$A$215, 0), MATCH(C197, artisDB!$A$163:$AP$163, 0))+INDEX(char4ArtiSetStats, MATCH('Character 4'!$L$15, artisDB!$A$163:$A$215, 0), MATCH(C197, artisDB!$A$163:$AP$163, 0)),0)</f>
        <v>0</v>
      </c>
      <c r="H197" s="45">
        <f>IFERROR(INDEX('Character 4'!$X$19:$Z$28, MATCH(C197, 'Character 4'!$X$19:$X$28, 0), 3)*HLOOKUP('Character 4'!$Z$7, artifactSubstatValues, MATCH(C197, 'Artifact Database'!$A$1:$A$11, 0)),0)</f>
        <v>0</v>
      </c>
      <c r="I197" s="83">
        <f>VLOOKUP(C197, 'Character 4'!$R$5:$T$50, 3,0)</f>
        <v>0</v>
      </c>
      <c r="J197" s="38"/>
      <c r="K197" s="83">
        <f t="shared" si="13"/>
        <v>0</v>
      </c>
      <c r="L197" s="35"/>
      <c r="N197" s="35"/>
      <c r="O197" s="35"/>
      <c r="P197" s="35"/>
      <c r="Q197" s="35"/>
      <c r="R197" s="35"/>
    </row>
    <row r="198" spans="2:18" x14ac:dyDescent="0.25">
      <c r="B198" s="35"/>
      <c r="C198" s="36" t="s">
        <v>92</v>
      </c>
      <c r="D198" s="45">
        <f t="shared" si="14"/>
        <v>0</v>
      </c>
      <c r="E198" s="83">
        <f t="shared" si="15"/>
        <v>0</v>
      </c>
      <c r="F198" s="45">
        <f>IFERROR(INDEX(char4Weapons, MATCH(C198, weaponsDB!$A$200:$A$264, 0), MATCH(char4WeaponName,weaponsDB!$A$200:$CS$200, 0)),0)</f>
        <v>0</v>
      </c>
      <c r="G198" s="83">
        <f>IFERROR(INDEX(char4ArtiSetStats, MATCH('Character 4'!$L$14,artisDB!$A$163:$A$215, 0), MATCH(C198, artisDB!$A$163:$AP$163, 0))+INDEX(char4ArtiSetStats, MATCH('Character 4'!$L$15, artisDB!$A$163:$A$215, 0), MATCH(C198, artisDB!$A$163:$AP$163, 0)),0)</f>
        <v>0</v>
      </c>
      <c r="H198" s="45">
        <f>IFERROR(INDEX('Character 4'!$X$19:$Z$28, MATCH(C198, 'Character 4'!$X$19:$X$28, 0), 3)*HLOOKUP('Character 4'!$Z$7, artifactSubstatValues, MATCH(C198, 'Artifact Database'!$A$1:$A$11, 0)),0)</f>
        <v>0</v>
      </c>
      <c r="I198" s="83">
        <f>VLOOKUP(C198, 'Character 4'!$R$5:$T$50, 3,0)</f>
        <v>0</v>
      </c>
      <c r="J198" s="38"/>
      <c r="K198" s="83">
        <f t="shared" si="13"/>
        <v>0</v>
      </c>
      <c r="L198" s="35"/>
    </row>
    <row r="199" spans="2:18" x14ac:dyDescent="0.25">
      <c r="B199" s="35"/>
      <c r="C199" s="36" t="s">
        <v>94</v>
      </c>
      <c r="D199" s="45">
        <f t="shared" si="14"/>
        <v>0</v>
      </c>
      <c r="E199" s="83">
        <f t="shared" si="15"/>
        <v>0</v>
      </c>
      <c r="F199" s="45">
        <f>IFERROR(INDEX(char4Weapons, MATCH(C199, weaponsDB!$A$200:$A$264, 0), MATCH(char4WeaponName,weaponsDB!$A$200:$CS$200, 0)),0)</f>
        <v>0</v>
      </c>
      <c r="G199" s="83">
        <f>IFERROR(INDEX(char4ArtiSetStats, MATCH('Character 4'!$L$14,artisDB!$A$163:$A$215, 0), MATCH(C199, artisDB!$A$163:$AP$163, 0))+INDEX(char4ArtiSetStats, MATCH('Character 4'!$L$15, artisDB!$A$163:$A$215, 0), MATCH(C199, artisDB!$A$163:$AP$163, 0)),0)</f>
        <v>0</v>
      </c>
      <c r="H199" s="45">
        <f>IFERROR(INDEX('Character 4'!$X$19:$Z$28, MATCH(C199, 'Character 4'!$X$19:$X$28, 0), 3)*HLOOKUP('Character 4'!$Z$7, artifactSubstatValues, MATCH(C199, 'Artifact Database'!$A$1:$A$11, 0)),0)</f>
        <v>0</v>
      </c>
      <c r="I199" s="83">
        <f>VLOOKUP(C199, 'Character 4'!$R$5:$T$50, 3,0)</f>
        <v>0</v>
      </c>
      <c r="J199" s="38"/>
      <c r="K199" s="83">
        <f t="shared" si="13"/>
        <v>0</v>
      </c>
      <c r="L199" s="35"/>
      <c r="N199" s="35"/>
      <c r="O199" s="35"/>
      <c r="P199" s="35"/>
      <c r="Q199" s="35"/>
      <c r="R199" s="35"/>
    </row>
    <row r="200" spans="2:18" x14ac:dyDescent="0.25">
      <c r="B200" s="35"/>
      <c r="C200" s="36" t="s">
        <v>95</v>
      </c>
      <c r="D200" s="45">
        <f t="shared" si="14"/>
        <v>0</v>
      </c>
      <c r="E200" s="83">
        <f t="shared" si="15"/>
        <v>0</v>
      </c>
      <c r="F200" s="45">
        <f>IFERROR(INDEX(char4Weapons, MATCH(C200, weaponsDB!$A$200:$A$264, 0), MATCH(char4WeaponName,weaponsDB!$A$200:$CS$200, 0)),0)</f>
        <v>0</v>
      </c>
      <c r="G200" s="83">
        <f>IFERROR(INDEX(char4ArtiSetStats, MATCH('Character 4'!$L$14,artisDB!$A$163:$A$215, 0), MATCH(C200, artisDB!$A$163:$AP$163, 0))+INDEX(char4ArtiSetStats, MATCH('Character 4'!$L$15, artisDB!$A$163:$A$215, 0), MATCH(C200, artisDB!$A$163:$AP$163, 0)),0)</f>
        <v>0</v>
      </c>
      <c r="H200" s="45">
        <f>IFERROR(INDEX('Character 4'!$X$19:$Z$28, MATCH(C200, 'Character 4'!$X$19:$X$28, 0), 3)*HLOOKUP('Character 4'!$Z$7, artifactSubstatValues, MATCH(C200, 'Artifact Database'!$A$1:$A$11, 0)),0)</f>
        <v>0</v>
      </c>
      <c r="I200" s="83">
        <f>VLOOKUP(C200, 'Character 4'!$R$5:$T$50, 3,0)</f>
        <v>0</v>
      </c>
      <c r="J200" s="38"/>
      <c r="K200" s="83">
        <f t="shared" si="13"/>
        <v>0</v>
      </c>
      <c r="L200" s="35"/>
      <c r="N200" s="35"/>
      <c r="O200" s="238" t="s">
        <v>751</v>
      </c>
      <c r="P200" s="238"/>
      <c r="Q200" s="238"/>
      <c r="R200" s="35"/>
    </row>
    <row r="201" spans="2:18" x14ac:dyDescent="0.25">
      <c r="B201" s="35"/>
      <c r="C201" s="36" t="s">
        <v>96</v>
      </c>
      <c r="D201" s="45">
        <f t="shared" si="14"/>
        <v>0</v>
      </c>
      <c r="E201" s="83">
        <f t="shared" si="15"/>
        <v>0</v>
      </c>
      <c r="F201" s="45">
        <f>IFERROR(INDEX(char4Weapons, MATCH(C201, weaponsDB!$A$200:$A$264, 0), MATCH(char4WeaponName,weaponsDB!$A$200:$CS$200, 0)),0)</f>
        <v>0</v>
      </c>
      <c r="G201" s="83">
        <f>IFERROR(INDEX(char4ArtiSetStats, MATCH('Character 4'!$L$14,artisDB!$A$163:$A$215, 0), MATCH(C201, artisDB!$A$163:$AP$163, 0))+INDEX(char4ArtiSetStats, MATCH('Character 4'!$L$15, artisDB!$A$163:$A$215, 0), MATCH(C201, artisDB!$A$163:$AP$163, 0)),0)</f>
        <v>0</v>
      </c>
      <c r="H201" s="45">
        <f>IFERROR(INDEX('Character 4'!$X$19:$Z$28, MATCH(C201, 'Character 4'!$X$19:$X$28, 0), 3)*HLOOKUP('Character 4'!$Z$7, artifactSubstatValues, MATCH(C201, 'Artifact Database'!$A$1:$A$11, 0)),0)</f>
        <v>0</v>
      </c>
      <c r="I201" s="83">
        <f>VLOOKUP(C201, 'Character 4'!$R$5:$T$50, 3,0)</f>
        <v>0</v>
      </c>
      <c r="J201" s="38"/>
      <c r="K201" s="83">
        <f t="shared" si="13"/>
        <v>0</v>
      </c>
      <c r="L201" s="35"/>
      <c r="N201" s="35"/>
      <c r="O201" s="238"/>
      <c r="P201" s="238"/>
      <c r="Q201" s="238"/>
      <c r="R201" s="35"/>
    </row>
    <row r="202" spans="2:18" x14ac:dyDescent="0.25">
      <c r="B202" s="35"/>
      <c r="C202" s="36" t="s">
        <v>97</v>
      </c>
      <c r="D202" s="45">
        <f t="shared" si="14"/>
        <v>0</v>
      </c>
      <c r="E202" s="83">
        <f t="shared" si="15"/>
        <v>0</v>
      </c>
      <c r="F202" s="45">
        <f>IFERROR(INDEX(char4Weapons, MATCH(C202, weaponsDB!$A$200:$A$264, 0), MATCH(char4WeaponName,weaponsDB!$A$200:$CS$200, 0)),0)</f>
        <v>0</v>
      </c>
      <c r="G202" s="83">
        <f>IFERROR(INDEX(char4ArtiSetStats, MATCH('Character 4'!$L$14,artisDB!$A$163:$A$215, 0), MATCH(C202, artisDB!$A$163:$AP$163, 0))+INDEX(char4ArtiSetStats, MATCH('Character 4'!$L$15, artisDB!$A$163:$A$215, 0), MATCH(C202, artisDB!$A$163:$AP$163, 0)),0)</f>
        <v>0</v>
      </c>
      <c r="H202" s="45">
        <f>IFERROR(INDEX('Character 4'!$X$19:$Z$28, MATCH(C202, 'Character 4'!$X$19:$X$28, 0), 3)*HLOOKUP('Character 4'!$Z$7, artifactSubstatValues, MATCH(C202, 'Artifact Database'!$A$1:$A$11, 0)),0)</f>
        <v>0</v>
      </c>
      <c r="I202" s="83">
        <f>VLOOKUP(C202, 'Character 4'!$R$5:$T$50, 3,0)</f>
        <v>0</v>
      </c>
      <c r="J202" s="38"/>
      <c r="K202" s="83">
        <f t="shared" si="13"/>
        <v>0</v>
      </c>
      <c r="L202" s="35"/>
      <c r="N202" s="35"/>
      <c r="O202" s="239" t="s">
        <v>754</v>
      </c>
      <c r="P202" s="239"/>
      <c r="Q202" s="7" cm="1">
        <f t="array" ref="Q202">char4BaseHP*(1+char4FinalHPPercent)+char4FinalFlatHP</f>
        <v>15745.668799999999</v>
      </c>
      <c r="R202" s="35"/>
    </row>
    <row r="203" spans="2:18" x14ac:dyDescent="0.25">
      <c r="B203" s="35"/>
      <c r="C203" s="36" t="s">
        <v>98</v>
      </c>
      <c r="D203" s="45">
        <f t="shared" si="14"/>
        <v>0</v>
      </c>
      <c r="E203" s="83">
        <f t="shared" si="15"/>
        <v>0</v>
      </c>
      <c r="F203" s="45">
        <f>IFERROR(INDEX(char4Weapons, MATCH(C203, weaponsDB!$A$200:$A$264, 0), MATCH(char4WeaponName,weaponsDB!$A$200:$CS$200, 0)),0)</f>
        <v>0</v>
      </c>
      <c r="G203" s="83">
        <f>IFERROR(INDEX(char4ArtiSetStats, MATCH('Character 4'!$L$14,artisDB!$A$163:$A$215, 0), MATCH(C203, artisDB!$A$163:$AP$163, 0))+INDEX(char4ArtiSetStats, MATCH('Character 4'!$L$15, artisDB!$A$163:$A$215, 0), MATCH(C203, artisDB!$A$163:$AP$163, 0)),0)</f>
        <v>0</v>
      </c>
      <c r="H203" s="45">
        <f>IFERROR(INDEX('Character 4'!$X$19:$Z$28, MATCH(C203, 'Character 4'!$X$19:$X$28, 0), 3)*HLOOKUP('Character 4'!$Z$7, artifactSubstatValues, MATCH(C203, 'Artifact Database'!$A$1:$A$11, 0)),0)</f>
        <v>0</v>
      </c>
      <c r="I203" s="83">
        <f>VLOOKUP(C203, 'Character 4'!$R$5:$T$50, 3,0)</f>
        <v>0</v>
      </c>
      <c r="J203" s="38"/>
      <c r="K203" s="83">
        <f t="shared" si="13"/>
        <v>0</v>
      </c>
      <c r="L203" s="35"/>
      <c r="N203" s="35"/>
      <c r="O203" s="239" t="s">
        <v>753</v>
      </c>
      <c r="P203" s="239"/>
      <c r="Q203" s="7" cm="1">
        <f t="array" ref="Q203">char4BaseDEF*(1+char4FinalDEFPercent)+char4FinalFlatDEF</f>
        <v>831.78000000000009</v>
      </c>
      <c r="R203" s="35"/>
    </row>
    <row r="204" spans="2:18" x14ac:dyDescent="0.25">
      <c r="B204" s="35"/>
      <c r="C204" s="36" t="s">
        <v>424</v>
      </c>
      <c r="D204" s="45">
        <f t="shared" si="14"/>
        <v>0</v>
      </c>
      <c r="E204" s="83">
        <f t="shared" si="15"/>
        <v>0</v>
      </c>
      <c r="F204" s="45">
        <f>IFERROR(INDEX(char4Weapons, MATCH(C204, weaponsDB!$A$200:$A$264, 0), MATCH(char4WeaponName,weaponsDB!$A$200:$CS$200, 0)),0)</f>
        <v>0</v>
      </c>
      <c r="G204" s="83">
        <f>IFERROR(INDEX(char4ArtiSetStats, MATCH('Character 4'!$L$14,artisDB!$A$163:$A$215, 0), MATCH(C204, artisDB!$A$163:$AP$163, 0))+INDEX(char4ArtiSetStats, MATCH('Character 4'!$L$15, artisDB!$A$163:$A$215, 0), MATCH(C204, artisDB!$A$163:$AP$163, 0)),0)</f>
        <v>0</v>
      </c>
      <c r="H204" s="45">
        <f>IFERROR(INDEX('Character 4'!$X$19:$Z$28, MATCH(C204, 'Character 4'!$X$19:$X$28, 0), 3)*HLOOKUP('Character 4'!$Z$7, artifactSubstatValues, MATCH(C204, 'Artifact Database'!$A$1:$A$11, 0)),0)</f>
        <v>0</v>
      </c>
      <c r="I204" s="83">
        <f>VLOOKUP(C204, 'Character 4'!$R$5:$T$50, 3,0)</f>
        <v>0</v>
      </c>
      <c r="J204" s="38"/>
      <c r="K204" s="83">
        <f t="shared" si="13"/>
        <v>0</v>
      </c>
      <c r="L204" s="35"/>
      <c r="N204" s="35"/>
      <c r="O204" s="239" t="s">
        <v>752</v>
      </c>
      <c r="P204" s="239"/>
      <c r="Q204" s="7" cm="1">
        <f t="array" aca="1" ref="Q204" ca="1">(char4WeaponBaseATK+char4BaseATK)*(1+char4FinalATKPercent)+char4FinalFlatATK</f>
        <v>1881.2156</v>
      </c>
      <c r="R204" s="35"/>
    </row>
    <row r="205" spans="2:18" x14ac:dyDescent="0.25">
      <c r="B205" s="35"/>
      <c r="C205" s="36" t="s">
        <v>425</v>
      </c>
      <c r="D205" s="45">
        <f t="shared" si="14"/>
        <v>0</v>
      </c>
      <c r="E205" s="83">
        <f t="shared" si="15"/>
        <v>0</v>
      </c>
      <c r="F205" s="45">
        <f>IFERROR(INDEX(char4Weapons, MATCH(C205, weaponsDB!$A$200:$A$264, 0), MATCH(char4WeaponName,weaponsDB!$A$200:$CS$200, 0)),0)</f>
        <v>0</v>
      </c>
      <c r="G205" s="83">
        <f>IFERROR(INDEX(char4ArtiSetStats, MATCH('Character 4'!$L$14,artisDB!$A$163:$A$215, 0), MATCH(C205, artisDB!$A$163:$AP$163, 0))+INDEX(char4ArtiSetStats, MATCH('Character 4'!$L$15, artisDB!$A$163:$A$215, 0), MATCH(C205, artisDB!$A$163:$AP$163, 0)),0)</f>
        <v>0</v>
      </c>
      <c r="H205" s="45">
        <f>IFERROR(INDEX('Character 4'!$X$19:$Z$28, MATCH(C205, 'Character 4'!$X$19:$X$28, 0), 3)*HLOOKUP('Character 4'!$Z$7, artifactSubstatValues, MATCH(C205, 'Artifact Database'!$A$1:$A$11, 0)),0)</f>
        <v>0</v>
      </c>
      <c r="I205" s="83">
        <f>VLOOKUP(C205, 'Character 4'!$R$5:$T$50, 3,0)</f>
        <v>0</v>
      </c>
      <c r="J205" s="38"/>
      <c r="K205" s="83">
        <f t="shared" si="13"/>
        <v>0</v>
      </c>
      <c r="L205" s="35"/>
      <c r="N205" s="35"/>
      <c r="O205" s="35"/>
      <c r="P205" s="35"/>
      <c r="Q205" s="35"/>
      <c r="R205" s="35"/>
    </row>
    <row r="206" spans="2:18" x14ac:dyDescent="0.25">
      <c r="B206" s="35"/>
      <c r="C206" s="36" t="s">
        <v>438</v>
      </c>
      <c r="D206" s="45">
        <f t="shared" si="14"/>
        <v>0</v>
      </c>
      <c r="E206" s="83">
        <f t="shared" si="15"/>
        <v>0</v>
      </c>
      <c r="F206" s="45">
        <f>IFERROR(INDEX(char4Weapons, MATCH(C206, weaponsDB!$A$200:$A$264, 0), MATCH(char4WeaponName,weaponsDB!$A$200:$CS$200, 0)),0)</f>
        <v>0</v>
      </c>
      <c r="G206" s="83">
        <f>IFERROR(INDEX(char4ArtiSetStats, MATCH('Character 4'!$L$14,artisDB!$A$163:$A$215, 0), MATCH(C206, artisDB!$A$163:$AP$163, 0))+INDEX(char4ArtiSetStats, MATCH('Character 4'!$L$15, artisDB!$A$163:$A$215, 0), MATCH(C206, artisDB!$A$163:$AP$163, 0)),0)</f>
        <v>0</v>
      </c>
      <c r="H206" s="45">
        <f>IFERROR(INDEX('Character 4'!$X$19:$Z$28, MATCH(C206, 'Character 4'!$X$19:$X$28, 0), 3)*HLOOKUP('Character 4'!$Z$7, artifactSubstatValues, MATCH(C206, 'Artifact Database'!$A$1:$A$11, 0)),0)</f>
        <v>0</v>
      </c>
      <c r="I206" s="83">
        <f>VLOOKUP(C206, 'Character 4'!$R$5:$T$50, 3,0)</f>
        <v>0</v>
      </c>
      <c r="J206" s="38"/>
      <c r="K206" s="83">
        <f t="shared" si="13"/>
        <v>0</v>
      </c>
      <c r="L206" s="35"/>
    </row>
    <row r="207" spans="2:18" x14ac:dyDescent="0.25">
      <c r="B207" s="35"/>
      <c r="C207" s="36" t="s">
        <v>426</v>
      </c>
      <c r="D207" s="45">
        <f t="shared" si="14"/>
        <v>0</v>
      </c>
      <c r="E207" s="83">
        <f t="shared" si="15"/>
        <v>0</v>
      </c>
      <c r="F207" s="45">
        <f>IFERROR(INDEX(char4Weapons, MATCH(C207, weaponsDB!$A$200:$A$264, 0), MATCH(char4WeaponName,weaponsDB!$A$200:$CS$200, 0)),0)</f>
        <v>0</v>
      </c>
      <c r="G207" s="83">
        <f>IFERROR(INDEX(char4ArtiSetStats, MATCH('Character 4'!$L$14,artisDB!$A$163:$A$215, 0), MATCH(C207, artisDB!$A$163:$AP$163, 0))+INDEX(char4ArtiSetStats, MATCH('Character 4'!$L$15, artisDB!$A$163:$A$215, 0), MATCH(C207, artisDB!$A$163:$AP$163, 0)),0)</f>
        <v>0</v>
      </c>
      <c r="H207" s="45">
        <f>IFERROR(INDEX('Character 4'!$X$19:$Z$28, MATCH(C207, 'Character 4'!$X$19:$X$28, 0), 3)*HLOOKUP('Character 4'!$Z$7, artifactSubstatValues, MATCH(C207, 'Artifact Database'!$A$1:$A$11, 0)),0)</f>
        <v>0</v>
      </c>
      <c r="I207" s="83">
        <f>VLOOKUP(C207, 'Character 4'!$R$5:$T$50, 3,0)</f>
        <v>0</v>
      </c>
      <c r="J207" s="38"/>
      <c r="K207" s="83">
        <f t="shared" si="13"/>
        <v>0</v>
      </c>
      <c r="L207" s="35"/>
    </row>
    <row r="208" spans="2:18" x14ac:dyDescent="0.25">
      <c r="B208" s="35"/>
      <c r="C208" s="35"/>
      <c r="D208" s="35"/>
      <c r="E208" s="35"/>
      <c r="F208" s="35"/>
      <c r="G208" s="35"/>
      <c r="H208" s="35"/>
      <c r="I208" s="35"/>
      <c r="J208" s="35"/>
      <c r="K208" s="35"/>
      <c r="L208" s="35"/>
    </row>
    <row r="211" ht="15" customHeight="1" x14ac:dyDescent="0.25"/>
    <row r="212" ht="15" customHeight="1" x14ac:dyDescent="0.25"/>
  </sheetData>
  <mergeCells count="86">
    <mergeCell ref="AC3:AG4"/>
    <mergeCell ref="O38:Q39"/>
    <mergeCell ref="O34:P34"/>
    <mergeCell ref="O33:P33"/>
    <mergeCell ref="O31:Q32"/>
    <mergeCell ref="O36:P36"/>
    <mergeCell ref="O22:Q23"/>
    <mergeCell ref="O18:P18"/>
    <mergeCell ref="O17:P17"/>
    <mergeCell ref="O16:P16"/>
    <mergeCell ref="O14:Q15"/>
    <mergeCell ref="O40:P40"/>
    <mergeCell ref="O27:P27"/>
    <mergeCell ref="O26:P26"/>
    <mergeCell ref="O25:P25"/>
    <mergeCell ref="O24:P24"/>
    <mergeCell ref="O200:Q201"/>
    <mergeCell ref="O202:P202"/>
    <mergeCell ref="O203:P203"/>
    <mergeCell ref="O204:P204"/>
    <mergeCell ref="O187:Q188"/>
    <mergeCell ref="O189:P189"/>
    <mergeCell ref="O190:P190"/>
    <mergeCell ref="O194:Q195"/>
    <mergeCell ref="O196:P196"/>
    <mergeCell ref="O178:Q179"/>
    <mergeCell ref="O180:P180"/>
    <mergeCell ref="O181:P181"/>
    <mergeCell ref="O182:P182"/>
    <mergeCell ref="O183:P183"/>
    <mergeCell ref="O170:Q171"/>
    <mergeCell ref="O172:P172"/>
    <mergeCell ref="O173:P173"/>
    <mergeCell ref="O174:P174"/>
    <mergeCell ref="O161:P161"/>
    <mergeCell ref="O148:Q149"/>
    <mergeCell ref="O150:P150"/>
    <mergeCell ref="O151:P151"/>
    <mergeCell ref="O152:P152"/>
    <mergeCell ref="O159:Q160"/>
    <mergeCell ref="O135:Q136"/>
    <mergeCell ref="O137:P137"/>
    <mergeCell ref="O138:P138"/>
    <mergeCell ref="O142:Q143"/>
    <mergeCell ref="O144:P144"/>
    <mergeCell ref="O126:Q127"/>
    <mergeCell ref="O128:P128"/>
    <mergeCell ref="O129:P129"/>
    <mergeCell ref="O130:P130"/>
    <mergeCell ref="O131:P131"/>
    <mergeCell ref="O118:Q119"/>
    <mergeCell ref="O120:P120"/>
    <mergeCell ref="O121:P121"/>
    <mergeCell ref="O122:P122"/>
    <mergeCell ref="O109:P109"/>
    <mergeCell ref="O107:Q108"/>
    <mergeCell ref="O96:Q97"/>
    <mergeCell ref="O98:P98"/>
    <mergeCell ref="O99:P99"/>
    <mergeCell ref="O100:P100"/>
    <mergeCell ref="O83:Q84"/>
    <mergeCell ref="O85:P85"/>
    <mergeCell ref="O86:P86"/>
    <mergeCell ref="O90:Q91"/>
    <mergeCell ref="O92:P92"/>
    <mergeCell ref="O74:Q75"/>
    <mergeCell ref="O76:P76"/>
    <mergeCell ref="O77:P77"/>
    <mergeCell ref="O78:P78"/>
    <mergeCell ref="O79:P79"/>
    <mergeCell ref="C107:K108"/>
    <mergeCell ref="C159:K160"/>
    <mergeCell ref="O55:Q56"/>
    <mergeCell ref="O57:P57"/>
    <mergeCell ref="C3:K4"/>
    <mergeCell ref="O3:Q4"/>
    <mergeCell ref="O5:P5"/>
    <mergeCell ref="C55:K56"/>
    <mergeCell ref="O44:Q45"/>
    <mergeCell ref="O46:P46"/>
    <mergeCell ref="O47:P47"/>
    <mergeCell ref="O48:P48"/>
    <mergeCell ref="O66:Q67"/>
    <mergeCell ref="O68:P68"/>
    <mergeCell ref="O69:P69"/>
    <mergeCell ref="O70:P70"/>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40BE43-2FCA-493C-BC7A-4807C7E2D012}">
  <dimension ref="A1:Y1119"/>
  <sheetViews>
    <sheetView topLeftCell="A738" zoomScaleNormal="100" workbookViewId="0">
      <pane xSplit="2" topLeftCell="C1" activePane="topRight" state="frozen"/>
      <selection activeCell="A79" sqref="A79"/>
      <selection pane="topRight" activeCell="M758" sqref="M758"/>
    </sheetView>
  </sheetViews>
  <sheetFormatPr defaultRowHeight="15" x14ac:dyDescent="0.25"/>
  <cols>
    <col min="1" max="1" width="11.140625" bestFit="1" customWidth="1"/>
    <col min="2" max="2" width="45.5703125" customWidth="1"/>
    <col min="3" max="3" width="10.140625" bestFit="1" customWidth="1"/>
    <col min="9" max="9" width="9.42578125" bestFit="1" customWidth="1"/>
    <col min="18" max="18" width="21.7109375" bestFit="1" customWidth="1"/>
  </cols>
  <sheetData>
    <row r="1" spans="1:25" x14ac:dyDescent="0.25">
      <c r="B1" s="3" t="s">
        <v>12</v>
      </c>
      <c r="C1" s="22">
        <v>1</v>
      </c>
      <c r="D1" s="22">
        <v>2</v>
      </c>
      <c r="E1" s="22">
        <v>3</v>
      </c>
      <c r="F1" s="22">
        <v>4</v>
      </c>
      <c r="G1" s="22">
        <v>5</v>
      </c>
      <c r="H1" s="22">
        <v>6</v>
      </c>
      <c r="I1" s="22">
        <v>7</v>
      </c>
      <c r="J1" s="22">
        <v>8</v>
      </c>
      <c r="K1" s="22">
        <v>9</v>
      </c>
      <c r="L1" s="22">
        <v>10</v>
      </c>
      <c r="M1" s="22">
        <v>11</v>
      </c>
      <c r="N1" s="22">
        <v>12</v>
      </c>
      <c r="O1" s="22">
        <v>13</v>
      </c>
      <c r="P1" s="22">
        <v>14</v>
      </c>
      <c r="Q1" s="22">
        <v>15</v>
      </c>
      <c r="R1" s="5" t="s">
        <v>11</v>
      </c>
      <c r="S1" t="s">
        <v>126</v>
      </c>
      <c r="T1" t="s">
        <v>954</v>
      </c>
      <c r="V1" t="s">
        <v>826</v>
      </c>
    </row>
    <row r="2" spans="1:25" x14ac:dyDescent="0.25">
      <c r="A2" t="s">
        <v>827</v>
      </c>
      <c r="B2" s="3" t="s">
        <v>10</v>
      </c>
      <c r="C2" s="23">
        <v>0.45729999999999998</v>
      </c>
      <c r="D2" s="23">
        <v>0.4945</v>
      </c>
      <c r="E2" s="23">
        <v>0.53169999999999995</v>
      </c>
      <c r="F2" s="23">
        <v>0.58489999999999998</v>
      </c>
      <c r="G2" s="23">
        <v>0.62209999999999999</v>
      </c>
      <c r="H2" s="23">
        <v>0.66459999999999997</v>
      </c>
      <c r="I2" s="23">
        <v>0.72309999999999997</v>
      </c>
      <c r="J2" s="23">
        <v>0.78159999999999996</v>
      </c>
      <c r="K2" s="23">
        <v>0.84009999999999996</v>
      </c>
      <c r="L2" s="23">
        <v>0.90390000000000004</v>
      </c>
      <c r="M2" s="23">
        <v>0.9677</v>
      </c>
      <c r="N2" s="23">
        <v>1.0315000000000001</v>
      </c>
      <c r="O2" s="23">
        <v>1.0952999999999999</v>
      </c>
      <c r="P2" s="23">
        <v>1.1591</v>
      </c>
      <c r="Q2" s="23">
        <v>1.2229000000000001</v>
      </c>
      <c r="R2" s="5" t="s">
        <v>6</v>
      </c>
      <c r="S2" t="s">
        <v>127</v>
      </c>
      <c r="V2" s="213" t="s">
        <v>631</v>
      </c>
      <c r="W2" s="213" t="s">
        <v>632</v>
      </c>
      <c r="X2" s="213" t="s">
        <v>633</v>
      </c>
      <c r="Y2" s="213" t="s">
        <v>634</v>
      </c>
    </row>
    <row r="3" spans="1:25" x14ac:dyDescent="0.25">
      <c r="B3" s="3" t="s">
        <v>9</v>
      </c>
      <c r="C3" s="23">
        <v>0.48680000000000001</v>
      </c>
      <c r="D3" s="23">
        <v>0.52649999999999997</v>
      </c>
      <c r="E3" s="23">
        <v>0.56610000000000005</v>
      </c>
      <c r="F3" s="23">
        <v>0.62270000000000003</v>
      </c>
      <c r="G3" s="23">
        <v>0.6623</v>
      </c>
      <c r="H3" s="23">
        <v>0.70760000000000001</v>
      </c>
      <c r="I3" s="23">
        <v>0.76990000000000003</v>
      </c>
      <c r="J3" s="23">
        <v>0.83220000000000005</v>
      </c>
      <c r="K3" s="23">
        <v>0.89439999999999997</v>
      </c>
      <c r="L3" s="23">
        <v>0.96240000000000003</v>
      </c>
      <c r="M3" s="23">
        <v>1.0303</v>
      </c>
      <c r="N3" s="23">
        <v>1.0982000000000001</v>
      </c>
      <c r="O3" s="23">
        <v>1.1661999999999999</v>
      </c>
      <c r="P3" s="23">
        <v>1.2341</v>
      </c>
      <c r="Q3" s="23">
        <v>1.302</v>
      </c>
      <c r="R3" s="5" t="s">
        <v>6</v>
      </c>
      <c r="S3" t="s">
        <v>127</v>
      </c>
      <c r="U3" t="s">
        <v>805</v>
      </c>
      <c r="V3">
        <f>MATCH(char1Name&amp;"-Start",A:A, 0)</f>
        <v>745</v>
      </c>
      <c r="W3">
        <f>MATCH(char2Name&amp;"-Start",A:A, 0)</f>
        <v>946</v>
      </c>
      <c r="X3">
        <f>MATCH(char3Name&amp;"-Start",A:A, 0)</f>
        <v>151</v>
      </c>
      <c r="Y3">
        <f>MATCH(char4Name&amp;"-Start",A:A, 0)</f>
        <v>991</v>
      </c>
    </row>
    <row r="4" spans="1:25" x14ac:dyDescent="0.25">
      <c r="B4" s="3" t="s">
        <v>8</v>
      </c>
      <c r="C4" s="23">
        <v>0.62619999999999998</v>
      </c>
      <c r="D4" s="23">
        <v>0.67720000000000002</v>
      </c>
      <c r="E4" s="23">
        <v>0.72819999999999996</v>
      </c>
      <c r="F4" s="23">
        <v>0.80100000000000005</v>
      </c>
      <c r="G4" s="23">
        <v>0.85189999999999999</v>
      </c>
      <c r="H4" s="23">
        <v>0.91020000000000001</v>
      </c>
      <c r="I4" s="23">
        <v>0.99029999999999996</v>
      </c>
      <c r="J4" s="23">
        <v>1.0704</v>
      </c>
      <c r="K4" s="23">
        <v>1.1505000000000001</v>
      </c>
      <c r="L4" s="23">
        <v>1.2379</v>
      </c>
      <c r="M4" s="23">
        <v>1.3252999999999999</v>
      </c>
      <c r="N4" s="23">
        <v>1.4126000000000001</v>
      </c>
      <c r="O4" s="24">
        <v>1.5</v>
      </c>
      <c r="P4" s="23">
        <v>1.5873999999999999</v>
      </c>
      <c r="Q4" s="23">
        <v>1.6748000000000001</v>
      </c>
      <c r="R4" s="5" t="s">
        <v>6</v>
      </c>
      <c r="S4" t="s">
        <v>127</v>
      </c>
      <c r="U4" t="s">
        <v>914</v>
      </c>
      <c r="V4">
        <f>MATCH(char1Name&amp;"-End", A:A, 0)</f>
        <v>778</v>
      </c>
      <c r="W4">
        <f>MATCH(char2Name&amp;"-End", A:A, 0)</f>
        <v>968</v>
      </c>
      <c r="X4">
        <f>MATCH(char3Name&amp;"-End", A:A, 0)</f>
        <v>179</v>
      </c>
      <c r="Y4">
        <f>MATCH(char4Name&amp;"-End", A:A, 0)</f>
        <v>1015</v>
      </c>
    </row>
    <row r="5" spans="1:25" x14ac:dyDescent="0.25">
      <c r="B5" s="3" t="s">
        <v>197</v>
      </c>
      <c r="C5" s="23">
        <v>0.22650000000000001</v>
      </c>
      <c r="D5" s="23">
        <v>0.24490000000000001</v>
      </c>
      <c r="E5" s="23">
        <v>0.26329999999999998</v>
      </c>
      <c r="F5" s="23">
        <v>0.28970000000000001</v>
      </c>
      <c r="G5" s="23">
        <v>0.30809999999999998</v>
      </c>
      <c r="H5" s="23">
        <v>0.32919999999999999</v>
      </c>
      <c r="I5" s="23">
        <v>0.35810000000000003</v>
      </c>
      <c r="J5" s="23">
        <v>0.3871</v>
      </c>
      <c r="K5" s="23">
        <v>0.41609999999999997</v>
      </c>
      <c r="L5" s="23">
        <v>0.44769999999999999</v>
      </c>
      <c r="M5" s="23">
        <v>0.4793</v>
      </c>
      <c r="N5" s="23">
        <v>0.51090000000000002</v>
      </c>
      <c r="O5" s="23">
        <v>0.54249999999999998</v>
      </c>
      <c r="P5" s="23">
        <v>0.57410000000000005</v>
      </c>
      <c r="Q5" s="23">
        <v>0.60570000000000002</v>
      </c>
      <c r="R5" s="5" t="s">
        <v>6</v>
      </c>
      <c r="S5" t="s">
        <v>127</v>
      </c>
      <c r="V5" s="213"/>
    </row>
    <row r="6" spans="1:25" x14ac:dyDescent="0.25">
      <c r="B6" s="3" t="s">
        <v>7</v>
      </c>
      <c r="C6" s="23">
        <v>0.78180000000000005</v>
      </c>
      <c r="D6" s="23">
        <v>0.84550000000000003</v>
      </c>
      <c r="E6" s="23">
        <v>0.90910000000000002</v>
      </c>
      <c r="F6" s="24">
        <v>1</v>
      </c>
      <c r="G6" s="23">
        <v>1.0636000000000001</v>
      </c>
      <c r="H6" s="23">
        <v>1.1364000000000001</v>
      </c>
      <c r="I6" s="23">
        <v>1.2363999999999999</v>
      </c>
      <c r="J6" s="23">
        <v>1.3364</v>
      </c>
      <c r="K6" s="23">
        <v>1.4363999999999999</v>
      </c>
      <c r="L6" s="23">
        <v>1.5455000000000001</v>
      </c>
      <c r="M6" s="23">
        <v>1.6545000000000001</v>
      </c>
      <c r="N6" s="23">
        <v>1.7636000000000001</v>
      </c>
      <c r="O6" s="23">
        <v>1.8727</v>
      </c>
      <c r="P6" s="23">
        <v>1.9818</v>
      </c>
      <c r="Q6" s="23">
        <v>2.0909</v>
      </c>
      <c r="R6" s="5" t="s">
        <v>6</v>
      </c>
      <c r="S6" t="s">
        <v>127</v>
      </c>
    </row>
    <row r="7" spans="1:25" x14ac:dyDescent="0.25">
      <c r="B7" s="3" t="s">
        <v>198</v>
      </c>
      <c r="C7" s="23">
        <v>0.55130000000000001</v>
      </c>
      <c r="D7" s="23">
        <v>0.59609999999999996</v>
      </c>
      <c r="E7" s="23">
        <v>0.64100000000000001</v>
      </c>
      <c r="F7" s="23">
        <v>0.70509999999999995</v>
      </c>
      <c r="G7" s="24">
        <v>0.75</v>
      </c>
      <c r="H7" s="23">
        <v>0.80130000000000001</v>
      </c>
      <c r="I7" s="23">
        <v>0.87180000000000002</v>
      </c>
      <c r="J7" s="23">
        <v>0.94230000000000003</v>
      </c>
      <c r="K7" s="23">
        <v>1.0127999999999999</v>
      </c>
      <c r="L7" s="23">
        <v>1.0896999999999999</v>
      </c>
      <c r="M7" s="23">
        <v>1.1666000000000001</v>
      </c>
      <c r="N7" s="23">
        <v>1.2435</v>
      </c>
      <c r="O7" s="23">
        <v>1.3205</v>
      </c>
      <c r="P7" s="23">
        <v>1.3974</v>
      </c>
      <c r="Q7" s="23">
        <v>1.4743000000000002</v>
      </c>
      <c r="R7" s="5" t="s">
        <v>5</v>
      </c>
      <c r="S7" t="s">
        <v>127</v>
      </c>
    </row>
    <row r="8" spans="1:25" x14ac:dyDescent="0.25">
      <c r="B8" s="3" t="s">
        <v>155</v>
      </c>
      <c r="C8" s="25">
        <v>0.63929999999999998</v>
      </c>
      <c r="D8" s="25">
        <v>0.69140000000000001</v>
      </c>
      <c r="E8" s="25">
        <v>0.74339999999999995</v>
      </c>
      <c r="F8" s="25">
        <v>0.81769999999999998</v>
      </c>
      <c r="G8" s="25">
        <v>0.86980000000000002</v>
      </c>
      <c r="H8" s="25">
        <v>0.92930000000000001</v>
      </c>
      <c r="I8" s="25">
        <v>1.0109999999999999</v>
      </c>
      <c r="J8" s="25">
        <v>1.0928</v>
      </c>
      <c r="K8" s="25">
        <v>1.1746000000000001</v>
      </c>
      <c r="L8" s="25">
        <v>1.2638</v>
      </c>
      <c r="M8" s="25">
        <v>1.353</v>
      </c>
      <c r="N8" s="25">
        <v>1.4421999999999999</v>
      </c>
      <c r="O8" s="25">
        <v>1.5314000000000001</v>
      </c>
      <c r="P8" s="25">
        <v>1.6206</v>
      </c>
      <c r="Q8" s="25">
        <v>1.7098</v>
      </c>
      <c r="R8" s="5" t="s">
        <v>3</v>
      </c>
      <c r="S8" t="s">
        <v>127</v>
      </c>
      <c r="V8" s="213"/>
    </row>
    <row r="9" spans="1:25" x14ac:dyDescent="0.25">
      <c r="B9" s="3" t="s">
        <v>135</v>
      </c>
      <c r="C9" s="26">
        <v>1.2784</v>
      </c>
      <c r="D9" s="23">
        <v>1.3824000000000001</v>
      </c>
      <c r="E9" s="23">
        <v>1.4864999999999999</v>
      </c>
      <c r="F9" s="23">
        <v>1.6351</v>
      </c>
      <c r="G9" s="26">
        <v>1.7392000000000001</v>
      </c>
      <c r="H9" s="26">
        <v>1.8581000000000001</v>
      </c>
      <c r="I9" s="26">
        <v>2.0215999999999998</v>
      </c>
      <c r="J9" s="26">
        <v>2.1850999999999998</v>
      </c>
      <c r="K9" s="26">
        <v>2.3485999999999998</v>
      </c>
      <c r="L9" s="26">
        <v>2.5270000000000001</v>
      </c>
      <c r="M9" s="26">
        <v>2.7054</v>
      </c>
      <c r="N9" s="26">
        <v>2.8837999999999999</v>
      </c>
      <c r="O9" s="26">
        <v>3.0621999999999998</v>
      </c>
      <c r="P9" s="26">
        <v>3.2404999999999999</v>
      </c>
      <c r="Q9" s="26">
        <v>3.4188999999999998</v>
      </c>
      <c r="R9" s="5" t="s">
        <v>3</v>
      </c>
      <c r="S9" t="s">
        <v>127</v>
      </c>
    </row>
    <row r="10" spans="1:25" x14ac:dyDescent="0.25">
      <c r="B10" s="3" t="s">
        <v>136</v>
      </c>
      <c r="C10" s="23">
        <v>1.5968</v>
      </c>
      <c r="D10" s="23">
        <v>1.7266999999999999</v>
      </c>
      <c r="E10" s="23">
        <v>1.8567</v>
      </c>
      <c r="F10" s="23">
        <v>2.0424000000000002</v>
      </c>
      <c r="G10" s="23">
        <v>2.1722999999999999</v>
      </c>
      <c r="H10" s="23">
        <v>2.3209</v>
      </c>
      <c r="I10" s="23">
        <v>2.5251000000000001</v>
      </c>
      <c r="J10" s="23">
        <v>2.7292999999999998</v>
      </c>
      <c r="K10" s="23">
        <v>2.9336000000000002</v>
      </c>
      <c r="L10" s="23">
        <v>3.1564000000000001</v>
      </c>
      <c r="M10" s="23">
        <v>3.3792</v>
      </c>
      <c r="N10" s="23">
        <v>3.6019999999999999</v>
      </c>
      <c r="O10" s="23">
        <v>3.8248000000000002</v>
      </c>
      <c r="P10" s="23">
        <v>4.0476000000000001</v>
      </c>
      <c r="Q10" s="26">
        <v>4.2704000000000004</v>
      </c>
      <c r="R10" s="5" t="s">
        <v>3</v>
      </c>
      <c r="S10" t="s">
        <v>127</v>
      </c>
    </row>
    <row r="11" spans="1:25" x14ac:dyDescent="0.25">
      <c r="B11" s="3" t="s">
        <v>4</v>
      </c>
      <c r="C11" s="23">
        <v>2.3919999999999999</v>
      </c>
      <c r="D11" s="23">
        <v>2.5714000000000001</v>
      </c>
      <c r="E11" s="23">
        <v>2.7507999999999999</v>
      </c>
      <c r="F11" s="24">
        <v>2.99</v>
      </c>
      <c r="G11" s="23">
        <v>3.1694</v>
      </c>
      <c r="H11" s="23">
        <v>3.3488000000000002</v>
      </c>
      <c r="I11" s="23">
        <v>3.5880000000000001</v>
      </c>
      <c r="J11" s="23">
        <v>3.8271999999999999</v>
      </c>
      <c r="K11" s="23">
        <v>4.0663999999999998</v>
      </c>
      <c r="L11" s="23">
        <v>4.3056000000000001</v>
      </c>
      <c r="M11" s="23">
        <v>4.5448000000000004</v>
      </c>
      <c r="N11" s="23">
        <v>4.7839999999999998</v>
      </c>
      <c r="O11" s="23">
        <v>5.0830000000000002</v>
      </c>
      <c r="P11" s="23">
        <v>5.3819999999999997</v>
      </c>
      <c r="Q11" s="23">
        <v>5.681</v>
      </c>
      <c r="R11" s="5" t="s">
        <v>19</v>
      </c>
      <c r="S11" t="s">
        <v>127</v>
      </c>
      <c r="V11" s="213"/>
    </row>
    <row r="12" spans="1:25" x14ac:dyDescent="0.25">
      <c r="B12" s="3" t="s">
        <v>2</v>
      </c>
      <c r="C12" s="23">
        <v>1.123</v>
      </c>
      <c r="D12" s="23">
        <v>1.2072000000000001</v>
      </c>
      <c r="E12" s="23">
        <v>1.2915000000000001</v>
      </c>
      <c r="F12" s="23">
        <v>1.4037999999999999</v>
      </c>
      <c r="G12" s="23">
        <v>1.488</v>
      </c>
      <c r="H12" s="23">
        <v>1.5722</v>
      </c>
      <c r="I12" s="23">
        <v>1.6845000000000001</v>
      </c>
      <c r="J12" s="23">
        <v>1.7968</v>
      </c>
      <c r="K12" s="23">
        <v>1.9091</v>
      </c>
      <c r="L12" s="23">
        <v>2.0213999999999999</v>
      </c>
      <c r="M12" s="23">
        <v>2.1337000000000002</v>
      </c>
      <c r="N12" s="23">
        <v>2.246</v>
      </c>
      <c r="O12" s="23">
        <v>2.3864000000000001</v>
      </c>
      <c r="P12" s="23">
        <v>2.5268000000000002</v>
      </c>
      <c r="Q12" s="23">
        <v>2.6671</v>
      </c>
      <c r="R12" s="5" t="s">
        <v>0</v>
      </c>
      <c r="S12" t="s">
        <v>127</v>
      </c>
    </row>
    <row r="13" spans="1:25" x14ac:dyDescent="0.25">
      <c r="B13" s="3" t="s">
        <v>1</v>
      </c>
      <c r="C13" s="23">
        <v>1.6845000000000001</v>
      </c>
      <c r="D13" s="23">
        <v>1.8108</v>
      </c>
      <c r="E13" s="23">
        <v>1.9372</v>
      </c>
      <c r="F13" s="23">
        <v>2.1055999999999999</v>
      </c>
      <c r="G13" s="23">
        <v>2.2320000000000002</v>
      </c>
      <c r="H13" s="23">
        <v>2.3582999999999998</v>
      </c>
      <c r="I13" s="23">
        <v>2.5268000000000002</v>
      </c>
      <c r="J13" s="23">
        <v>2.6951999999999998</v>
      </c>
      <c r="K13" s="23">
        <v>2.8635999999999999</v>
      </c>
      <c r="L13" s="23">
        <v>3.0320999999999998</v>
      </c>
      <c r="M13" s="23">
        <v>3.2004999999999999</v>
      </c>
      <c r="N13" s="23">
        <v>3.3690000000000002</v>
      </c>
      <c r="O13" s="23">
        <v>3.5796000000000001</v>
      </c>
      <c r="P13" s="23">
        <v>3.7900999999999998</v>
      </c>
      <c r="Q13" s="23">
        <v>4.0007000000000001</v>
      </c>
      <c r="R13" s="5" t="s">
        <v>0</v>
      </c>
      <c r="S13" t="s">
        <v>127</v>
      </c>
    </row>
    <row r="14" spans="1:25" x14ac:dyDescent="0.25">
      <c r="B14" s="3" t="s">
        <v>771</v>
      </c>
      <c r="C14" s="23"/>
      <c r="D14" s="23"/>
      <c r="E14" s="23"/>
      <c r="F14" s="23"/>
      <c r="G14" s="23"/>
      <c r="H14" s="23"/>
      <c r="I14" s="23"/>
      <c r="J14" s="23"/>
      <c r="K14" s="23"/>
      <c r="L14" s="23"/>
      <c r="M14" s="23"/>
      <c r="N14" s="23"/>
      <c r="O14" s="23"/>
      <c r="P14" s="23"/>
      <c r="Q14" s="23"/>
      <c r="R14" s="5" t="s">
        <v>771</v>
      </c>
      <c r="S14" t="s">
        <v>772</v>
      </c>
    </row>
    <row r="15" spans="1:25" x14ac:dyDescent="0.25">
      <c r="B15" s="3" t="s">
        <v>390</v>
      </c>
      <c r="C15" s="23"/>
      <c r="D15" s="23"/>
      <c r="E15" s="23"/>
      <c r="F15" s="23"/>
      <c r="G15" s="23"/>
      <c r="H15" s="23"/>
      <c r="I15" s="23"/>
      <c r="J15" s="23"/>
      <c r="K15" s="23"/>
      <c r="L15" s="23"/>
      <c r="M15" s="23"/>
      <c r="N15" s="23"/>
      <c r="O15" s="23"/>
      <c r="P15" s="23"/>
      <c r="Q15" s="23"/>
      <c r="R15" s="5" t="s">
        <v>396</v>
      </c>
      <c r="S15" t="s">
        <v>69</v>
      </c>
    </row>
    <row r="16" spans="1:25" x14ac:dyDescent="0.25">
      <c r="B16" s="3" t="s">
        <v>392</v>
      </c>
      <c r="C16" s="23"/>
      <c r="D16" s="23"/>
      <c r="E16" s="23"/>
      <c r="F16" s="23"/>
      <c r="G16" s="23"/>
      <c r="H16" s="23"/>
      <c r="I16" s="23"/>
      <c r="J16" s="23"/>
      <c r="K16" s="23"/>
      <c r="L16" s="23"/>
      <c r="M16" s="23"/>
      <c r="N16" s="23"/>
      <c r="O16" s="23"/>
      <c r="P16" s="23"/>
      <c r="Q16" s="23"/>
      <c r="R16" s="5" t="s">
        <v>396</v>
      </c>
      <c r="S16" t="s">
        <v>69</v>
      </c>
    </row>
    <row r="17" spans="1:19" x14ac:dyDescent="0.25">
      <c r="B17" s="3" t="s">
        <v>393</v>
      </c>
      <c r="C17" s="23"/>
      <c r="D17" s="23"/>
      <c r="E17" s="23"/>
      <c r="F17" s="23"/>
      <c r="G17" s="23"/>
      <c r="H17" s="23"/>
      <c r="I17" s="23"/>
      <c r="J17" s="23"/>
      <c r="K17" s="23"/>
      <c r="L17" s="23"/>
      <c r="M17" s="23"/>
      <c r="N17" s="23"/>
      <c r="O17" s="23"/>
      <c r="P17" s="23"/>
      <c r="Q17" s="23"/>
      <c r="R17" s="5" t="s">
        <v>396</v>
      </c>
      <c r="S17" t="s">
        <v>69</v>
      </c>
    </row>
    <row r="18" spans="1:19" x14ac:dyDescent="0.25">
      <c r="B18" s="3" t="s">
        <v>389</v>
      </c>
      <c r="C18" s="23"/>
      <c r="D18" s="23"/>
      <c r="E18" s="23"/>
      <c r="F18" s="23"/>
      <c r="G18" s="23"/>
      <c r="H18" s="23"/>
      <c r="I18" s="23"/>
      <c r="J18" s="23"/>
      <c r="K18" s="23"/>
      <c r="L18" s="23"/>
      <c r="M18" s="23"/>
      <c r="N18" s="23"/>
      <c r="O18" s="23"/>
      <c r="P18" s="23"/>
      <c r="Q18" s="23"/>
      <c r="R18" s="5" t="s">
        <v>396</v>
      </c>
      <c r="S18" t="s">
        <v>69</v>
      </c>
    </row>
    <row r="19" spans="1:19" x14ac:dyDescent="0.25">
      <c r="B19" s="3" t="s">
        <v>391</v>
      </c>
      <c r="C19" s="23"/>
      <c r="D19" s="23"/>
      <c r="E19" s="23"/>
      <c r="F19" s="23"/>
      <c r="G19" s="23"/>
      <c r="H19" s="23"/>
      <c r="I19" s="23"/>
      <c r="J19" s="23"/>
      <c r="K19" s="23"/>
      <c r="L19" s="23"/>
      <c r="M19" s="23"/>
      <c r="N19" s="23"/>
      <c r="O19" s="23"/>
      <c r="P19" s="23"/>
      <c r="Q19" s="23"/>
      <c r="R19" s="5" t="s">
        <v>396</v>
      </c>
      <c r="S19" t="s">
        <v>69</v>
      </c>
    </row>
    <row r="20" spans="1:19" x14ac:dyDescent="0.25">
      <c r="B20" s="3" t="s">
        <v>394</v>
      </c>
      <c r="C20" s="23"/>
      <c r="D20" s="23"/>
      <c r="E20" s="23"/>
      <c r="F20" s="23"/>
      <c r="G20" s="23"/>
      <c r="H20" s="23"/>
      <c r="I20" s="23"/>
      <c r="J20" s="23"/>
      <c r="K20" s="23"/>
      <c r="L20" s="23"/>
      <c r="M20" s="23"/>
      <c r="N20" s="23"/>
      <c r="O20" s="23"/>
      <c r="P20" s="23"/>
      <c r="Q20" s="23"/>
      <c r="R20" s="5" t="s">
        <v>396</v>
      </c>
      <c r="S20" t="s">
        <v>69</v>
      </c>
    </row>
    <row r="21" spans="1:19" x14ac:dyDescent="0.25">
      <c r="B21" s="3" t="s">
        <v>395</v>
      </c>
      <c r="C21" s="23"/>
      <c r="D21" s="23"/>
      <c r="E21" s="23"/>
      <c r="F21" s="23"/>
      <c r="G21" s="23"/>
      <c r="H21" s="23"/>
      <c r="I21" s="23"/>
      <c r="J21" s="23"/>
      <c r="K21" s="23"/>
      <c r="L21" s="23"/>
      <c r="M21" s="23"/>
      <c r="N21" s="23"/>
      <c r="O21" s="23"/>
      <c r="P21" s="23"/>
      <c r="Q21" s="23"/>
      <c r="R21" s="5" t="s">
        <v>396</v>
      </c>
      <c r="S21" t="s">
        <v>69</v>
      </c>
    </row>
    <row r="22" spans="1:19" x14ac:dyDescent="0.25">
      <c r="A22" t="s">
        <v>828</v>
      </c>
      <c r="B22" s="3" t="s">
        <v>397</v>
      </c>
      <c r="C22" s="23"/>
      <c r="D22" s="23"/>
      <c r="E22" s="23"/>
      <c r="F22" s="23"/>
      <c r="G22" s="23"/>
      <c r="H22" s="23"/>
      <c r="I22" s="23"/>
      <c r="J22" s="23"/>
      <c r="K22" s="23"/>
      <c r="L22" s="23"/>
      <c r="M22" s="23"/>
      <c r="N22" s="23"/>
      <c r="O22" s="23"/>
      <c r="P22" s="23"/>
      <c r="Q22" s="23"/>
      <c r="R22" s="5" t="s">
        <v>396</v>
      </c>
      <c r="S22" t="s">
        <v>69</v>
      </c>
    </row>
    <row r="23" spans="1:19" x14ac:dyDescent="0.25">
      <c r="B23" s="3" t="s">
        <v>18</v>
      </c>
      <c r="C23" s="27">
        <v>1</v>
      </c>
      <c r="D23" s="27">
        <v>2</v>
      </c>
      <c r="E23" s="27">
        <v>3</v>
      </c>
      <c r="F23" s="27">
        <v>4</v>
      </c>
      <c r="G23" s="27">
        <v>5</v>
      </c>
      <c r="H23" s="27">
        <v>6</v>
      </c>
      <c r="I23" s="27">
        <v>7</v>
      </c>
      <c r="J23" s="27">
        <v>8</v>
      </c>
      <c r="K23" s="27">
        <v>9</v>
      </c>
      <c r="L23" s="27">
        <v>10</v>
      </c>
      <c r="M23" s="27">
        <v>11</v>
      </c>
      <c r="N23" s="27">
        <v>12</v>
      </c>
      <c r="O23" s="27">
        <v>13</v>
      </c>
      <c r="P23" s="27">
        <v>14</v>
      </c>
      <c r="Q23" s="27">
        <v>15</v>
      </c>
      <c r="R23" s="5" t="s">
        <v>11</v>
      </c>
      <c r="S23" t="s">
        <v>126</v>
      </c>
    </row>
    <row r="24" spans="1:19" x14ac:dyDescent="0.25">
      <c r="A24" t="s">
        <v>829</v>
      </c>
      <c r="B24" s="3" t="s">
        <v>10</v>
      </c>
      <c r="C24" s="25">
        <v>0.3674</v>
      </c>
      <c r="D24" s="25">
        <v>0.39729999999999999</v>
      </c>
      <c r="E24" s="25">
        <v>0.42720000000000002</v>
      </c>
      <c r="F24" s="25">
        <v>0.46989999999999998</v>
      </c>
      <c r="G24" s="25">
        <v>0.49980000000000002</v>
      </c>
      <c r="H24" s="25">
        <v>0.53400000000000003</v>
      </c>
      <c r="I24" s="25">
        <v>0.58099999999999996</v>
      </c>
      <c r="J24" s="25">
        <v>0.628</v>
      </c>
      <c r="K24" s="25">
        <v>0.67500000000000004</v>
      </c>
      <c r="L24" s="25">
        <v>0.72619999999999996</v>
      </c>
      <c r="M24" s="25">
        <v>0.78500000000000003</v>
      </c>
      <c r="N24" s="25">
        <v>0.85409999999999997</v>
      </c>
      <c r="O24" s="25">
        <v>0.92310000000000003</v>
      </c>
      <c r="P24" s="25">
        <v>0.99219999999999997</v>
      </c>
      <c r="Q24" s="25">
        <v>1.0676000000000001</v>
      </c>
      <c r="R24" s="5" t="s">
        <v>6</v>
      </c>
      <c r="S24" t="s">
        <v>127</v>
      </c>
    </row>
    <row r="25" spans="1:19" x14ac:dyDescent="0.25">
      <c r="B25" s="3" t="s">
        <v>9</v>
      </c>
      <c r="C25" s="25">
        <v>0.3674</v>
      </c>
      <c r="D25" s="25">
        <v>0.39729999999999999</v>
      </c>
      <c r="E25" s="25">
        <v>0.42720000000000002</v>
      </c>
      <c r="F25" s="25">
        <v>0.46989999999999998</v>
      </c>
      <c r="G25" s="25">
        <v>0.49980000000000002</v>
      </c>
      <c r="H25" s="25">
        <v>0.53400000000000003</v>
      </c>
      <c r="I25" s="25">
        <v>0.58099999999999996</v>
      </c>
      <c r="J25" s="25">
        <v>0.628</v>
      </c>
      <c r="K25" s="25">
        <v>0.67500000000000004</v>
      </c>
      <c r="L25" s="25">
        <v>0.72619999999999996</v>
      </c>
      <c r="M25" s="25">
        <v>0.78500000000000003</v>
      </c>
      <c r="N25" s="25">
        <v>0.85409999999999997</v>
      </c>
      <c r="O25" s="25">
        <v>0.92310000000000003</v>
      </c>
      <c r="P25" s="25">
        <v>0.99219999999999997</v>
      </c>
      <c r="Q25" s="25">
        <v>1.0676000000000001</v>
      </c>
      <c r="R25" s="5" t="s">
        <v>6</v>
      </c>
      <c r="S25" t="s">
        <v>127</v>
      </c>
    </row>
    <row r="26" spans="1:19" x14ac:dyDescent="0.25">
      <c r="B26" s="3" t="s">
        <v>8</v>
      </c>
      <c r="C26" s="25">
        <v>0.47449999999999998</v>
      </c>
      <c r="D26" s="25">
        <v>0.51319999999999999</v>
      </c>
      <c r="E26" s="25">
        <v>0.55179999999999996</v>
      </c>
      <c r="F26" s="25">
        <v>0.60699999999999998</v>
      </c>
      <c r="G26" s="25">
        <v>0.64559999999999995</v>
      </c>
      <c r="H26" s="25">
        <v>0.68979999999999997</v>
      </c>
      <c r="I26" s="25">
        <v>0.75039999999999996</v>
      </c>
      <c r="J26" s="25">
        <v>0.81110000000000004</v>
      </c>
      <c r="K26" s="25">
        <v>0.87180000000000002</v>
      </c>
      <c r="L26" s="25">
        <v>0.93810000000000004</v>
      </c>
      <c r="M26" s="25">
        <v>1.0139</v>
      </c>
      <c r="N26" s="25">
        <v>1.1032</v>
      </c>
      <c r="O26" s="25">
        <v>1.1923999999999999</v>
      </c>
      <c r="P26" s="25">
        <v>1.2816000000000001</v>
      </c>
      <c r="Q26" s="25">
        <v>1.3789</v>
      </c>
      <c r="R26" s="5" t="s">
        <v>6</v>
      </c>
      <c r="S26" t="s">
        <v>127</v>
      </c>
    </row>
    <row r="27" spans="1:19" x14ac:dyDescent="0.25">
      <c r="B27" s="3" t="s">
        <v>13</v>
      </c>
      <c r="C27" s="25">
        <v>0.4975</v>
      </c>
      <c r="D27" s="25">
        <v>0.53800000000000003</v>
      </c>
      <c r="E27" s="25">
        <v>0.57850000000000001</v>
      </c>
      <c r="F27" s="25">
        <v>0.63639999999999997</v>
      </c>
      <c r="G27" s="25">
        <v>0.67679999999999996</v>
      </c>
      <c r="H27" s="25">
        <v>0.72309999999999997</v>
      </c>
      <c r="I27" s="25">
        <v>0.78680000000000005</v>
      </c>
      <c r="J27" s="25">
        <v>0.85040000000000004</v>
      </c>
      <c r="K27" s="25">
        <v>0.91400000000000003</v>
      </c>
      <c r="L27" s="25">
        <v>0.98350000000000004</v>
      </c>
      <c r="M27" s="25">
        <v>1.0629999999999999</v>
      </c>
      <c r="N27" s="25">
        <v>1.1565000000000001</v>
      </c>
      <c r="O27" s="25">
        <v>1.2501</v>
      </c>
      <c r="P27" s="25">
        <v>1.3435999999999999</v>
      </c>
      <c r="Q27" s="25">
        <v>1.4457</v>
      </c>
      <c r="R27" s="5" t="s">
        <v>6</v>
      </c>
      <c r="S27" t="s">
        <v>127</v>
      </c>
    </row>
    <row r="28" spans="1:19" x14ac:dyDescent="0.25">
      <c r="B28" s="3" t="s">
        <v>7</v>
      </c>
      <c r="C28" s="25">
        <v>0.62070000000000003</v>
      </c>
      <c r="D28" s="25">
        <v>0.67130000000000001</v>
      </c>
      <c r="E28" s="25">
        <v>0.7218</v>
      </c>
      <c r="F28" s="25">
        <v>0.79400000000000004</v>
      </c>
      <c r="G28" s="25">
        <v>0.84450000000000003</v>
      </c>
      <c r="H28" s="25">
        <v>0.9022</v>
      </c>
      <c r="I28" s="25">
        <v>0.98160000000000003</v>
      </c>
      <c r="J28" s="25">
        <v>1.0609999999999999</v>
      </c>
      <c r="K28" s="25">
        <v>1.1404000000000001</v>
      </c>
      <c r="L28" s="25">
        <v>1.2270000000000001</v>
      </c>
      <c r="M28" s="25">
        <v>1.3263</v>
      </c>
      <c r="N28" s="25">
        <v>1.4430000000000001</v>
      </c>
      <c r="O28" s="25">
        <v>1.5597000000000001</v>
      </c>
      <c r="P28" s="25">
        <v>1.6763999999999999</v>
      </c>
      <c r="Q28" s="25">
        <v>1.8038000000000001</v>
      </c>
      <c r="R28" s="5" t="s">
        <v>6</v>
      </c>
      <c r="S28" t="s">
        <v>127</v>
      </c>
    </row>
    <row r="29" spans="1:19" x14ac:dyDescent="0.25">
      <c r="B29" s="4" t="s">
        <v>16</v>
      </c>
      <c r="C29" s="25">
        <v>0.47299999999999998</v>
      </c>
      <c r="D29" s="25">
        <v>0.51149999999999995</v>
      </c>
      <c r="E29" s="25">
        <v>0.55000000000000004</v>
      </c>
      <c r="F29" s="25">
        <v>0.60499999999999998</v>
      </c>
      <c r="G29" s="25">
        <v>0.64349999999999996</v>
      </c>
      <c r="H29" s="25">
        <v>0.6875</v>
      </c>
      <c r="I29" s="25">
        <v>0.748</v>
      </c>
      <c r="J29" s="25">
        <v>0.8085</v>
      </c>
      <c r="K29" s="25">
        <v>0.86899999999999999</v>
      </c>
      <c r="L29" s="25">
        <v>0.93500000000000005</v>
      </c>
      <c r="M29" s="25">
        <v>1.0105999999999999</v>
      </c>
      <c r="N29" s="25">
        <v>1.0995999999999999</v>
      </c>
      <c r="O29" s="25">
        <v>1.1884999999999999</v>
      </c>
      <c r="P29" s="25">
        <v>1.2774000000000001</v>
      </c>
      <c r="Q29" s="25">
        <v>1.3745000000000001</v>
      </c>
      <c r="R29" s="5" t="s">
        <v>5</v>
      </c>
      <c r="S29" t="s">
        <v>127</v>
      </c>
    </row>
    <row r="30" spans="1:19" x14ac:dyDescent="0.25">
      <c r="B30" s="4" t="s">
        <v>17</v>
      </c>
      <c r="C30" s="25">
        <v>0.60199999999999998</v>
      </c>
      <c r="D30" s="25">
        <v>0.65100000000000002</v>
      </c>
      <c r="E30" s="25">
        <v>0.7</v>
      </c>
      <c r="F30" s="25">
        <v>0.77</v>
      </c>
      <c r="G30" s="25">
        <v>0.81899999999999995</v>
      </c>
      <c r="H30" s="25">
        <v>0.875</v>
      </c>
      <c r="I30" s="25">
        <v>0.95199999999999996</v>
      </c>
      <c r="J30" s="25">
        <v>1.0289999999999999</v>
      </c>
      <c r="K30" s="25">
        <v>1.1060000000000001</v>
      </c>
      <c r="L30" s="25">
        <v>1.19</v>
      </c>
      <c r="M30" s="25">
        <v>1.2862</v>
      </c>
      <c r="N30" s="25">
        <v>1.3994</v>
      </c>
      <c r="O30" s="25">
        <v>1.5125999999999999</v>
      </c>
      <c r="P30" s="25">
        <v>1.6257999999999999</v>
      </c>
      <c r="Q30" s="25">
        <v>1.7493000000000001</v>
      </c>
      <c r="R30" s="5" t="s">
        <v>5</v>
      </c>
      <c r="S30" t="s">
        <v>127</v>
      </c>
    </row>
    <row r="31" spans="1:19" ht="15" customHeight="1" x14ac:dyDescent="0.25">
      <c r="B31" s="3" t="s">
        <v>155</v>
      </c>
      <c r="C31" s="25">
        <v>0.63929999999999998</v>
      </c>
      <c r="D31" s="25">
        <v>0.69140000000000001</v>
      </c>
      <c r="E31" s="25">
        <v>0.74339999999999995</v>
      </c>
      <c r="F31" s="25">
        <v>0.81769999999999998</v>
      </c>
      <c r="G31" s="25">
        <v>0.86980000000000002</v>
      </c>
      <c r="H31" s="25">
        <v>0.92930000000000001</v>
      </c>
      <c r="I31" s="25">
        <v>1.0109999999999999</v>
      </c>
      <c r="J31" s="25">
        <v>1.0928</v>
      </c>
      <c r="K31" s="25">
        <v>1.1746000000000001</v>
      </c>
      <c r="L31" s="25">
        <v>1.2638</v>
      </c>
      <c r="M31" s="25">
        <v>1.353</v>
      </c>
      <c r="N31" s="25">
        <v>1.4421999999999999</v>
      </c>
      <c r="O31" s="25">
        <v>1.5314000000000001</v>
      </c>
      <c r="P31" s="25">
        <v>1.6206</v>
      </c>
      <c r="Q31" s="25">
        <v>1.7098</v>
      </c>
      <c r="R31" s="5" t="s">
        <v>3</v>
      </c>
      <c r="S31" t="s">
        <v>127</v>
      </c>
    </row>
    <row r="32" spans="1:19" x14ac:dyDescent="0.25">
      <c r="B32" s="4" t="s">
        <v>135</v>
      </c>
      <c r="C32" s="25">
        <v>1.2784</v>
      </c>
      <c r="D32" s="25">
        <v>1.3824000000000001</v>
      </c>
      <c r="E32" s="25">
        <v>1.4864999999999999</v>
      </c>
      <c r="F32" s="25">
        <v>1.6351</v>
      </c>
      <c r="G32" s="25">
        <v>1.7392000000000001</v>
      </c>
      <c r="H32" s="25">
        <v>1.8581000000000001</v>
      </c>
      <c r="I32" s="25">
        <v>2.0215999999999998</v>
      </c>
      <c r="J32" s="25">
        <v>2.1850999999999998</v>
      </c>
      <c r="K32" s="25">
        <v>2.3485999999999998</v>
      </c>
      <c r="L32" s="25">
        <v>2.5270000000000001</v>
      </c>
      <c r="M32" s="25">
        <v>2.7054</v>
      </c>
      <c r="N32" s="25">
        <v>2.8837999999999999</v>
      </c>
      <c r="O32" s="25">
        <v>3.0621999999999998</v>
      </c>
      <c r="P32" s="25">
        <v>3.2404999999999999</v>
      </c>
      <c r="Q32" s="25">
        <v>3.4188999999999998</v>
      </c>
      <c r="R32" s="5" t="s">
        <v>3</v>
      </c>
      <c r="S32" t="s">
        <v>127</v>
      </c>
    </row>
    <row r="33" spans="1:19" x14ac:dyDescent="0.25">
      <c r="B33" s="4" t="s">
        <v>136</v>
      </c>
      <c r="C33" s="25">
        <v>1.5968</v>
      </c>
      <c r="D33" s="25">
        <v>1.7266999999999999</v>
      </c>
      <c r="E33" s="25">
        <v>1.8567</v>
      </c>
      <c r="F33" s="25">
        <v>2.0424000000000002</v>
      </c>
      <c r="G33" s="25">
        <v>2.1722999999999999</v>
      </c>
      <c r="H33" s="25">
        <v>2.3209</v>
      </c>
      <c r="I33" s="25">
        <v>2.5251000000000001</v>
      </c>
      <c r="J33" s="25">
        <v>2.7292999999999998</v>
      </c>
      <c r="K33" s="25">
        <v>2.9336000000000002</v>
      </c>
      <c r="L33" s="25">
        <v>3.1564000000000001</v>
      </c>
      <c r="M33" s="25">
        <v>3.3792</v>
      </c>
      <c r="N33" s="25">
        <v>3.6019999999999999</v>
      </c>
      <c r="O33" s="25">
        <v>3.8248000000000002</v>
      </c>
      <c r="P33" s="25">
        <v>4.0476000000000001</v>
      </c>
      <c r="Q33" s="25">
        <v>4.2704000000000004</v>
      </c>
      <c r="R33" s="5" t="s">
        <v>3</v>
      </c>
      <c r="S33" t="s">
        <v>127</v>
      </c>
    </row>
    <row r="34" spans="1:19" x14ac:dyDescent="0.25">
      <c r="B34" t="s">
        <v>129</v>
      </c>
      <c r="C34" s="25">
        <v>1.304</v>
      </c>
      <c r="D34" s="25">
        <v>1.4017999999999999</v>
      </c>
      <c r="E34" s="25">
        <v>1.4996</v>
      </c>
      <c r="F34" s="25">
        <v>1.63</v>
      </c>
      <c r="G34" s="25">
        <v>1.7278</v>
      </c>
      <c r="H34" s="25">
        <v>1.8255999999999999</v>
      </c>
      <c r="I34" s="25">
        <v>1.956</v>
      </c>
      <c r="J34" s="25">
        <v>2.0863999999999998</v>
      </c>
      <c r="K34" s="25">
        <v>2.2168000000000001</v>
      </c>
      <c r="L34" s="25">
        <v>2.3472</v>
      </c>
      <c r="M34" s="25">
        <v>2.4775999999999998</v>
      </c>
      <c r="N34" s="25">
        <v>2.6080000000000001</v>
      </c>
      <c r="O34" s="25">
        <v>2.7709999999999999</v>
      </c>
      <c r="P34" s="25">
        <v>2.9340000000000002</v>
      </c>
      <c r="Q34" s="25">
        <v>3.097</v>
      </c>
      <c r="R34" s="5" t="s">
        <v>19</v>
      </c>
      <c r="S34" t="s">
        <v>127</v>
      </c>
    </row>
    <row r="35" spans="1:19" x14ac:dyDescent="0.25">
      <c r="B35" t="s">
        <v>128</v>
      </c>
      <c r="C35" s="25">
        <v>0.33600000000000002</v>
      </c>
      <c r="D35" s="25">
        <v>1.4361999999999999</v>
      </c>
      <c r="E35" s="25">
        <v>1.5364</v>
      </c>
      <c r="F35" s="25">
        <v>1.67</v>
      </c>
      <c r="G35" s="25">
        <v>1.7702</v>
      </c>
      <c r="H35" s="25">
        <v>1.8704000000000001</v>
      </c>
      <c r="I35" s="25">
        <v>2.004</v>
      </c>
      <c r="J35" s="25">
        <v>2.1375999999999999</v>
      </c>
      <c r="K35" s="25">
        <v>2.2711999999999999</v>
      </c>
      <c r="L35" s="25">
        <v>2.4047999999999998</v>
      </c>
      <c r="M35" s="25">
        <v>2.5384000000000002</v>
      </c>
      <c r="N35" s="25">
        <v>2.6720000000000002</v>
      </c>
      <c r="O35" s="25">
        <v>2.839</v>
      </c>
      <c r="P35" s="25">
        <v>3.0059999999999998</v>
      </c>
      <c r="Q35" s="25">
        <v>3.173</v>
      </c>
      <c r="R35" s="5" t="s">
        <v>19</v>
      </c>
      <c r="S35" t="s">
        <v>130</v>
      </c>
    </row>
    <row r="36" spans="1:19" x14ac:dyDescent="0.25">
      <c r="B36" t="s">
        <v>131</v>
      </c>
      <c r="C36" s="25">
        <v>3.6720000000000002</v>
      </c>
      <c r="D36" s="25">
        <v>3.9474</v>
      </c>
      <c r="E36" s="25">
        <v>4.2228000000000003</v>
      </c>
      <c r="F36" s="25">
        <v>4.59</v>
      </c>
      <c r="G36" s="25">
        <v>4.8654000000000002</v>
      </c>
      <c r="H36" s="25">
        <v>5.1407999999999996</v>
      </c>
      <c r="I36" s="25">
        <v>5.508</v>
      </c>
      <c r="J36" s="25">
        <v>5.8752000000000004</v>
      </c>
      <c r="K36" s="25">
        <v>6.2423999999999999</v>
      </c>
      <c r="L36" s="25">
        <v>6.6096000000000004</v>
      </c>
      <c r="M36" s="25">
        <v>6.9767999999999999</v>
      </c>
      <c r="N36" s="25">
        <v>7.3440000000000003</v>
      </c>
      <c r="O36" s="25">
        <v>7.8029999999999999</v>
      </c>
      <c r="P36" s="25">
        <v>8.2620000000000005</v>
      </c>
      <c r="Q36" s="25">
        <v>8.7210000000000001</v>
      </c>
      <c r="R36" s="5" t="s">
        <v>0</v>
      </c>
      <c r="S36" t="s">
        <v>127</v>
      </c>
    </row>
    <row r="37" spans="1:19" x14ac:dyDescent="0.25">
      <c r="B37" t="s">
        <v>132</v>
      </c>
      <c r="C37" s="25">
        <v>0.72</v>
      </c>
      <c r="D37" s="25">
        <v>0.77400000000000002</v>
      </c>
      <c r="E37" s="25">
        <v>0.82799999999999996</v>
      </c>
      <c r="F37" s="25">
        <v>0.9</v>
      </c>
      <c r="G37" s="25">
        <v>0.95399999999999996</v>
      </c>
      <c r="H37" s="25">
        <v>1.008</v>
      </c>
      <c r="I37" s="25">
        <v>1.08</v>
      </c>
      <c r="J37" s="25">
        <v>1.1519999999999999</v>
      </c>
      <c r="K37" s="25">
        <v>1.224</v>
      </c>
      <c r="L37" s="25">
        <v>1.296</v>
      </c>
      <c r="M37" s="25">
        <v>1.3680000000000001</v>
      </c>
      <c r="N37" s="25">
        <v>1.44</v>
      </c>
      <c r="O37" s="25">
        <v>1.53</v>
      </c>
      <c r="P37" s="25">
        <v>1.62</v>
      </c>
      <c r="Q37" s="25">
        <v>1.71</v>
      </c>
      <c r="R37" s="5" t="s">
        <v>0</v>
      </c>
      <c r="S37" t="s">
        <v>127</v>
      </c>
    </row>
    <row r="38" spans="1:19" x14ac:dyDescent="0.25">
      <c r="B38" s="3" t="s">
        <v>771</v>
      </c>
      <c r="C38" s="23"/>
      <c r="D38" s="23"/>
      <c r="E38" s="23"/>
      <c r="F38" s="23"/>
      <c r="G38" s="23"/>
      <c r="H38" s="23"/>
      <c r="I38" s="23"/>
      <c r="J38" s="23"/>
      <c r="K38" s="23"/>
      <c r="L38" s="23"/>
      <c r="M38" s="23"/>
      <c r="N38" s="23"/>
      <c r="O38" s="23"/>
      <c r="P38" s="23"/>
      <c r="Q38" s="23"/>
      <c r="R38" s="5" t="s">
        <v>771</v>
      </c>
      <c r="S38" t="s">
        <v>772</v>
      </c>
    </row>
    <row r="39" spans="1:19" x14ac:dyDescent="0.25">
      <c r="B39" s="3" t="s">
        <v>390</v>
      </c>
      <c r="C39" s="23"/>
      <c r="D39" s="23"/>
      <c r="E39" s="23"/>
      <c r="F39" s="23"/>
      <c r="G39" s="23"/>
      <c r="H39" s="23"/>
      <c r="I39" s="23"/>
      <c r="J39" s="23"/>
      <c r="K39" s="23"/>
      <c r="L39" s="23"/>
      <c r="M39" s="23"/>
      <c r="N39" s="23"/>
      <c r="O39" s="23"/>
      <c r="P39" s="23"/>
      <c r="Q39" s="23"/>
      <c r="R39" s="5" t="s">
        <v>396</v>
      </c>
      <c r="S39" t="s">
        <v>69</v>
      </c>
    </row>
    <row r="40" spans="1:19" x14ac:dyDescent="0.25">
      <c r="B40" s="3" t="s">
        <v>392</v>
      </c>
      <c r="C40" s="23"/>
      <c r="D40" s="23"/>
      <c r="E40" s="23"/>
      <c r="F40" s="23"/>
      <c r="G40" s="23"/>
      <c r="H40" s="23"/>
      <c r="I40" s="23"/>
      <c r="J40" s="23"/>
      <c r="K40" s="23"/>
      <c r="L40" s="23"/>
      <c r="M40" s="23"/>
      <c r="N40" s="23"/>
      <c r="O40" s="23"/>
      <c r="P40" s="23"/>
      <c r="Q40" s="23"/>
      <c r="R40" s="5" t="s">
        <v>396</v>
      </c>
      <c r="S40" t="s">
        <v>69</v>
      </c>
    </row>
    <row r="41" spans="1:19" x14ac:dyDescent="0.25">
      <c r="B41" s="3" t="s">
        <v>393</v>
      </c>
      <c r="C41" s="23"/>
      <c r="D41" s="23"/>
      <c r="E41" s="23"/>
      <c r="F41" s="23"/>
      <c r="G41" s="23"/>
      <c r="H41" s="23"/>
      <c r="I41" s="23"/>
      <c r="J41" s="23"/>
      <c r="K41" s="23"/>
      <c r="L41" s="23"/>
      <c r="M41" s="23"/>
      <c r="N41" s="23"/>
      <c r="O41" s="23"/>
      <c r="P41" s="23"/>
      <c r="Q41" s="23"/>
      <c r="R41" s="5" t="s">
        <v>396</v>
      </c>
      <c r="S41" t="s">
        <v>69</v>
      </c>
    </row>
    <row r="42" spans="1:19" x14ac:dyDescent="0.25">
      <c r="B42" s="3" t="s">
        <v>389</v>
      </c>
      <c r="C42" s="23"/>
      <c r="D42" s="23"/>
      <c r="E42" s="23"/>
      <c r="F42" s="23"/>
      <c r="G42" s="23"/>
      <c r="H42" s="23"/>
      <c r="I42" s="23"/>
      <c r="J42" s="23"/>
      <c r="K42" s="23"/>
      <c r="L42" s="23"/>
      <c r="M42" s="23"/>
      <c r="N42" s="23"/>
      <c r="O42" s="23"/>
      <c r="P42" s="23"/>
      <c r="Q42" s="23"/>
      <c r="R42" s="5" t="s">
        <v>396</v>
      </c>
      <c r="S42" t="s">
        <v>69</v>
      </c>
    </row>
    <row r="43" spans="1:19" x14ac:dyDescent="0.25">
      <c r="B43" s="3" t="s">
        <v>391</v>
      </c>
      <c r="C43" s="23"/>
      <c r="D43" s="23"/>
      <c r="E43" s="23"/>
      <c r="F43" s="23"/>
      <c r="G43" s="23"/>
      <c r="H43" s="23"/>
      <c r="I43" s="23"/>
      <c r="J43" s="23"/>
      <c r="K43" s="23"/>
      <c r="L43" s="23"/>
      <c r="M43" s="23"/>
      <c r="N43" s="23"/>
      <c r="O43" s="23"/>
      <c r="P43" s="23"/>
      <c r="Q43" s="23"/>
      <c r="R43" s="5" t="s">
        <v>396</v>
      </c>
      <c r="S43" t="s">
        <v>69</v>
      </c>
    </row>
    <row r="44" spans="1:19" x14ac:dyDescent="0.25">
      <c r="B44" s="3" t="s">
        <v>394</v>
      </c>
      <c r="C44" s="23"/>
      <c r="D44" s="23"/>
      <c r="E44" s="23"/>
      <c r="F44" s="23"/>
      <c r="G44" s="23"/>
      <c r="H44" s="23"/>
      <c r="I44" s="23"/>
      <c r="J44" s="23"/>
      <c r="K44" s="23"/>
      <c r="L44" s="23"/>
      <c r="M44" s="23"/>
      <c r="N44" s="23"/>
      <c r="O44" s="23"/>
      <c r="P44" s="23"/>
      <c r="Q44" s="23"/>
      <c r="R44" s="5" t="s">
        <v>396</v>
      </c>
      <c r="S44" t="s">
        <v>69</v>
      </c>
    </row>
    <row r="45" spans="1:19" x14ac:dyDescent="0.25">
      <c r="B45" s="3" t="s">
        <v>395</v>
      </c>
      <c r="C45" s="23"/>
      <c r="D45" s="23"/>
      <c r="E45" s="23"/>
      <c r="F45" s="23"/>
      <c r="G45" s="23"/>
      <c r="H45" s="23"/>
      <c r="I45" s="23"/>
      <c r="J45" s="23"/>
      <c r="K45" s="23"/>
      <c r="L45" s="23"/>
      <c r="M45" s="23"/>
      <c r="N45" s="23"/>
      <c r="O45" s="23"/>
      <c r="P45" s="23"/>
      <c r="Q45" s="23"/>
      <c r="R45" s="5" t="s">
        <v>396</v>
      </c>
      <c r="S45" t="s">
        <v>69</v>
      </c>
    </row>
    <row r="46" spans="1:19" x14ac:dyDescent="0.25">
      <c r="A46" t="s">
        <v>830</v>
      </c>
      <c r="B46" s="3" t="s">
        <v>397</v>
      </c>
      <c r="C46" s="23"/>
      <c r="D46" s="23"/>
      <c r="E46" s="23"/>
      <c r="F46" s="23"/>
      <c r="G46" s="23"/>
      <c r="H46" s="23"/>
      <c r="I46" s="23"/>
      <c r="J46" s="23"/>
      <c r="K46" s="23"/>
      <c r="L46" s="23"/>
      <c r="M46" s="23"/>
      <c r="N46" s="23"/>
      <c r="O46" s="23"/>
      <c r="P46" s="23"/>
      <c r="Q46" s="23"/>
      <c r="R46" s="5" t="s">
        <v>396</v>
      </c>
      <c r="S46" t="s">
        <v>69</v>
      </c>
    </row>
    <row r="47" spans="1:19" x14ac:dyDescent="0.25">
      <c r="B47" t="s">
        <v>137</v>
      </c>
      <c r="C47" s="28">
        <v>1</v>
      </c>
      <c r="D47" s="28">
        <v>2</v>
      </c>
      <c r="E47" s="28">
        <v>3</v>
      </c>
      <c r="F47" s="28">
        <v>4</v>
      </c>
      <c r="G47" s="28">
        <v>5</v>
      </c>
      <c r="H47" s="28">
        <v>6</v>
      </c>
      <c r="I47" s="28">
        <v>7</v>
      </c>
      <c r="J47" s="28">
        <v>8</v>
      </c>
      <c r="K47" s="28">
        <v>9</v>
      </c>
      <c r="L47" s="28">
        <v>10</v>
      </c>
      <c r="M47" s="28">
        <v>11</v>
      </c>
      <c r="N47" s="28">
        <v>12</v>
      </c>
      <c r="O47" s="28">
        <v>13</v>
      </c>
      <c r="P47" s="28">
        <v>14</v>
      </c>
      <c r="Q47" s="28">
        <v>15</v>
      </c>
      <c r="R47" s="5" t="s">
        <v>11</v>
      </c>
      <c r="S47" t="s">
        <v>126</v>
      </c>
    </row>
    <row r="48" spans="1:19" x14ac:dyDescent="0.25">
      <c r="A48" t="s">
        <v>831</v>
      </c>
      <c r="B48" t="s">
        <v>10</v>
      </c>
      <c r="C48" s="25">
        <v>0.36120000000000002</v>
      </c>
      <c r="D48" s="25">
        <v>0.3906</v>
      </c>
      <c r="E48" s="25">
        <v>0.42</v>
      </c>
      <c r="F48" s="25">
        <v>0.46200000000000002</v>
      </c>
      <c r="G48" s="25">
        <v>0.4914</v>
      </c>
      <c r="H48" s="25">
        <v>0.52500000000000002</v>
      </c>
      <c r="I48" s="25">
        <v>0.57120000000000004</v>
      </c>
      <c r="J48" s="25">
        <v>0.61739999999999995</v>
      </c>
      <c r="K48" s="25">
        <v>0.66359999999999997</v>
      </c>
      <c r="L48" s="25">
        <v>0.71399999999999997</v>
      </c>
      <c r="M48" s="25">
        <v>0.76439999999999997</v>
      </c>
      <c r="N48" s="25">
        <v>0.81479999999999997</v>
      </c>
      <c r="O48" s="25">
        <v>0.86519999999999997</v>
      </c>
      <c r="P48" s="25">
        <v>0.91559999999999997</v>
      </c>
      <c r="Q48" s="25">
        <v>0.96599999999999997</v>
      </c>
      <c r="R48" s="5" t="s">
        <v>6</v>
      </c>
      <c r="S48" t="s">
        <v>127</v>
      </c>
    </row>
    <row r="49" spans="2:19" x14ac:dyDescent="0.25">
      <c r="B49" t="s">
        <v>9</v>
      </c>
      <c r="C49" s="25">
        <v>0.36120000000000002</v>
      </c>
      <c r="D49" s="25">
        <v>0.3906</v>
      </c>
      <c r="E49" s="25">
        <v>0.42</v>
      </c>
      <c r="F49" s="25">
        <v>0.46200000000000002</v>
      </c>
      <c r="G49" s="25">
        <v>0.4914</v>
      </c>
      <c r="H49" s="25">
        <v>0.52500000000000002</v>
      </c>
      <c r="I49" s="25">
        <v>0.57120000000000004</v>
      </c>
      <c r="J49" s="25">
        <v>0.61739999999999995</v>
      </c>
      <c r="K49" s="25">
        <v>0.66359999999999997</v>
      </c>
      <c r="L49" s="25">
        <v>0.71399999999999997</v>
      </c>
      <c r="M49" s="25">
        <v>0.76439999999999997</v>
      </c>
      <c r="N49" s="25">
        <v>0.81479999999999997</v>
      </c>
      <c r="O49" s="25">
        <v>0.86519999999999997</v>
      </c>
      <c r="P49" s="25">
        <v>0.91559999999999997</v>
      </c>
      <c r="Q49" s="25">
        <v>0.96599999999999997</v>
      </c>
      <c r="R49" s="5" t="s">
        <v>6</v>
      </c>
      <c r="S49" t="s">
        <v>127</v>
      </c>
    </row>
    <row r="50" spans="2:19" x14ac:dyDescent="0.25">
      <c r="B50" t="s">
        <v>8</v>
      </c>
      <c r="C50" s="25">
        <v>0.46439999999999998</v>
      </c>
      <c r="D50" s="25">
        <v>0.50219999999999998</v>
      </c>
      <c r="E50" s="25">
        <v>0.54</v>
      </c>
      <c r="F50" s="25">
        <v>0.59399999999999997</v>
      </c>
      <c r="G50" s="25">
        <v>0.63180000000000003</v>
      </c>
      <c r="H50" s="25">
        <v>0.67500000000000004</v>
      </c>
      <c r="I50" s="25">
        <v>0.73440000000000005</v>
      </c>
      <c r="J50" s="25">
        <v>0.79379999999999995</v>
      </c>
      <c r="K50" s="25">
        <v>0.85319999999999996</v>
      </c>
      <c r="L50" s="25">
        <v>0.91800000000000004</v>
      </c>
      <c r="M50" s="25">
        <v>0.98280000000000001</v>
      </c>
      <c r="N50" s="25">
        <v>1.0476000000000001</v>
      </c>
      <c r="O50" s="25">
        <v>1.1124000000000001</v>
      </c>
      <c r="P50" s="25">
        <v>1.1772</v>
      </c>
      <c r="Q50" s="25">
        <v>1.242</v>
      </c>
      <c r="R50" s="5" t="s">
        <v>6</v>
      </c>
      <c r="S50" t="s">
        <v>127</v>
      </c>
    </row>
    <row r="51" spans="2:19" x14ac:dyDescent="0.25">
      <c r="B51" t="s">
        <v>13</v>
      </c>
      <c r="C51" s="25">
        <v>0.47299999999999998</v>
      </c>
      <c r="D51" s="25">
        <v>0.51149999999999995</v>
      </c>
      <c r="E51" s="25">
        <v>0.55000000000000004</v>
      </c>
      <c r="F51" s="25">
        <v>0.60499999999999998</v>
      </c>
      <c r="G51" s="25">
        <v>0.64349999999999996</v>
      </c>
      <c r="H51" s="25">
        <v>0.6875</v>
      </c>
      <c r="I51" s="25">
        <v>0.748</v>
      </c>
      <c r="J51" s="25">
        <v>0.8085</v>
      </c>
      <c r="K51" s="25">
        <v>0.86899999999999999</v>
      </c>
      <c r="L51" s="25">
        <v>0.93500000000000005</v>
      </c>
      <c r="M51" s="25">
        <v>1.0009999999999999</v>
      </c>
      <c r="N51" s="25">
        <v>1.0669999999999999</v>
      </c>
      <c r="O51" s="25">
        <v>1.133</v>
      </c>
      <c r="P51" s="25">
        <v>1.1990000000000001</v>
      </c>
      <c r="Q51" s="25">
        <v>1.2649999999999999</v>
      </c>
      <c r="R51" s="5" t="s">
        <v>6</v>
      </c>
      <c r="S51" t="s">
        <v>127</v>
      </c>
    </row>
    <row r="52" spans="2:19" x14ac:dyDescent="0.25">
      <c r="B52" t="s">
        <v>7</v>
      </c>
      <c r="C52" s="25">
        <v>0.59340000000000004</v>
      </c>
      <c r="D52" s="25">
        <v>0.64170000000000005</v>
      </c>
      <c r="E52" s="25">
        <v>0.69</v>
      </c>
      <c r="F52" s="25">
        <v>0.75900000000000001</v>
      </c>
      <c r="G52" s="25">
        <v>0.80730000000000002</v>
      </c>
      <c r="H52" s="25">
        <v>0.86250000000000004</v>
      </c>
      <c r="I52" s="25">
        <v>0.93840000000000001</v>
      </c>
      <c r="J52" s="25">
        <v>1.0143</v>
      </c>
      <c r="K52" s="25">
        <v>1.0902000000000001</v>
      </c>
      <c r="L52" s="25">
        <v>1.173</v>
      </c>
      <c r="M52" s="25">
        <v>1.2558</v>
      </c>
      <c r="N52" s="25">
        <v>1.3386</v>
      </c>
      <c r="O52" s="25">
        <v>1.4214</v>
      </c>
      <c r="P52" s="25">
        <v>1.5042</v>
      </c>
      <c r="Q52" s="25">
        <v>1.587</v>
      </c>
      <c r="R52" s="5" t="s">
        <v>6</v>
      </c>
      <c r="S52" t="s">
        <v>127</v>
      </c>
    </row>
    <row r="53" spans="2:19" x14ac:dyDescent="0.25">
      <c r="B53" t="s">
        <v>133</v>
      </c>
      <c r="C53" s="25">
        <v>0.43859999999999999</v>
      </c>
      <c r="D53" s="25">
        <v>0.4743</v>
      </c>
      <c r="E53" s="25">
        <v>0.51</v>
      </c>
      <c r="F53" s="25">
        <v>0.56100000000000005</v>
      </c>
      <c r="G53" s="25">
        <v>0.59670000000000001</v>
      </c>
      <c r="H53" s="25">
        <v>0.63749999999999996</v>
      </c>
      <c r="I53" s="25">
        <v>0.69359999999999999</v>
      </c>
      <c r="J53" s="25">
        <v>0.74970000000000003</v>
      </c>
      <c r="K53" s="25">
        <v>0.80579999999999996</v>
      </c>
      <c r="L53" s="25">
        <v>0.86699999999999999</v>
      </c>
      <c r="M53" s="25">
        <v>0.92820000000000003</v>
      </c>
      <c r="N53" s="25">
        <v>0.98939999999999995</v>
      </c>
      <c r="O53" s="25">
        <v>1.0506</v>
      </c>
      <c r="P53" s="25">
        <v>1.1117999999999999</v>
      </c>
      <c r="Q53" s="25">
        <v>1.173</v>
      </c>
      <c r="R53" s="5" t="s">
        <v>5</v>
      </c>
      <c r="S53" t="s">
        <v>127</v>
      </c>
    </row>
    <row r="54" spans="2:19" x14ac:dyDescent="0.25">
      <c r="B54" t="s">
        <v>134</v>
      </c>
      <c r="C54" s="25">
        <v>1.24</v>
      </c>
      <c r="D54" s="25">
        <v>1.333</v>
      </c>
      <c r="E54" s="25">
        <v>1.4259999999999999</v>
      </c>
      <c r="F54" s="25">
        <v>1.55</v>
      </c>
      <c r="G54" s="25">
        <v>1.643</v>
      </c>
      <c r="H54" s="25">
        <v>1.736</v>
      </c>
      <c r="I54" s="25">
        <v>1.86</v>
      </c>
      <c r="J54" s="25">
        <v>1.984</v>
      </c>
      <c r="K54" s="25">
        <v>2.1080000000000001</v>
      </c>
      <c r="L54" s="25">
        <v>2.2320000000000002</v>
      </c>
      <c r="M54" s="25">
        <v>2.3559999999999999</v>
      </c>
      <c r="N54" s="25">
        <v>2.48</v>
      </c>
      <c r="O54" s="25">
        <v>2.6349999999999998</v>
      </c>
      <c r="P54" s="25">
        <v>2.79</v>
      </c>
      <c r="Q54" s="25">
        <v>2.9449999999999998</v>
      </c>
      <c r="R54" s="5" t="s">
        <v>5</v>
      </c>
      <c r="S54" t="s">
        <v>127</v>
      </c>
    </row>
    <row r="55" spans="2:19" x14ac:dyDescent="0.25">
      <c r="B55" t="s">
        <v>155</v>
      </c>
      <c r="C55" s="25">
        <v>0.56830000000000003</v>
      </c>
      <c r="D55" s="25">
        <v>0.61450000000000005</v>
      </c>
      <c r="E55" s="25">
        <v>0.66080000000000005</v>
      </c>
      <c r="F55" s="25">
        <v>0.72689999999999999</v>
      </c>
      <c r="G55" s="25">
        <v>0.77310000000000001</v>
      </c>
      <c r="H55" s="25">
        <v>0.82599999999999996</v>
      </c>
      <c r="I55" s="25">
        <v>0.89870000000000005</v>
      </c>
      <c r="J55" s="25">
        <v>0.97140000000000004</v>
      </c>
      <c r="K55" s="25">
        <v>1.0441</v>
      </c>
      <c r="L55" s="25">
        <v>1.1234</v>
      </c>
      <c r="M55" s="25">
        <v>1.2027000000000001</v>
      </c>
      <c r="N55" s="25">
        <v>1.282</v>
      </c>
      <c r="O55" s="25">
        <v>1.3612</v>
      </c>
      <c r="P55" s="25">
        <v>1.4404999999999999</v>
      </c>
      <c r="Q55" s="25">
        <v>1.5198</v>
      </c>
      <c r="R55" s="5" t="s">
        <v>3</v>
      </c>
      <c r="S55" t="s">
        <v>127</v>
      </c>
    </row>
    <row r="56" spans="2:19" x14ac:dyDescent="0.25">
      <c r="B56" t="s">
        <v>135</v>
      </c>
      <c r="C56" s="25">
        <v>1.1363000000000001</v>
      </c>
      <c r="D56" s="25">
        <v>1.2287999999999999</v>
      </c>
      <c r="E56" s="25">
        <v>1.3212999999999999</v>
      </c>
      <c r="F56" s="25">
        <v>1.4535</v>
      </c>
      <c r="G56" s="25">
        <v>1.5459000000000001</v>
      </c>
      <c r="H56" s="25">
        <v>1.6516999999999999</v>
      </c>
      <c r="I56" s="25">
        <v>1.7969999999999999</v>
      </c>
      <c r="J56" s="25">
        <v>1.9422999999999999</v>
      </c>
      <c r="K56" s="25">
        <v>2.0876999999999999</v>
      </c>
      <c r="L56" s="25">
        <v>2.2462</v>
      </c>
      <c r="M56" s="25">
        <v>2.4047999999999998</v>
      </c>
      <c r="N56" s="25">
        <v>2.5634000000000001</v>
      </c>
      <c r="O56" s="25">
        <v>2.7219000000000002</v>
      </c>
      <c r="P56" s="25">
        <v>2.8805000000000001</v>
      </c>
      <c r="Q56" s="25">
        <v>3.0390000000000001</v>
      </c>
      <c r="R56" s="5" t="s">
        <v>3</v>
      </c>
      <c r="S56" t="s">
        <v>127</v>
      </c>
    </row>
    <row r="57" spans="2:19" ht="15" customHeight="1" x14ac:dyDescent="0.25">
      <c r="B57" t="s">
        <v>136</v>
      </c>
      <c r="C57" s="25">
        <v>1.4193</v>
      </c>
      <c r="D57" s="25">
        <v>1.5348999999999999</v>
      </c>
      <c r="E57" s="25">
        <v>1.6504000000000001</v>
      </c>
      <c r="F57" s="25">
        <v>1.8153999999999999</v>
      </c>
      <c r="G57" s="25">
        <v>1.931</v>
      </c>
      <c r="H57" s="25">
        <v>2.0630000000000002</v>
      </c>
      <c r="I57" s="25">
        <v>2.2444999999999999</v>
      </c>
      <c r="J57" s="25">
        <v>2.4260999999999999</v>
      </c>
      <c r="K57" s="25">
        <v>2.6076000000000001</v>
      </c>
      <c r="L57" s="25">
        <v>2.8056999999999999</v>
      </c>
      <c r="M57" s="25">
        <v>3.0036999999999998</v>
      </c>
      <c r="N57" s="25">
        <v>3.2018</v>
      </c>
      <c r="O57" s="25">
        <v>3.3997999999999999</v>
      </c>
      <c r="P57" s="25">
        <v>3.5979000000000001</v>
      </c>
      <c r="Q57" s="25">
        <v>3.7959000000000001</v>
      </c>
      <c r="R57" s="5" t="s">
        <v>3</v>
      </c>
      <c r="S57" t="s">
        <v>127</v>
      </c>
    </row>
    <row r="58" spans="2:19" x14ac:dyDescent="0.25">
      <c r="B58" t="s">
        <v>4</v>
      </c>
      <c r="C58" s="25">
        <v>1.232</v>
      </c>
      <c r="D58" s="25">
        <v>1.3244</v>
      </c>
      <c r="E58" s="25">
        <v>1.4168000000000001</v>
      </c>
      <c r="F58" s="25">
        <v>1.54</v>
      </c>
      <c r="G58" s="25">
        <v>1.6324000000000001</v>
      </c>
      <c r="H58" s="25">
        <v>1.7248000000000001</v>
      </c>
      <c r="I58" s="25">
        <v>1.8480000000000001</v>
      </c>
      <c r="J58" s="25">
        <v>1.9712000000000001</v>
      </c>
      <c r="K58" s="25">
        <v>2.0943999999999998</v>
      </c>
      <c r="L58" s="25">
        <v>2.2176</v>
      </c>
      <c r="M58" s="25">
        <v>2.3408000000000002</v>
      </c>
      <c r="N58" s="25">
        <v>2.464</v>
      </c>
      <c r="O58" s="25">
        <v>2.6179999999999999</v>
      </c>
      <c r="P58" s="25">
        <v>2.7719999999999998</v>
      </c>
      <c r="Q58" s="25">
        <v>2.9260000000000002</v>
      </c>
      <c r="R58" s="5" t="s">
        <v>19</v>
      </c>
      <c r="S58" t="s">
        <v>127</v>
      </c>
    </row>
    <row r="59" spans="2:19" x14ac:dyDescent="0.25">
      <c r="B59" t="s">
        <v>138</v>
      </c>
      <c r="C59" s="25">
        <v>0.28079999999999999</v>
      </c>
      <c r="D59" s="25">
        <v>0.3019</v>
      </c>
      <c r="E59" s="25">
        <v>0.32290000000000002</v>
      </c>
      <c r="F59" s="25">
        <v>0.35099999999999998</v>
      </c>
      <c r="G59" s="25">
        <v>0.37209999999999999</v>
      </c>
      <c r="H59" s="25">
        <v>0.3931</v>
      </c>
      <c r="I59" s="25">
        <v>0.42120000000000002</v>
      </c>
      <c r="J59" s="25">
        <v>0.44929999999999998</v>
      </c>
      <c r="K59" s="25">
        <v>0.47739999999999999</v>
      </c>
      <c r="L59" s="25">
        <v>0.50539999999999996</v>
      </c>
      <c r="M59" s="25">
        <v>0.53349999999999997</v>
      </c>
      <c r="N59" s="25">
        <v>0.56159999999999999</v>
      </c>
      <c r="O59" s="25">
        <v>0.59670000000000001</v>
      </c>
      <c r="P59" s="25">
        <v>0.63180000000000003</v>
      </c>
      <c r="Q59" s="25">
        <v>0.66690000000000005</v>
      </c>
      <c r="R59" s="5" t="s">
        <v>0</v>
      </c>
      <c r="S59" t="s">
        <v>127</v>
      </c>
    </row>
    <row r="60" spans="2:19" x14ac:dyDescent="0.25">
      <c r="B60" t="s">
        <v>139</v>
      </c>
      <c r="C60" s="25">
        <v>5.0544000000000002</v>
      </c>
      <c r="D60" s="25">
        <v>5.4335000000000004</v>
      </c>
      <c r="E60" s="25">
        <v>5.8125999999999998</v>
      </c>
      <c r="F60" s="25">
        <v>6.3179999999999996</v>
      </c>
      <c r="G60" s="25">
        <v>6.6970999999999998</v>
      </c>
      <c r="H60" s="25">
        <v>7.0762</v>
      </c>
      <c r="I60" s="25">
        <v>7.5815999999999999</v>
      </c>
      <c r="J60" s="25">
        <v>8.0869999999999997</v>
      </c>
      <c r="K60" s="25">
        <v>8.5924999999999994</v>
      </c>
      <c r="L60" s="25">
        <v>9.0978999999999992</v>
      </c>
      <c r="M60" s="25">
        <v>9.6034000000000006</v>
      </c>
      <c r="N60" s="25">
        <v>10.1088</v>
      </c>
      <c r="O60" s="25">
        <v>10.740600000000001</v>
      </c>
      <c r="P60" s="25">
        <v>11.372400000000001</v>
      </c>
      <c r="Q60" s="25">
        <v>12.004200000000001</v>
      </c>
      <c r="R60" s="5" t="s">
        <v>0</v>
      </c>
      <c r="S60" t="s">
        <v>127</v>
      </c>
    </row>
    <row r="61" spans="2:19" x14ac:dyDescent="0.25">
      <c r="B61" s="3" t="s">
        <v>771</v>
      </c>
      <c r="C61" s="23"/>
      <c r="D61" s="23"/>
      <c r="E61" s="23"/>
      <c r="F61" s="23"/>
      <c r="G61" s="23"/>
      <c r="H61" s="23"/>
      <c r="I61" s="23"/>
      <c r="J61" s="23"/>
      <c r="K61" s="23"/>
      <c r="L61" s="23"/>
      <c r="M61" s="23"/>
      <c r="N61" s="23"/>
      <c r="O61" s="23"/>
      <c r="P61" s="23"/>
      <c r="Q61" s="23"/>
      <c r="R61" s="5" t="s">
        <v>771</v>
      </c>
      <c r="S61" t="s">
        <v>772</v>
      </c>
    </row>
    <row r="62" spans="2:19" x14ac:dyDescent="0.25">
      <c r="B62" s="3" t="s">
        <v>390</v>
      </c>
      <c r="C62" s="23"/>
      <c r="D62" s="23"/>
      <c r="E62" s="23"/>
      <c r="F62" s="23"/>
      <c r="G62" s="23"/>
      <c r="H62" s="23"/>
      <c r="I62" s="23"/>
      <c r="J62" s="23"/>
      <c r="K62" s="23"/>
      <c r="L62" s="23"/>
      <c r="M62" s="23"/>
      <c r="N62" s="23"/>
      <c r="O62" s="23"/>
      <c r="P62" s="23"/>
      <c r="Q62" s="23"/>
      <c r="R62" s="5" t="s">
        <v>396</v>
      </c>
      <c r="S62" t="s">
        <v>69</v>
      </c>
    </row>
    <row r="63" spans="2:19" x14ac:dyDescent="0.25">
      <c r="B63" s="3" t="s">
        <v>392</v>
      </c>
      <c r="C63" s="23"/>
      <c r="D63" s="23"/>
      <c r="E63" s="23"/>
      <c r="F63" s="23"/>
      <c r="G63" s="23"/>
      <c r="H63" s="23"/>
      <c r="I63" s="23"/>
      <c r="J63" s="23"/>
      <c r="K63" s="23"/>
      <c r="L63" s="23"/>
      <c r="M63" s="23"/>
      <c r="N63" s="23"/>
      <c r="O63" s="23"/>
      <c r="P63" s="23"/>
      <c r="Q63" s="23"/>
      <c r="R63" s="5" t="s">
        <v>396</v>
      </c>
      <c r="S63" t="s">
        <v>69</v>
      </c>
    </row>
    <row r="64" spans="2:19" x14ac:dyDescent="0.25">
      <c r="B64" s="3" t="s">
        <v>393</v>
      </c>
      <c r="C64" s="23"/>
      <c r="D64" s="23"/>
      <c r="E64" s="23"/>
      <c r="F64" s="23"/>
      <c r="G64" s="23"/>
      <c r="H64" s="23"/>
      <c r="I64" s="23"/>
      <c r="J64" s="23"/>
      <c r="K64" s="23"/>
      <c r="L64" s="23"/>
      <c r="M64" s="23"/>
      <c r="N64" s="23"/>
      <c r="O64" s="23"/>
      <c r="P64" s="23"/>
      <c r="Q64" s="23"/>
      <c r="R64" s="5" t="s">
        <v>396</v>
      </c>
      <c r="S64" t="s">
        <v>69</v>
      </c>
    </row>
    <row r="65" spans="1:19" x14ac:dyDescent="0.25">
      <c r="B65" s="3" t="s">
        <v>389</v>
      </c>
      <c r="C65" s="23"/>
      <c r="D65" s="23"/>
      <c r="E65" s="23"/>
      <c r="F65" s="23"/>
      <c r="G65" s="23"/>
      <c r="H65" s="23"/>
      <c r="I65" s="23"/>
      <c r="J65" s="23"/>
      <c r="K65" s="23"/>
      <c r="L65" s="23"/>
      <c r="M65" s="23"/>
      <c r="N65" s="23"/>
      <c r="O65" s="23"/>
      <c r="P65" s="23"/>
      <c r="Q65" s="23"/>
      <c r="R65" s="5" t="s">
        <v>396</v>
      </c>
      <c r="S65" t="s">
        <v>69</v>
      </c>
    </row>
    <row r="66" spans="1:19" x14ac:dyDescent="0.25">
      <c r="B66" s="3" t="s">
        <v>391</v>
      </c>
      <c r="C66" s="23"/>
      <c r="D66" s="23"/>
      <c r="E66" s="23"/>
      <c r="F66" s="23"/>
      <c r="G66" s="23"/>
      <c r="H66" s="23"/>
      <c r="I66" s="23"/>
      <c r="J66" s="23"/>
      <c r="K66" s="23"/>
      <c r="L66" s="23"/>
      <c r="M66" s="23"/>
      <c r="N66" s="23"/>
      <c r="O66" s="23"/>
      <c r="P66" s="23"/>
      <c r="Q66" s="23"/>
      <c r="R66" s="5" t="s">
        <v>396</v>
      </c>
      <c r="S66" t="s">
        <v>69</v>
      </c>
    </row>
    <row r="67" spans="1:19" x14ac:dyDescent="0.25">
      <c r="B67" s="3" t="s">
        <v>394</v>
      </c>
      <c r="C67" s="23"/>
      <c r="D67" s="23"/>
      <c r="E67" s="23"/>
      <c r="F67" s="23"/>
      <c r="G67" s="23"/>
      <c r="H67" s="23"/>
      <c r="I67" s="23"/>
      <c r="J67" s="23"/>
      <c r="K67" s="23"/>
      <c r="L67" s="23"/>
      <c r="M67" s="23"/>
      <c r="N67" s="23"/>
      <c r="O67" s="23"/>
      <c r="P67" s="23"/>
      <c r="Q67" s="23"/>
      <c r="R67" s="5" t="s">
        <v>396</v>
      </c>
      <c r="S67" t="s">
        <v>69</v>
      </c>
    </row>
    <row r="68" spans="1:19" x14ac:dyDescent="0.25">
      <c r="B68" s="3" t="s">
        <v>395</v>
      </c>
      <c r="C68" s="23"/>
      <c r="D68" s="23"/>
      <c r="E68" s="23"/>
      <c r="F68" s="23"/>
      <c r="G68" s="23"/>
      <c r="H68" s="23"/>
      <c r="I68" s="23"/>
      <c r="J68" s="23"/>
      <c r="K68" s="23"/>
      <c r="L68" s="23"/>
      <c r="M68" s="23"/>
      <c r="N68" s="23"/>
      <c r="O68" s="23"/>
      <c r="P68" s="23"/>
      <c r="Q68" s="23"/>
      <c r="R68" s="5" t="s">
        <v>396</v>
      </c>
      <c r="S68" t="s">
        <v>69</v>
      </c>
    </row>
    <row r="69" spans="1:19" x14ac:dyDescent="0.25">
      <c r="A69" t="s">
        <v>832</v>
      </c>
      <c r="B69" s="3" t="s">
        <v>397</v>
      </c>
      <c r="C69" s="23"/>
      <c r="D69" s="23"/>
      <c r="E69" s="23"/>
      <c r="F69" s="23"/>
      <c r="G69" s="23"/>
      <c r="H69" s="23"/>
      <c r="I69" s="23"/>
      <c r="J69" s="23"/>
      <c r="K69" s="23"/>
      <c r="L69" s="23"/>
      <c r="M69" s="23"/>
      <c r="N69" s="23"/>
      <c r="O69" s="23"/>
      <c r="P69" s="23"/>
      <c r="Q69" s="23"/>
      <c r="R69" s="5" t="s">
        <v>396</v>
      </c>
      <c r="S69" t="s">
        <v>69</v>
      </c>
    </row>
    <row r="70" spans="1:19" x14ac:dyDescent="0.25">
      <c r="B70" t="s">
        <v>431</v>
      </c>
      <c r="C70" s="28">
        <v>1</v>
      </c>
      <c r="D70" s="28">
        <v>2</v>
      </c>
      <c r="E70" s="28">
        <v>3</v>
      </c>
      <c r="F70" s="28">
        <v>4</v>
      </c>
      <c r="G70" s="28">
        <v>5</v>
      </c>
      <c r="H70" s="28">
        <v>6</v>
      </c>
      <c r="I70" s="28">
        <v>7</v>
      </c>
      <c r="J70" s="28">
        <v>8</v>
      </c>
      <c r="K70" s="28">
        <v>9</v>
      </c>
      <c r="L70" s="28">
        <v>10</v>
      </c>
      <c r="M70" s="28">
        <v>11</v>
      </c>
      <c r="N70" s="28">
        <v>12</v>
      </c>
      <c r="O70" s="28">
        <v>13</v>
      </c>
      <c r="P70" s="28">
        <v>14</v>
      </c>
      <c r="Q70" s="28">
        <v>15</v>
      </c>
      <c r="R70" s="5" t="s">
        <v>11</v>
      </c>
      <c r="S70" t="s">
        <v>126</v>
      </c>
    </row>
    <row r="71" spans="1:19" x14ac:dyDescent="0.25">
      <c r="A71" t="s">
        <v>833</v>
      </c>
      <c r="B71" t="s">
        <v>10</v>
      </c>
      <c r="C71" s="2">
        <v>0.4446</v>
      </c>
      <c r="D71" s="2">
        <v>0.48080000000000001</v>
      </c>
      <c r="E71" s="2">
        <v>0.51700000000000002</v>
      </c>
      <c r="F71" s="2">
        <v>0.56869999999999998</v>
      </c>
      <c r="G71" s="2">
        <v>0.60489999999999999</v>
      </c>
      <c r="H71" s="2">
        <v>0.64629999999999999</v>
      </c>
      <c r="I71" s="2">
        <v>0.70309999999999995</v>
      </c>
      <c r="J71" s="2">
        <v>0.76</v>
      </c>
      <c r="K71" s="2">
        <v>0.81689999999999996</v>
      </c>
      <c r="L71" s="2">
        <v>0.87890000000000001</v>
      </c>
      <c r="M71" s="2">
        <v>0.94089999999999996</v>
      </c>
      <c r="N71" s="2">
        <v>1.0029999999999999</v>
      </c>
      <c r="O71" s="2">
        <v>1.0649999999999999</v>
      </c>
      <c r="P71" s="2">
        <v>1.1271</v>
      </c>
      <c r="Q71" s="2">
        <v>1.1891</v>
      </c>
      <c r="R71" s="5" t="s">
        <v>6</v>
      </c>
      <c r="S71" t="s">
        <v>127</v>
      </c>
    </row>
    <row r="72" spans="1:19" x14ac:dyDescent="0.25">
      <c r="B72" t="s">
        <v>9</v>
      </c>
      <c r="C72" s="2">
        <v>0.43430000000000002</v>
      </c>
      <c r="D72" s="2">
        <v>0.46970000000000001</v>
      </c>
      <c r="E72" s="2">
        <v>0.505</v>
      </c>
      <c r="F72" s="2">
        <v>0.55549999999999999</v>
      </c>
      <c r="G72" s="2">
        <v>0.59089999999999998</v>
      </c>
      <c r="H72" s="2">
        <v>0.63129999999999997</v>
      </c>
      <c r="I72" s="2">
        <v>0.68679999999999997</v>
      </c>
      <c r="J72" s="2">
        <v>0.74229999999999996</v>
      </c>
      <c r="K72" s="2">
        <v>0.79790000000000005</v>
      </c>
      <c r="L72" s="2">
        <v>0.85850000000000004</v>
      </c>
      <c r="M72" s="2">
        <v>0.91910000000000003</v>
      </c>
      <c r="N72" s="2">
        <v>0.97970000000000002</v>
      </c>
      <c r="O72" s="2">
        <v>1.0403</v>
      </c>
      <c r="P72" s="2">
        <v>1.1009</v>
      </c>
      <c r="Q72" s="2">
        <v>1.1615</v>
      </c>
      <c r="R72" s="5" t="s">
        <v>6</v>
      </c>
      <c r="S72" t="s">
        <v>127</v>
      </c>
    </row>
    <row r="73" spans="1:19" x14ac:dyDescent="0.25">
      <c r="B73" t="s">
        <v>8</v>
      </c>
      <c r="C73" s="2">
        <v>0.52980000000000005</v>
      </c>
      <c r="D73" s="2">
        <v>0.57289999999999996</v>
      </c>
      <c r="E73" s="2">
        <v>0.61599999999999999</v>
      </c>
      <c r="F73" s="2">
        <v>0.67759999999999998</v>
      </c>
      <c r="G73" s="2">
        <v>0.72070000000000001</v>
      </c>
      <c r="H73" s="2">
        <v>0.77</v>
      </c>
      <c r="I73" s="2">
        <v>0.83779999999999999</v>
      </c>
      <c r="J73" s="2">
        <v>0.90549999999999997</v>
      </c>
      <c r="K73" s="2">
        <v>0.97330000000000005</v>
      </c>
      <c r="L73" s="2">
        <v>1.0471999999999999</v>
      </c>
      <c r="M73" s="2">
        <v>1.1211</v>
      </c>
      <c r="N73" s="2">
        <v>1.1950000000000001</v>
      </c>
      <c r="O73" s="2">
        <v>1.2689999999999999</v>
      </c>
      <c r="P73" s="2">
        <v>1.3429</v>
      </c>
      <c r="Q73" s="2">
        <v>1.4168000000000001</v>
      </c>
      <c r="R73" s="5" t="s">
        <v>6</v>
      </c>
      <c r="S73" t="s">
        <v>127</v>
      </c>
    </row>
    <row r="74" spans="1:19" x14ac:dyDescent="0.25">
      <c r="B74" t="s">
        <v>13</v>
      </c>
      <c r="C74" s="2">
        <v>0.58309999999999995</v>
      </c>
      <c r="D74" s="2">
        <v>0.63049999999999995</v>
      </c>
      <c r="E74" s="2">
        <v>0.67800000000000005</v>
      </c>
      <c r="F74" s="2">
        <v>0.74580000000000002</v>
      </c>
      <c r="G74" s="2">
        <v>0.79330000000000001</v>
      </c>
      <c r="H74" s="2">
        <v>0.84750000000000003</v>
      </c>
      <c r="I74" s="2">
        <v>0.92210000000000003</v>
      </c>
      <c r="J74" s="2">
        <v>0.99670000000000003</v>
      </c>
      <c r="K74" s="2">
        <v>1.0711999999999999</v>
      </c>
      <c r="L74" s="2">
        <v>1.1526000000000001</v>
      </c>
      <c r="M74" s="2">
        <v>1.234</v>
      </c>
      <c r="N74" s="2">
        <v>1.3152999999999999</v>
      </c>
      <c r="O74" s="2">
        <v>1.3967000000000001</v>
      </c>
      <c r="P74" s="2">
        <v>1.478</v>
      </c>
      <c r="Q74" s="2">
        <v>1.5593999999999999</v>
      </c>
      <c r="R74" s="5" t="s">
        <v>6</v>
      </c>
      <c r="S74" t="s">
        <v>127</v>
      </c>
    </row>
    <row r="75" spans="1:19" x14ac:dyDescent="0.25">
      <c r="B75" t="s">
        <v>7</v>
      </c>
      <c r="C75" s="2">
        <v>0.70779999999999998</v>
      </c>
      <c r="D75" s="2">
        <v>0.76539999999999997</v>
      </c>
      <c r="E75" s="2">
        <v>0.82299999999999995</v>
      </c>
      <c r="F75" s="2">
        <v>0.90529999999999999</v>
      </c>
      <c r="G75" s="2">
        <v>0.96289999999999998</v>
      </c>
      <c r="H75" s="2">
        <v>1.0287999999999999</v>
      </c>
      <c r="I75" s="2">
        <v>1.1193</v>
      </c>
      <c r="J75" s="2">
        <v>1.2098</v>
      </c>
      <c r="K75" s="2">
        <v>1.3003</v>
      </c>
      <c r="L75" s="2">
        <v>1.3991</v>
      </c>
      <c r="M75" s="2">
        <v>1.4979</v>
      </c>
      <c r="N75" s="2">
        <v>1.5966</v>
      </c>
      <c r="O75" s="2">
        <v>1.6954</v>
      </c>
      <c r="P75" s="2">
        <v>1.7941</v>
      </c>
      <c r="Q75" s="2">
        <v>1.8929</v>
      </c>
      <c r="R75" s="5" t="s">
        <v>6</v>
      </c>
      <c r="S75" t="s">
        <v>127</v>
      </c>
    </row>
    <row r="76" spans="1:19" x14ac:dyDescent="0.25">
      <c r="B76" t="s">
        <v>140</v>
      </c>
      <c r="C76" s="2">
        <v>0.55900000000000005</v>
      </c>
      <c r="D76" s="2">
        <v>0.60450000000000004</v>
      </c>
      <c r="E76" s="2">
        <v>0.65</v>
      </c>
      <c r="F76" s="2">
        <v>0.71499999999999997</v>
      </c>
      <c r="G76" s="2">
        <v>0.76049999999999995</v>
      </c>
      <c r="H76" s="2">
        <v>0.8125</v>
      </c>
      <c r="I76" s="2">
        <v>0.88400000000000001</v>
      </c>
      <c r="J76" s="2">
        <v>0.95550000000000002</v>
      </c>
      <c r="K76" s="2">
        <v>1.0269999999999999</v>
      </c>
      <c r="L76" s="2">
        <v>1.105</v>
      </c>
      <c r="M76" s="2">
        <v>1.1830000000000001</v>
      </c>
      <c r="N76" s="2">
        <v>1.2609999999999999</v>
      </c>
      <c r="O76" s="2">
        <v>1.339</v>
      </c>
      <c r="P76" s="2">
        <v>1.417</v>
      </c>
      <c r="Q76" s="2">
        <v>1.4950000000000001</v>
      </c>
      <c r="R76" s="5" t="s">
        <v>5</v>
      </c>
      <c r="S76" t="s">
        <v>127</v>
      </c>
    </row>
    <row r="77" spans="1:19" x14ac:dyDescent="0.25">
      <c r="B77" t="s">
        <v>141</v>
      </c>
      <c r="C77" s="2">
        <v>0.60719999999999996</v>
      </c>
      <c r="D77" s="2">
        <v>0.65659999999999996</v>
      </c>
      <c r="E77" s="2">
        <v>0.70599999999999996</v>
      </c>
      <c r="F77" s="2">
        <v>0.77659999999999996</v>
      </c>
      <c r="G77" s="2">
        <v>0.82599999999999996</v>
      </c>
      <c r="H77" s="2">
        <v>0.88249999999999995</v>
      </c>
      <c r="I77" s="2">
        <v>0.96020000000000005</v>
      </c>
      <c r="J77" s="2">
        <v>1.0378000000000001</v>
      </c>
      <c r="K77" s="2">
        <v>1.1154999999999999</v>
      </c>
      <c r="L77" s="2">
        <v>1.2001999999999999</v>
      </c>
      <c r="M77" s="2">
        <v>1.2848999999999999</v>
      </c>
      <c r="N77" s="2">
        <v>1.3695999999999999</v>
      </c>
      <c r="O77" s="2">
        <v>1.4543999999999999</v>
      </c>
      <c r="P77" s="2">
        <v>1.5390999999999999</v>
      </c>
      <c r="Q77" s="2">
        <v>1.6237999999999999</v>
      </c>
      <c r="R77" s="5" t="s">
        <v>5</v>
      </c>
      <c r="S77" t="s">
        <v>127</v>
      </c>
    </row>
    <row r="78" spans="1:19" x14ac:dyDescent="0.25">
      <c r="B78" t="s">
        <v>155</v>
      </c>
      <c r="C78" s="2">
        <v>0.63929999999999998</v>
      </c>
      <c r="D78" s="2">
        <v>0.69140000000000001</v>
      </c>
      <c r="E78" s="2">
        <v>0.74339999999999995</v>
      </c>
      <c r="F78" s="2">
        <v>0.81769999999999998</v>
      </c>
      <c r="G78" s="2">
        <v>0.86980000000000002</v>
      </c>
      <c r="H78" s="2">
        <v>0.92930000000000001</v>
      </c>
      <c r="I78" s="2">
        <v>1.0109999999999999</v>
      </c>
      <c r="J78" s="2">
        <v>1.0928</v>
      </c>
      <c r="K78" s="2">
        <v>1.1746000000000001</v>
      </c>
      <c r="L78" s="2">
        <v>1.2638</v>
      </c>
      <c r="M78" s="2">
        <v>1.353</v>
      </c>
      <c r="N78" s="2">
        <v>1.4421999999999999</v>
      </c>
      <c r="O78" s="2">
        <v>1.5314000000000001</v>
      </c>
      <c r="P78" s="2">
        <v>1.6206</v>
      </c>
      <c r="Q78" s="2">
        <v>1.7098</v>
      </c>
      <c r="R78" s="5" t="s">
        <v>3</v>
      </c>
      <c r="S78" t="s">
        <v>127</v>
      </c>
    </row>
    <row r="79" spans="1:19" x14ac:dyDescent="0.25">
      <c r="B79" t="s">
        <v>135</v>
      </c>
      <c r="C79" s="2">
        <v>1.2784</v>
      </c>
      <c r="D79" s="2">
        <v>1.3824000000000001</v>
      </c>
      <c r="E79" s="2">
        <v>1.4864999999999999</v>
      </c>
      <c r="F79" s="2">
        <v>1.6351</v>
      </c>
      <c r="G79" s="2">
        <v>1.7392000000000001</v>
      </c>
      <c r="H79" s="2">
        <v>1.8581000000000001</v>
      </c>
      <c r="I79" s="2">
        <v>2.0215999999999998</v>
      </c>
      <c r="J79" s="2">
        <v>2.1850999999999998</v>
      </c>
      <c r="K79" s="2">
        <v>2.3485999999999998</v>
      </c>
      <c r="L79" s="2">
        <v>2.5270000000000001</v>
      </c>
      <c r="M79" s="2">
        <v>2.7054</v>
      </c>
      <c r="N79" s="2">
        <v>2.8837999999999999</v>
      </c>
      <c r="O79" s="2">
        <v>3.0621999999999998</v>
      </c>
      <c r="P79" s="2">
        <v>3.2404999999999999</v>
      </c>
      <c r="Q79" s="2">
        <v>3.4188999999999998</v>
      </c>
      <c r="R79" s="5" t="s">
        <v>3</v>
      </c>
      <c r="S79" t="s">
        <v>127</v>
      </c>
    </row>
    <row r="80" spans="1:19" x14ac:dyDescent="0.25">
      <c r="B80" t="s">
        <v>136</v>
      </c>
      <c r="C80" s="2">
        <v>1.5968</v>
      </c>
      <c r="D80" s="2">
        <v>1.7266999999999999</v>
      </c>
      <c r="E80" s="2">
        <v>1.8567</v>
      </c>
      <c r="F80" s="2">
        <v>2.0424000000000002</v>
      </c>
      <c r="G80" s="2">
        <v>2.1722999999999999</v>
      </c>
      <c r="H80" s="2">
        <v>2.3209</v>
      </c>
      <c r="I80" s="2">
        <v>2.5251000000000001</v>
      </c>
      <c r="J80" s="2">
        <v>2.7292999999999998</v>
      </c>
      <c r="K80" s="2">
        <v>2.9336000000000002</v>
      </c>
      <c r="L80" s="2">
        <v>3.1564000000000001</v>
      </c>
      <c r="M80" s="2">
        <v>3.3792</v>
      </c>
      <c r="N80" s="2">
        <v>3.6019999999999999</v>
      </c>
      <c r="O80" s="2">
        <v>3.8248000000000002</v>
      </c>
      <c r="P80" s="2">
        <v>4.0476000000000001</v>
      </c>
      <c r="Q80" s="2">
        <v>4.2704000000000004</v>
      </c>
      <c r="R80" s="5" t="s">
        <v>3</v>
      </c>
      <c r="S80" t="s">
        <v>127</v>
      </c>
    </row>
    <row r="81" spans="2:19" x14ac:dyDescent="0.25">
      <c r="B81" t="s">
        <v>142</v>
      </c>
      <c r="C81" s="2">
        <v>0.12</v>
      </c>
      <c r="D81" s="2">
        <v>0.129</v>
      </c>
      <c r="E81" s="2">
        <v>0.13800000000000001</v>
      </c>
      <c r="F81" s="2">
        <v>0.15</v>
      </c>
      <c r="G81" s="2">
        <v>0.159</v>
      </c>
      <c r="H81" s="2">
        <v>0.16800000000000001</v>
      </c>
      <c r="I81" s="2">
        <v>0.18</v>
      </c>
      <c r="J81" s="2">
        <v>0.192</v>
      </c>
      <c r="K81" s="2">
        <v>0.20399999999999999</v>
      </c>
      <c r="L81" s="2">
        <v>0.216</v>
      </c>
      <c r="M81" s="2">
        <v>0.22800000000000001</v>
      </c>
      <c r="N81" s="2">
        <v>0.24</v>
      </c>
      <c r="O81" s="2">
        <v>0.255</v>
      </c>
      <c r="P81" s="2">
        <v>0.27</v>
      </c>
      <c r="Q81" s="2">
        <v>0.28499999999999998</v>
      </c>
      <c r="R81" s="5" t="s">
        <v>19</v>
      </c>
      <c r="S81" t="s">
        <v>127</v>
      </c>
    </row>
    <row r="82" spans="2:19" x14ac:dyDescent="0.25">
      <c r="B82" t="s">
        <v>143</v>
      </c>
      <c r="C82" s="2">
        <v>0.16800000000000001</v>
      </c>
      <c r="D82" s="2">
        <v>0.18060000000000001</v>
      </c>
      <c r="E82" s="2">
        <v>0.19320000000000001</v>
      </c>
      <c r="F82" s="2">
        <v>0.21</v>
      </c>
      <c r="G82" s="2">
        <v>0.22259999999999999</v>
      </c>
      <c r="H82" s="2">
        <v>0.23519999999999999</v>
      </c>
      <c r="I82" s="2">
        <v>0.252</v>
      </c>
      <c r="J82" s="2">
        <v>0.26879999999999998</v>
      </c>
      <c r="K82" s="2">
        <v>0.28560000000000002</v>
      </c>
      <c r="L82" s="2">
        <v>0.3024</v>
      </c>
      <c r="M82" s="2">
        <v>0.31919999999999998</v>
      </c>
      <c r="N82" s="2">
        <v>0.33600000000000002</v>
      </c>
      <c r="O82" s="2">
        <v>0.35699999999999998</v>
      </c>
      <c r="P82" s="2">
        <v>0.378</v>
      </c>
      <c r="Q82" s="2">
        <v>0.39900000000000002</v>
      </c>
      <c r="R82" s="5" t="s">
        <v>19</v>
      </c>
      <c r="S82" t="s">
        <v>127</v>
      </c>
    </row>
    <row r="83" spans="2:19" x14ac:dyDescent="0.25">
      <c r="B83" t="s">
        <v>146</v>
      </c>
      <c r="C83" s="2">
        <f>0.3*C81</f>
        <v>3.5999999999999997E-2</v>
      </c>
      <c r="D83" s="2">
        <f t="shared" ref="D83:Q83" si="0">0.3*D81</f>
        <v>3.8699999999999998E-2</v>
      </c>
      <c r="E83" s="2">
        <f t="shared" si="0"/>
        <v>4.1399999999999999E-2</v>
      </c>
      <c r="F83" s="2">
        <f t="shared" si="0"/>
        <v>4.4999999999999998E-2</v>
      </c>
      <c r="G83" s="2">
        <f t="shared" si="0"/>
        <v>4.7699999999999999E-2</v>
      </c>
      <c r="H83" s="2">
        <f t="shared" si="0"/>
        <v>5.04E-2</v>
      </c>
      <c r="I83" s="2">
        <f t="shared" si="0"/>
        <v>5.3999999999999999E-2</v>
      </c>
      <c r="J83" s="2">
        <f t="shared" si="0"/>
        <v>5.7599999999999998E-2</v>
      </c>
      <c r="K83" s="2">
        <f t="shared" si="0"/>
        <v>6.1199999999999991E-2</v>
      </c>
      <c r="L83" s="2">
        <f t="shared" si="0"/>
        <v>6.4799999999999996E-2</v>
      </c>
      <c r="M83" s="2">
        <f t="shared" si="0"/>
        <v>6.8400000000000002E-2</v>
      </c>
      <c r="N83" s="2">
        <f t="shared" si="0"/>
        <v>7.1999999999999995E-2</v>
      </c>
      <c r="O83" s="2">
        <f t="shared" si="0"/>
        <v>7.6499999999999999E-2</v>
      </c>
      <c r="P83" s="2">
        <f t="shared" si="0"/>
        <v>8.1000000000000003E-2</v>
      </c>
      <c r="Q83" s="2">
        <f t="shared" si="0"/>
        <v>8.5499999999999993E-2</v>
      </c>
      <c r="R83" s="5" t="s">
        <v>23</v>
      </c>
      <c r="S83" t="s">
        <v>127</v>
      </c>
    </row>
    <row r="84" spans="2:19" x14ac:dyDescent="0.25">
      <c r="B84" t="s">
        <v>147</v>
      </c>
      <c r="C84" s="2">
        <f>0.3*C82</f>
        <v>5.04E-2</v>
      </c>
      <c r="D84" s="2">
        <f t="shared" ref="D84:Q84" si="1">0.3*D82</f>
        <v>5.4179999999999999E-2</v>
      </c>
      <c r="E84" s="2">
        <f t="shared" si="1"/>
        <v>5.7959999999999998E-2</v>
      </c>
      <c r="F84" s="2">
        <f t="shared" si="1"/>
        <v>6.3E-2</v>
      </c>
      <c r="G84" s="2">
        <f t="shared" si="1"/>
        <v>6.6779999999999992E-2</v>
      </c>
      <c r="H84" s="2">
        <f t="shared" si="1"/>
        <v>7.0559999999999998E-2</v>
      </c>
      <c r="I84" s="2">
        <f t="shared" si="1"/>
        <v>7.5600000000000001E-2</v>
      </c>
      <c r="J84" s="2">
        <f t="shared" si="1"/>
        <v>8.0639999999999989E-2</v>
      </c>
      <c r="K84" s="2">
        <f t="shared" si="1"/>
        <v>8.5680000000000006E-2</v>
      </c>
      <c r="L84" s="2">
        <f t="shared" si="1"/>
        <v>9.0719999999999995E-2</v>
      </c>
      <c r="M84" s="2">
        <f t="shared" si="1"/>
        <v>9.5759999999999998E-2</v>
      </c>
      <c r="N84" s="2">
        <f t="shared" si="1"/>
        <v>0.1008</v>
      </c>
      <c r="O84" s="2">
        <f t="shared" si="1"/>
        <v>0.10709999999999999</v>
      </c>
      <c r="P84" s="2">
        <f t="shared" si="1"/>
        <v>0.1134</v>
      </c>
      <c r="Q84" s="2">
        <f t="shared" si="1"/>
        <v>0.1197</v>
      </c>
      <c r="R84" s="5" t="s">
        <v>23</v>
      </c>
      <c r="S84" t="s">
        <v>127</v>
      </c>
    </row>
    <row r="85" spans="2:19" x14ac:dyDescent="0.25">
      <c r="B85" t="s">
        <v>144</v>
      </c>
      <c r="C85" s="2">
        <v>1.76</v>
      </c>
      <c r="D85" s="2">
        <v>1.8919999999999999</v>
      </c>
      <c r="E85" s="2">
        <v>2.024</v>
      </c>
      <c r="F85" s="2">
        <v>2.2000000000000002</v>
      </c>
      <c r="G85" s="2">
        <v>2.3319999999999999</v>
      </c>
      <c r="H85" s="2">
        <v>2.464</v>
      </c>
      <c r="I85" s="2">
        <v>2.64</v>
      </c>
      <c r="J85" s="2">
        <v>2.8159999999999998</v>
      </c>
      <c r="K85" s="2">
        <v>2.992</v>
      </c>
      <c r="L85" s="2">
        <v>3.1680000000000001</v>
      </c>
      <c r="M85" s="2">
        <v>3.3439999999999999</v>
      </c>
      <c r="N85" s="2">
        <v>3.52</v>
      </c>
      <c r="O85" s="2">
        <v>3.74</v>
      </c>
      <c r="P85" s="2">
        <v>3.96</v>
      </c>
      <c r="Q85" s="2">
        <v>4.18</v>
      </c>
      <c r="R85" s="5" t="s">
        <v>19</v>
      </c>
      <c r="S85" t="s">
        <v>127</v>
      </c>
    </row>
    <row r="86" spans="2:19" x14ac:dyDescent="0.25">
      <c r="B86" t="s">
        <v>145</v>
      </c>
      <c r="C86" s="2">
        <v>1.92</v>
      </c>
      <c r="D86" s="2">
        <v>2.0640000000000001</v>
      </c>
      <c r="E86" s="2">
        <v>2.2080000000000002</v>
      </c>
      <c r="F86" s="2">
        <v>2.4</v>
      </c>
      <c r="G86" s="2">
        <v>2.544</v>
      </c>
      <c r="H86" s="2">
        <v>2.6880000000000002</v>
      </c>
      <c r="I86" s="2">
        <v>2.88</v>
      </c>
      <c r="J86" s="2">
        <v>3.0720000000000001</v>
      </c>
      <c r="K86" s="2">
        <v>3.2639999999999998</v>
      </c>
      <c r="L86" s="2">
        <v>3.456</v>
      </c>
      <c r="M86" s="2">
        <v>3.6480000000000001</v>
      </c>
      <c r="N86" s="2">
        <v>3.84</v>
      </c>
      <c r="O86" s="2">
        <v>4.08</v>
      </c>
      <c r="P86" s="2">
        <v>4.32</v>
      </c>
      <c r="Q86" s="2">
        <v>4.5599999999999996</v>
      </c>
      <c r="R86" s="5" t="s">
        <v>19</v>
      </c>
      <c r="S86" t="s">
        <v>127</v>
      </c>
    </row>
    <row r="87" spans="2:19" x14ac:dyDescent="0.25">
      <c r="B87" t="s">
        <v>148</v>
      </c>
      <c r="C87" s="2">
        <f>0.3*C85</f>
        <v>0.52800000000000002</v>
      </c>
      <c r="D87" s="2">
        <f t="shared" ref="D87:Q87" si="2">0.3*D85</f>
        <v>0.56759999999999999</v>
      </c>
      <c r="E87" s="2">
        <f t="shared" si="2"/>
        <v>0.60719999999999996</v>
      </c>
      <c r="F87" s="2">
        <f t="shared" si="2"/>
        <v>0.66</v>
      </c>
      <c r="G87" s="2">
        <f t="shared" si="2"/>
        <v>0.69959999999999989</v>
      </c>
      <c r="H87" s="2">
        <f t="shared" si="2"/>
        <v>0.73919999999999997</v>
      </c>
      <c r="I87" s="2">
        <f t="shared" si="2"/>
        <v>0.79200000000000004</v>
      </c>
      <c r="J87" s="2">
        <f t="shared" si="2"/>
        <v>0.84479999999999988</v>
      </c>
      <c r="K87" s="2">
        <f t="shared" si="2"/>
        <v>0.89759999999999995</v>
      </c>
      <c r="L87" s="2">
        <f t="shared" si="2"/>
        <v>0.95040000000000002</v>
      </c>
      <c r="M87" s="2">
        <f t="shared" si="2"/>
        <v>1.0031999999999999</v>
      </c>
      <c r="N87" s="2">
        <f t="shared" si="2"/>
        <v>1.056</v>
      </c>
      <c r="O87" s="2">
        <f t="shared" si="2"/>
        <v>1.1220000000000001</v>
      </c>
      <c r="P87" s="2">
        <f t="shared" si="2"/>
        <v>1.1879999999999999</v>
      </c>
      <c r="Q87" s="2">
        <f t="shared" si="2"/>
        <v>1.2539999999999998</v>
      </c>
      <c r="R87" s="5" t="s">
        <v>23</v>
      </c>
      <c r="S87" t="s">
        <v>127</v>
      </c>
    </row>
    <row r="88" spans="2:19" x14ac:dyDescent="0.25">
      <c r="B88" t="s">
        <v>149</v>
      </c>
      <c r="C88" s="2">
        <f>0.3*C86</f>
        <v>0.57599999999999996</v>
      </c>
      <c r="D88" s="2">
        <f t="shared" ref="D88:Q88" si="3">0.3*D86</f>
        <v>0.61919999999999997</v>
      </c>
      <c r="E88" s="2">
        <f t="shared" si="3"/>
        <v>0.66239999999999999</v>
      </c>
      <c r="F88" s="2">
        <f t="shared" si="3"/>
        <v>0.72</v>
      </c>
      <c r="G88" s="2">
        <f t="shared" si="3"/>
        <v>0.76319999999999999</v>
      </c>
      <c r="H88" s="2">
        <f t="shared" si="3"/>
        <v>0.80640000000000001</v>
      </c>
      <c r="I88" s="2">
        <f t="shared" si="3"/>
        <v>0.86399999999999999</v>
      </c>
      <c r="J88" s="2">
        <f t="shared" si="3"/>
        <v>0.92159999999999997</v>
      </c>
      <c r="K88" s="2">
        <f t="shared" si="3"/>
        <v>0.97919999999999985</v>
      </c>
      <c r="L88" s="2">
        <f t="shared" si="3"/>
        <v>1.0367999999999999</v>
      </c>
      <c r="M88" s="2">
        <f t="shared" si="3"/>
        <v>1.0944</v>
      </c>
      <c r="N88" s="2">
        <f t="shared" si="3"/>
        <v>1.1519999999999999</v>
      </c>
      <c r="O88" s="2">
        <f t="shared" si="3"/>
        <v>1.224</v>
      </c>
      <c r="P88" s="2">
        <f t="shared" si="3"/>
        <v>1.296</v>
      </c>
      <c r="Q88" s="2">
        <f t="shared" si="3"/>
        <v>1.3679999999999999</v>
      </c>
      <c r="R88" s="5" t="s">
        <v>23</v>
      </c>
      <c r="S88" t="s">
        <v>127</v>
      </c>
    </row>
    <row r="89" spans="2:19" x14ac:dyDescent="0.25">
      <c r="B89" t="s">
        <v>152</v>
      </c>
      <c r="C89" s="2">
        <v>0.80800000000000005</v>
      </c>
      <c r="D89" s="2">
        <v>0.86860000000000004</v>
      </c>
      <c r="E89" s="2">
        <v>0.92920000000000003</v>
      </c>
      <c r="F89" s="2">
        <v>1.01</v>
      </c>
      <c r="G89" s="2">
        <v>1.0706</v>
      </c>
      <c r="H89" s="2">
        <v>1.1312</v>
      </c>
      <c r="I89" s="2">
        <v>1.212</v>
      </c>
      <c r="J89" s="2">
        <v>1.2927999999999999</v>
      </c>
      <c r="K89" s="2">
        <v>1.3735999999999999</v>
      </c>
      <c r="L89" s="2">
        <v>1.4543999999999999</v>
      </c>
      <c r="M89" s="2">
        <v>1.5351999999999999</v>
      </c>
      <c r="N89" s="2">
        <v>1.6160000000000001</v>
      </c>
      <c r="O89" s="2">
        <v>1.7170000000000001</v>
      </c>
      <c r="P89" s="2">
        <v>1.8180000000000001</v>
      </c>
      <c r="Q89" s="2">
        <v>1.919</v>
      </c>
      <c r="R89" s="5" t="s">
        <v>0</v>
      </c>
      <c r="S89" t="s">
        <v>127</v>
      </c>
    </row>
    <row r="90" spans="2:19" x14ac:dyDescent="0.25">
      <c r="B90" t="s">
        <v>153</v>
      </c>
      <c r="C90" s="2">
        <v>0.248</v>
      </c>
      <c r="D90" s="2">
        <v>0.2666</v>
      </c>
      <c r="E90" s="2">
        <v>0.28520000000000001</v>
      </c>
      <c r="F90" s="2">
        <v>0.31</v>
      </c>
      <c r="G90" s="2">
        <v>0.3286</v>
      </c>
      <c r="H90" s="2">
        <v>0.34720000000000001</v>
      </c>
      <c r="I90" s="2">
        <v>0.372</v>
      </c>
      <c r="J90" s="2">
        <v>0.39679999999999999</v>
      </c>
      <c r="K90" s="2">
        <v>0.42159999999999997</v>
      </c>
      <c r="L90" s="2">
        <v>0.44640000000000002</v>
      </c>
      <c r="M90" s="2">
        <v>0.47120000000000001</v>
      </c>
      <c r="N90" s="2">
        <v>0.496</v>
      </c>
      <c r="O90" s="2">
        <v>0.52700000000000002</v>
      </c>
      <c r="P90" s="2">
        <v>0.55800000000000005</v>
      </c>
      <c r="Q90" s="2">
        <v>0.58899999999999997</v>
      </c>
      <c r="R90" s="5" t="s">
        <v>24</v>
      </c>
      <c r="S90" t="s">
        <v>127</v>
      </c>
    </row>
    <row r="91" spans="2:19" x14ac:dyDescent="0.25">
      <c r="B91" s="3" t="s">
        <v>771</v>
      </c>
      <c r="C91" s="23"/>
      <c r="D91" s="23"/>
      <c r="E91" s="23"/>
      <c r="F91" s="23"/>
      <c r="G91" s="23"/>
      <c r="H91" s="23"/>
      <c r="I91" s="23"/>
      <c r="J91" s="23"/>
      <c r="K91" s="23"/>
      <c r="L91" s="23"/>
      <c r="M91" s="23"/>
      <c r="N91" s="23"/>
      <c r="O91" s="23"/>
      <c r="P91" s="23"/>
      <c r="Q91" s="23"/>
      <c r="R91" s="5" t="s">
        <v>771</v>
      </c>
      <c r="S91" t="s">
        <v>772</v>
      </c>
    </row>
    <row r="92" spans="2:19" x14ac:dyDescent="0.25">
      <c r="B92" s="3" t="s">
        <v>390</v>
      </c>
      <c r="C92" s="23"/>
      <c r="D92" s="23"/>
      <c r="E92" s="23"/>
      <c r="F92" s="23"/>
      <c r="G92" s="23"/>
      <c r="H92" s="23"/>
      <c r="I92" s="23"/>
      <c r="J92" s="23"/>
      <c r="K92" s="23"/>
      <c r="L92" s="23"/>
      <c r="M92" s="23"/>
      <c r="N92" s="23"/>
      <c r="O92" s="23"/>
      <c r="P92" s="23"/>
      <c r="Q92" s="23"/>
      <c r="R92" s="5" t="s">
        <v>396</v>
      </c>
      <c r="S92" t="s">
        <v>69</v>
      </c>
    </row>
    <row r="93" spans="2:19" x14ac:dyDescent="0.25">
      <c r="B93" s="3" t="s">
        <v>392</v>
      </c>
      <c r="C93" s="23"/>
      <c r="D93" s="23"/>
      <c r="E93" s="23"/>
      <c r="F93" s="23"/>
      <c r="G93" s="23"/>
      <c r="H93" s="23"/>
      <c r="I93" s="23"/>
      <c r="J93" s="23"/>
      <c r="K93" s="23"/>
      <c r="L93" s="23"/>
      <c r="M93" s="23"/>
      <c r="N93" s="23"/>
      <c r="O93" s="23"/>
      <c r="P93" s="23"/>
      <c r="Q93" s="23"/>
      <c r="R93" s="5" t="s">
        <v>396</v>
      </c>
      <c r="S93" t="s">
        <v>69</v>
      </c>
    </row>
    <row r="94" spans="2:19" x14ac:dyDescent="0.25">
      <c r="B94" s="3" t="s">
        <v>393</v>
      </c>
      <c r="C94" s="23"/>
      <c r="D94" s="23"/>
      <c r="E94" s="23"/>
      <c r="F94" s="23"/>
      <c r="G94" s="23"/>
      <c r="H94" s="23"/>
      <c r="I94" s="23"/>
      <c r="J94" s="23"/>
      <c r="K94" s="23"/>
      <c r="L94" s="23"/>
      <c r="M94" s="23"/>
      <c r="N94" s="23"/>
      <c r="O94" s="23"/>
      <c r="P94" s="23"/>
      <c r="Q94" s="23"/>
      <c r="R94" s="5" t="s">
        <v>396</v>
      </c>
      <c r="S94" t="s">
        <v>69</v>
      </c>
    </row>
    <row r="95" spans="2:19" x14ac:dyDescent="0.25">
      <c r="B95" s="3" t="s">
        <v>389</v>
      </c>
      <c r="C95" s="23"/>
      <c r="D95" s="23"/>
      <c r="E95" s="23"/>
      <c r="F95" s="23"/>
      <c r="G95" s="23"/>
      <c r="H95" s="23"/>
      <c r="I95" s="23"/>
      <c r="J95" s="23"/>
      <c r="K95" s="23"/>
      <c r="L95" s="23"/>
      <c r="M95" s="23"/>
      <c r="N95" s="23"/>
      <c r="O95" s="23"/>
      <c r="P95" s="23"/>
      <c r="Q95" s="23"/>
      <c r="R95" s="5" t="s">
        <v>396</v>
      </c>
      <c r="S95" t="s">
        <v>69</v>
      </c>
    </row>
    <row r="96" spans="2:19" x14ac:dyDescent="0.25">
      <c r="B96" s="3" t="s">
        <v>391</v>
      </c>
      <c r="C96" s="23"/>
      <c r="D96" s="23"/>
      <c r="E96" s="23"/>
      <c r="F96" s="23"/>
      <c r="G96" s="23"/>
      <c r="H96" s="23"/>
      <c r="I96" s="23"/>
      <c r="J96" s="23"/>
      <c r="K96" s="23"/>
      <c r="L96" s="23"/>
      <c r="M96" s="23"/>
      <c r="N96" s="23"/>
      <c r="O96" s="23"/>
      <c r="P96" s="23"/>
      <c r="Q96" s="23"/>
      <c r="R96" s="5" t="s">
        <v>396</v>
      </c>
      <c r="S96" t="s">
        <v>69</v>
      </c>
    </row>
    <row r="97" spans="1:20" x14ac:dyDescent="0.25">
      <c r="B97" s="3" t="s">
        <v>394</v>
      </c>
      <c r="C97" s="23"/>
      <c r="D97" s="23"/>
      <c r="E97" s="23"/>
      <c r="F97" s="23"/>
      <c r="G97" s="23"/>
      <c r="H97" s="23"/>
      <c r="I97" s="23"/>
      <c r="J97" s="23"/>
      <c r="K97" s="23"/>
      <c r="L97" s="23"/>
      <c r="M97" s="23"/>
      <c r="N97" s="23"/>
      <c r="O97" s="23"/>
      <c r="P97" s="23"/>
      <c r="Q97" s="23"/>
      <c r="R97" s="5" t="s">
        <v>396</v>
      </c>
      <c r="S97" t="s">
        <v>69</v>
      </c>
    </row>
    <row r="98" spans="1:20" x14ac:dyDescent="0.25">
      <c r="B98" s="3" t="s">
        <v>395</v>
      </c>
      <c r="C98" s="23"/>
      <c r="D98" s="23"/>
      <c r="E98" s="23"/>
      <c r="F98" s="23"/>
      <c r="G98" s="23"/>
      <c r="H98" s="23"/>
      <c r="I98" s="23"/>
      <c r="J98" s="23"/>
      <c r="K98" s="23"/>
      <c r="L98" s="23"/>
      <c r="M98" s="23"/>
      <c r="N98" s="23"/>
      <c r="O98" s="23"/>
      <c r="P98" s="23"/>
      <c r="Q98" s="23"/>
      <c r="R98" s="5" t="s">
        <v>396</v>
      </c>
      <c r="S98" t="s">
        <v>69</v>
      </c>
    </row>
    <row r="99" spans="1:20" x14ac:dyDescent="0.25">
      <c r="A99" t="s">
        <v>834</v>
      </c>
      <c r="B99" s="3" t="s">
        <v>397</v>
      </c>
      <c r="C99" s="23"/>
      <c r="D99" s="23"/>
      <c r="E99" s="23"/>
      <c r="F99" s="23"/>
      <c r="G99" s="23"/>
      <c r="H99" s="23"/>
      <c r="I99" s="23"/>
      <c r="J99" s="23"/>
      <c r="K99" s="23"/>
      <c r="L99" s="23"/>
      <c r="M99" s="23"/>
      <c r="N99" s="23"/>
      <c r="O99" s="23"/>
      <c r="P99" s="23"/>
      <c r="Q99" s="23"/>
      <c r="R99" s="5" t="s">
        <v>396</v>
      </c>
      <c r="S99" t="s">
        <v>69</v>
      </c>
    </row>
    <row r="100" spans="1:20" x14ac:dyDescent="0.25">
      <c r="B100" t="s">
        <v>154</v>
      </c>
      <c r="C100" s="21">
        <v>1</v>
      </c>
      <c r="D100" s="21">
        <v>2</v>
      </c>
      <c r="E100" s="21">
        <v>3</v>
      </c>
      <c r="F100" s="21">
        <v>4</v>
      </c>
      <c r="G100" s="21">
        <v>5</v>
      </c>
      <c r="H100" s="21">
        <v>6</v>
      </c>
      <c r="I100" s="21">
        <v>7</v>
      </c>
      <c r="J100" s="21">
        <v>8</v>
      </c>
      <c r="K100" s="21">
        <v>9</v>
      </c>
      <c r="L100" s="21">
        <v>10</v>
      </c>
      <c r="M100" s="21">
        <v>11</v>
      </c>
      <c r="N100" s="21">
        <v>12</v>
      </c>
      <c r="O100" s="21">
        <v>13</v>
      </c>
      <c r="P100" s="21">
        <v>14</v>
      </c>
      <c r="Q100" s="21">
        <v>15</v>
      </c>
      <c r="R100" s="5" t="s">
        <v>11</v>
      </c>
      <c r="S100" t="s">
        <v>126</v>
      </c>
    </row>
    <row r="101" spans="1:20" x14ac:dyDescent="0.25">
      <c r="A101" t="s">
        <v>835</v>
      </c>
      <c r="B101" t="s">
        <v>10</v>
      </c>
      <c r="C101" s="2">
        <v>0.37840000000000001</v>
      </c>
      <c r="D101" s="2">
        <v>0.40679999999999999</v>
      </c>
      <c r="E101" s="2">
        <v>0.43519999999999998</v>
      </c>
      <c r="F101" s="2">
        <v>0.47299999999999998</v>
      </c>
      <c r="G101" s="2">
        <v>0.50139999999999996</v>
      </c>
      <c r="H101" s="2">
        <v>0.52980000000000005</v>
      </c>
      <c r="I101" s="2">
        <v>0.56759999999999999</v>
      </c>
      <c r="J101" s="2">
        <v>0.60540000000000005</v>
      </c>
      <c r="K101" s="2">
        <v>0.64329999999999998</v>
      </c>
      <c r="L101" s="2">
        <v>0.68110000000000004</v>
      </c>
      <c r="M101" s="2">
        <v>0.72050000000000003</v>
      </c>
      <c r="N101" s="2">
        <v>0.77190000000000003</v>
      </c>
      <c r="O101" s="2">
        <v>0.82340000000000002</v>
      </c>
      <c r="P101" s="2">
        <v>0.87490000000000001</v>
      </c>
      <c r="Q101" s="2">
        <v>0.92630000000000001</v>
      </c>
      <c r="R101" s="5" t="s">
        <v>6</v>
      </c>
      <c r="S101" t="s">
        <v>127</v>
      </c>
    </row>
    <row r="102" spans="1:20" x14ac:dyDescent="0.25">
      <c r="B102" t="s">
        <v>9</v>
      </c>
      <c r="C102" s="2">
        <v>0.35520000000000002</v>
      </c>
      <c r="D102" s="2">
        <v>0.38179999999999997</v>
      </c>
      <c r="E102" s="2">
        <v>0.40849999999999997</v>
      </c>
      <c r="F102" s="2">
        <v>0.44400000000000001</v>
      </c>
      <c r="G102" s="2">
        <v>0.47060000000000002</v>
      </c>
      <c r="H102" s="2">
        <v>0.49730000000000002</v>
      </c>
      <c r="I102" s="2">
        <v>0.53280000000000005</v>
      </c>
      <c r="J102" s="2">
        <v>0.56830000000000003</v>
      </c>
      <c r="K102" s="2">
        <v>0.6038</v>
      </c>
      <c r="L102" s="2">
        <v>0.63939999999999997</v>
      </c>
      <c r="M102" s="2">
        <v>0.67630000000000001</v>
      </c>
      <c r="N102" s="2">
        <v>0.72460000000000002</v>
      </c>
      <c r="O102" s="2">
        <v>0.77290000000000003</v>
      </c>
      <c r="P102" s="2">
        <v>0.82120000000000004</v>
      </c>
      <c r="Q102" s="2">
        <v>0.86950000000000005</v>
      </c>
      <c r="R102" s="5" t="s">
        <v>6</v>
      </c>
      <c r="S102" t="s">
        <v>127</v>
      </c>
    </row>
    <row r="103" spans="1:20" x14ac:dyDescent="0.25">
      <c r="B103" t="s">
        <v>8</v>
      </c>
      <c r="C103" s="2">
        <v>0.41039999999999999</v>
      </c>
      <c r="D103" s="2">
        <v>0.44119999999999998</v>
      </c>
      <c r="E103" s="2">
        <v>0.47199999999999998</v>
      </c>
      <c r="F103" s="2">
        <v>0.51300000000000001</v>
      </c>
      <c r="G103" s="2">
        <v>0.54379999999999995</v>
      </c>
      <c r="H103" s="2">
        <v>0.5746</v>
      </c>
      <c r="I103" s="2">
        <v>0.61560000000000004</v>
      </c>
      <c r="J103" s="2">
        <v>0.65659999999999996</v>
      </c>
      <c r="K103" s="2">
        <v>0.69769999999999999</v>
      </c>
      <c r="L103" s="2">
        <v>0.73870000000000002</v>
      </c>
      <c r="M103" s="2">
        <v>0.78139999999999998</v>
      </c>
      <c r="N103" s="2">
        <v>0.83720000000000006</v>
      </c>
      <c r="O103" s="2">
        <v>0.89300000000000002</v>
      </c>
      <c r="P103" s="2">
        <v>0.94879999999999998</v>
      </c>
      <c r="Q103" s="2">
        <v>1.0046999999999999</v>
      </c>
      <c r="R103" s="5" t="s">
        <v>6</v>
      </c>
      <c r="S103" t="s">
        <v>127</v>
      </c>
    </row>
    <row r="104" spans="1:20" x14ac:dyDescent="0.25">
      <c r="B104" t="s">
        <v>13</v>
      </c>
      <c r="C104" s="2">
        <v>0.55200000000000005</v>
      </c>
      <c r="D104" s="2">
        <v>0.59340000000000004</v>
      </c>
      <c r="E104" s="2">
        <v>0.63480000000000003</v>
      </c>
      <c r="F104" s="2">
        <v>0.69</v>
      </c>
      <c r="G104" s="2">
        <v>0.73140000000000005</v>
      </c>
      <c r="H104" s="2">
        <v>0.77280000000000004</v>
      </c>
      <c r="I104" s="2">
        <v>0.82799999999999996</v>
      </c>
      <c r="J104" s="2">
        <v>0.88319999999999999</v>
      </c>
      <c r="K104" s="2">
        <v>0.93840000000000001</v>
      </c>
      <c r="L104" s="2">
        <v>0.99360000000000004</v>
      </c>
      <c r="M104" s="2">
        <v>1.0509999999999999</v>
      </c>
      <c r="N104" s="2">
        <v>1.1261000000000001</v>
      </c>
      <c r="O104" s="2">
        <v>1.2012</v>
      </c>
      <c r="P104" s="2">
        <v>1.2762</v>
      </c>
      <c r="Q104" s="2">
        <v>1.3512999999999999</v>
      </c>
      <c r="R104" s="5" t="s">
        <v>6</v>
      </c>
      <c r="S104" t="s">
        <v>127</v>
      </c>
    </row>
    <row r="105" spans="1:20" x14ac:dyDescent="0.25">
      <c r="B105" t="s">
        <v>14</v>
      </c>
      <c r="C105" s="2">
        <v>1.6624000000000001</v>
      </c>
      <c r="D105" s="2">
        <v>1.7870999999999999</v>
      </c>
      <c r="E105" s="2">
        <v>1.9117999999999999</v>
      </c>
      <c r="F105" s="2">
        <v>2.0779999999999998</v>
      </c>
      <c r="G105" s="2">
        <v>2.2027000000000001</v>
      </c>
      <c r="H105" s="2">
        <v>2.3273999999999999</v>
      </c>
      <c r="I105" s="2">
        <v>2.4935999999999998</v>
      </c>
      <c r="J105" s="2">
        <v>2.6598000000000002</v>
      </c>
      <c r="K105" s="2">
        <v>2.8260999999999998</v>
      </c>
      <c r="L105" s="2">
        <v>2.9923000000000002</v>
      </c>
      <c r="M105" s="2">
        <v>3.1652</v>
      </c>
      <c r="N105" s="2">
        <v>3.3913000000000002</v>
      </c>
      <c r="O105" s="2">
        <v>3.6173999999999999</v>
      </c>
      <c r="P105" s="2">
        <v>3.8435000000000001</v>
      </c>
      <c r="Q105" s="2">
        <v>4.0696000000000003</v>
      </c>
      <c r="R105" s="5" t="s">
        <v>5</v>
      </c>
      <c r="S105" t="s">
        <v>127</v>
      </c>
    </row>
    <row r="106" spans="1:20" x14ac:dyDescent="0.25">
      <c r="B106" t="s">
        <v>155</v>
      </c>
      <c r="C106" s="2">
        <v>0.56830000000000003</v>
      </c>
      <c r="D106" s="2">
        <v>0.61450000000000005</v>
      </c>
      <c r="E106" s="2">
        <v>0.66080000000000005</v>
      </c>
      <c r="F106" s="2">
        <v>0.72689999999999999</v>
      </c>
      <c r="G106" s="2">
        <v>0.77310000000000001</v>
      </c>
      <c r="H106" s="2">
        <v>0.82599999999999996</v>
      </c>
      <c r="I106" s="2">
        <v>0.89870000000000005</v>
      </c>
      <c r="J106" s="2">
        <v>0.97140000000000004</v>
      </c>
      <c r="K106" s="2">
        <v>1.0441</v>
      </c>
      <c r="L106" s="2">
        <v>1.1234</v>
      </c>
      <c r="M106" s="2">
        <v>1.2027000000000001</v>
      </c>
      <c r="N106" s="2">
        <v>1.282</v>
      </c>
      <c r="O106" s="2">
        <v>1.3612</v>
      </c>
      <c r="P106" s="2">
        <v>1.4404999999999999</v>
      </c>
      <c r="Q106" s="2">
        <v>1.5198</v>
      </c>
      <c r="R106" s="5" t="s">
        <v>3</v>
      </c>
      <c r="S106" t="s">
        <v>127</v>
      </c>
    </row>
    <row r="107" spans="1:20" x14ac:dyDescent="0.25">
      <c r="B107" t="s">
        <v>135</v>
      </c>
      <c r="C107" s="2">
        <v>1.1363000000000001</v>
      </c>
      <c r="D107" s="2">
        <v>1.2287999999999999</v>
      </c>
      <c r="E107" s="2">
        <v>1.3212999999999999</v>
      </c>
      <c r="F107" s="2">
        <v>1.4535</v>
      </c>
      <c r="G107" s="2">
        <v>1.5459000000000001</v>
      </c>
      <c r="H107" s="2">
        <v>1.6516999999999999</v>
      </c>
      <c r="I107" s="2">
        <v>1.7969999999999999</v>
      </c>
      <c r="J107" s="2">
        <v>1.9422999999999999</v>
      </c>
      <c r="K107" s="2">
        <v>2.0876999999999999</v>
      </c>
      <c r="L107" s="2">
        <v>2.2462</v>
      </c>
      <c r="M107" s="2">
        <v>2.4047999999999998</v>
      </c>
      <c r="N107" s="2">
        <v>2.5634000000000001</v>
      </c>
      <c r="O107" s="2">
        <v>2.7219000000000002</v>
      </c>
      <c r="P107" s="2">
        <v>2.8805000000000001</v>
      </c>
      <c r="Q107" s="2">
        <v>3.0390000000000001</v>
      </c>
      <c r="R107" s="5" t="s">
        <v>3</v>
      </c>
      <c r="S107" t="s">
        <v>127</v>
      </c>
    </row>
    <row r="108" spans="1:20" x14ac:dyDescent="0.25">
      <c r="B108" t="s">
        <v>136</v>
      </c>
      <c r="C108" s="2">
        <v>1.4193</v>
      </c>
      <c r="D108" s="2">
        <v>1.5348999999999999</v>
      </c>
      <c r="E108" s="2">
        <v>1.6504000000000001</v>
      </c>
      <c r="F108" s="2">
        <v>1.8153999999999999</v>
      </c>
      <c r="G108" s="2">
        <v>1.931</v>
      </c>
      <c r="H108" s="2">
        <v>2.0630000000000002</v>
      </c>
      <c r="I108" s="2">
        <v>2.2444999999999999</v>
      </c>
      <c r="J108" s="2">
        <v>2.4260999999999999</v>
      </c>
      <c r="K108" s="2">
        <v>2.6076000000000001</v>
      </c>
      <c r="L108" s="2">
        <v>2.8056999999999999</v>
      </c>
      <c r="M108" s="2">
        <v>3.0036999999999998</v>
      </c>
      <c r="N108" s="2">
        <v>3.2018</v>
      </c>
      <c r="O108" s="2">
        <v>3.3997999999999999</v>
      </c>
      <c r="P108" s="2">
        <v>3.5979000000000001</v>
      </c>
      <c r="Q108" s="2">
        <v>3.7959000000000001</v>
      </c>
      <c r="R108" s="5" t="s">
        <v>3</v>
      </c>
      <c r="S108" t="s">
        <v>127</v>
      </c>
    </row>
    <row r="109" spans="1:20" x14ac:dyDescent="0.25">
      <c r="B109" t="s">
        <v>919</v>
      </c>
      <c r="C109" s="2">
        <v>7.4999999999999997E-3</v>
      </c>
      <c r="D109" s="2">
        <v>8.0999999999999996E-3</v>
      </c>
      <c r="E109" s="2">
        <v>8.6E-3</v>
      </c>
      <c r="F109" s="2">
        <v>9.4000000000000004E-3</v>
      </c>
      <c r="G109" s="2">
        <v>9.9000000000000008E-3</v>
      </c>
      <c r="H109" s="2">
        <v>1.0500000000000001E-2</v>
      </c>
      <c r="I109" s="2">
        <v>1.1299999999999999E-2</v>
      </c>
      <c r="J109" s="2">
        <v>1.2E-2</v>
      </c>
      <c r="K109" s="2">
        <v>1.2699999999999999E-2</v>
      </c>
      <c r="L109" s="2">
        <v>1.35E-2</v>
      </c>
      <c r="M109" s="2">
        <v>1.43E-2</v>
      </c>
      <c r="N109" s="2">
        <v>1.4999999999999999E-2</v>
      </c>
      <c r="O109" s="2">
        <v>1.5900000000000001E-2</v>
      </c>
      <c r="P109" s="2">
        <v>1.6899999999999998E-2</v>
      </c>
      <c r="Q109" s="2">
        <v>1.78E-2</v>
      </c>
      <c r="R109" s="5" t="s">
        <v>19</v>
      </c>
      <c r="S109" t="s">
        <v>226</v>
      </c>
      <c r="T109" t="s">
        <v>955</v>
      </c>
    </row>
    <row r="110" spans="1:20" x14ac:dyDescent="0.25">
      <c r="B110" t="s">
        <v>920</v>
      </c>
      <c r="C110">
        <v>72</v>
      </c>
      <c r="D110">
        <v>79</v>
      </c>
      <c r="E110">
        <v>87</v>
      </c>
      <c r="F110">
        <v>96</v>
      </c>
      <c r="G110">
        <v>105</v>
      </c>
      <c r="H110">
        <v>114</v>
      </c>
      <c r="I110">
        <v>125</v>
      </c>
      <c r="J110">
        <v>135</v>
      </c>
      <c r="K110">
        <v>147</v>
      </c>
      <c r="L110">
        <v>159</v>
      </c>
      <c r="M110">
        <v>172</v>
      </c>
      <c r="N110">
        <v>185</v>
      </c>
      <c r="O110">
        <v>199</v>
      </c>
      <c r="P110">
        <v>213</v>
      </c>
      <c r="Q110">
        <v>228</v>
      </c>
      <c r="R110" s="5" t="s">
        <v>19</v>
      </c>
      <c r="S110" t="s">
        <v>226</v>
      </c>
      <c r="T110" t="s">
        <v>956</v>
      </c>
    </row>
    <row r="111" spans="1:20" x14ac:dyDescent="0.25">
      <c r="B111" t="s">
        <v>924</v>
      </c>
      <c r="C111" s="2">
        <v>0.04</v>
      </c>
      <c r="D111" s="2">
        <v>4.2999999999999997E-2</v>
      </c>
      <c r="E111" s="2">
        <v>4.5999999999999999E-2</v>
      </c>
      <c r="F111" s="2">
        <v>0.05</v>
      </c>
      <c r="G111" s="2">
        <v>5.2999999999999999E-2</v>
      </c>
      <c r="H111" s="2">
        <v>5.6000000000000001E-2</v>
      </c>
      <c r="I111" s="2">
        <v>0.06</v>
      </c>
      <c r="J111" s="2">
        <v>6.4000000000000001E-2</v>
      </c>
      <c r="K111" s="2">
        <v>6.8000000000000005E-2</v>
      </c>
      <c r="L111" s="2">
        <v>7.1999999999999995E-2</v>
      </c>
      <c r="M111" s="2">
        <v>7.5999999999999998E-2</v>
      </c>
      <c r="N111" s="2">
        <v>0.08</v>
      </c>
      <c r="O111" s="2">
        <v>8.5000000000000006E-2</v>
      </c>
      <c r="P111" s="2">
        <v>0.09</v>
      </c>
      <c r="Q111" s="2">
        <v>9.5000000000000001E-2</v>
      </c>
      <c r="R111" s="5" t="s">
        <v>19</v>
      </c>
      <c r="S111" t="s">
        <v>226</v>
      </c>
      <c r="T111" t="s">
        <v>955</v>
      </c>
    </row>
    <row r="112" spans="1:20" x14ac:dyDescent="0.25">
      <c r="B112" t="s">
        <v>921</v>
      </c>
      <c r="C112">
        <v>385</v>
      </c>
      <c r="D112">
        <v>424</v>
      </c>
      <c r="E112">
        <v>465</v>
      </c>
      <c r="F112">
        <v>510</v>
      </c>
      <c r="G112">
        <v>559</v>
      </c>
      <c r="H112">
        <v>610</v>
      </c>
      <c r="I112">
        <v>664</v>
      </c>
      <c r="J112">
        <v>722</v>
      </c>
      <c r="K112">
        <v>783</v>
      </c>
      <c r="L112">
        <v>847</v>
      </c>
      <c r="M112">
        <v>915</v>
      </c>
      <c r="N112">
        <v>986</v>
      </c>
      <c r="O112">
        <v>1059</v>
      </c>
      <c r="P112">
        <v>1136</v>
      </c>
      <c r="Q112">
        <v>1217</v>
      </c>
      <c r="R112" s="5" t="s">
        <v>19</v>
      </c>
      <c r="S112" t="s">
        <v>226</v>
      </c>
      <c r="T112" t="s">
        <v>956</v>
      </c>
    </row>
    <row r="113" spans="1:20" x14ac:dyDescent="0.25">
      <c r="B113" t="s">
        <v>918</v>
      </c>
      <c r="C113" s="2">
        <v>0.17599999999999999</v>
      </c>
      <c r="D113" s="2">
        <v>0.18920000000000001</v>
      </c>
      <c r="E113" s="2">
        <v>0.2024</v>
      </c>
      <c r="F113" s="2">
        <v>0.22</v>
      </c>
      <c r="G113" s="2">
        <v>0.23319999999999999</v>
      </c>
      <c r="H113" s="2">
        <v>0.24640000000000001</v>
      </c>
      <c r="I113" s="2">
        <v>0.26400000000000001</v>
      </c>
      <c r="J113" s="2">
        <v>0.28160000000000002</v>
      </c>
      <c r="K113" s="2">
        <v>0.29920000000000002</v>
      </c>
      <c r="L113" s="2">
        <v>0.31680000000000003</v>
      </c>
      <c r="M113" s="2">
        <v>0.33439999999999998</v>
      </c>
      <c r="N113" s="2">
        <v>0.35199999999999998</v>
      </c>
      <c r="O113" s="2">
        <v>0.374</v>
      </c>
      <c r="P113" s="2">
        <v>0.39600000000000002</v>
      </c>
      <c r="Q113" s="2">
        <v>0.41799999999999998</v>
      </c>
      <c r="R113" t="s">
        <v>0</v>
      </c>
      <c r="S113" t="s">
        <v>226</v>
      </c>
      <c r="T113" t="s">
        <v>955</v>
      </c>
    </row>
    <row r="114" spans="1:20" x14ac:dyDescent="0.25">
      <c r="B114" t="s">
        <v>917</v>
      </c>
      <c r="C114">
        <v>1694</v>
      </c>
      <c r="D114">
        <v>1864</v>
      </c>
      <c r="E114">
        <v>2047</v>
      </c>
      <c r="F114">
        <v>2245</v>
      </c>
      <c r="G114">
        <v>2457</v>
      </c>
      <c r="H114">
        <v>2683</v>
      </c>
      <c r="I114">
        <v>2923</v>
      </c>
      <c r="J114">
        <v>3177</v>
      </c>
      <c r="K114">
        <v>3445</v>
      </c>
      <c r="L114">
        <v>3728</v>
      </c>
      <c r="M114">
        <v>4024</v>
      </c>
      <c r="N114">
        <v>4335</v>
      </c>
      <c r="O114">
        <v>4660</v>
      </c>
      <c r="P114">
        <v>4999</v>
      </c>
      <c r="Q114">
        <v>5352</v>
      </c>
      <c r="R114" t="s">
        <v>0</v>
      </c>
      <c r="S114" t="s">
        <v>226</v>
      </c>
      <c r="T114" t="s">
        <v>956</v>
      </c>
    </row>
    <row r="115" spans="1:20" x14ac:dyDescent="0.25">
      <c r="B115" t="s">
        <v>156</v>
      </c>
      <c r="C115" s="2">
        <v>0.58399999999999996</v>
      </c>
      <c r="D115" s="2">
        <v>0.62780000000000002</v>
      </c>
      <c r="E115" s="2">
        <v>0.67159999999999997</v>
      </c>
      <c r="F115" s="2">
        <v>0.73</v>
      </c>
      <c r="G115" s="2">
        <v>0.77380000000000004</v>
      </c>
      <c r="H115" s="2">
        <v>0.81759999999999999</v>
      </c>
      <c r="I115" s="2">
        <v>0.876</v>
      </c>
      <c r="J115" s="2">
        <v>0.93440000000000001</v>
      </c>
      <c r="K115" s="2">
        <v>0.99280000000000002</v>
      </c>
      <c r="L115" s="2">
        <v>1.0511999999999999</v>
      </c>
      <c r="M115" s="2">
        <v>1.1095999999999999</v>
      </c>
      <c r="N115" s="2">
        <v>1.1679999999999999</v>
      </c>
      <c r="O115" s="2">
        <v>1.2410000000000001</v>
      </c>
      <c r="P115" s="2">
        <v>1.3140000000000001</v>
      </c>
      <c r="Q115" s="2">
        <v>1.387</v>
      </c>
      <c r="R115" s="5" t="s">
        <v>19</v>
      </c>
      <c r="S115" t="s">
        <v>127</v>
      </c>
    </row>
    <row r="116" spans="1:20" x14ac:dyDescent="0.25">
      <c r="B116" s="3" t="s">
        <v>771</v>
      </c>
      <c r="C116" s="23"/>
      <c r="D116" s="23"/>
      <c r="E116" s="23"/>
      <c r="F116" s="23"/>
      <c r="G116" s="23"/>
      <c r="H116" s="23"/>
      <c r="I116" s="23"/>
      <c r="J116" s="23"/>
      <c r="K116" s="23"/>
      <c r="L116" s="23"/>
      <c r="M116" s="23"/>
      <c r="N116" s="23"/>
      <c r="O116" s="23"/>
      <c r="P116" s="23"/>
      <c r="Q116" s="23"/>
      <c r="R116" s="5" t="s">
        <v>771</v>
      </c>
      <c r="S116" t="s">
        <v>772</v>
      </c>
    </row>
    <row r="117" spans="1:20" x14ac:dyDescent="0.25">
      <c r="B117" s="3" t="s">
        <v>390</v>
      </c>
      <c r="C117" s="23"/>
      <c r="D117" s="23"/>
      <c r="E117" s="23"/>
      <c r="F117" s="23"/>
      <c r="G117" s="23"/>
      <c r="H117" s="23"/>
      <c r="I117" s="23"/>
      <c r="J117" s="23"/>
      <c r="K117" s="23"/>
      <c r="L117" s="23"/>
      <c r="M117" s="23"/>
      <c r="N117" s="23"/>
      <c r="O117" s="23"/>
      <c r="P117" s="23"/>
      <c r="Q117" s="23"/>
      <c r="R117" s="5" t="s">
        <v>396</v>
      </c>
      <c r="S117" t="s">
        <v>69</v>
      </c>
    </row>
    <row r="118" spans="1:20" x14ac:dyDescent="0.25">
      <c r="B118" s="3" t="s">
        <v>392</v>
      </c>
      <c r="C118" s="23"/>
      <c r="D118" s="23"/>
      <c r="E118" s="23"/>
      <c r="F118" s="23"/>
      <c r="G118" s="23"/>
      <c r="H118" s="23"/>
      <c r="I118" s="23"/>
      <c r="J118" s="23"/>
      <c r="K118" s="23"/>
      <c r="L118" s="23"/>
      <c r="M118" s="23"/>
      <c r="N118" s="23"/>
      <c r="O118" s="23"/>
      <c r="P118" s="23"/>
      <c r="Q118" s="23"/>
      <c r="R118" s="5" t="s">
        <v>396</v>
      </c>
      <c r="S118" t="s">
        <v>69</v>
      </c>
    </row>
    <row r="119" spans="1:20" x14ac:dyDescent="0.25">
      <c r="B119" s="3" t="s">
        <v>393</v>
      </c>
      <c r="C119" s="23"/>
      <c r="D119" s="23"/>
      <c r="E119" s="23"/>
      <c r="F119" s="23"/>
      <c r="G119" s="23"/>
      <c r="H119" s="23"/>
      <c r="I119" s="23"/>
      <c r="J119" s="23"/>
      <c r="K119" s="23"/>
      <c r="L119" s="23"/>
      <c r="M119" s="23"/>
      <c r="N119" s="23"/>
      <c r="O119" s="23"/>
      <c r="P119" s="23"/>
      <c r="Q119" s="23"/>
      <c r="R119" s="5" t="s">
        <v>396</v>
      </c>
      <c r="S119" t="s">
        <v>69</v>
      </c>
    </row>
    <row r="120" spans="1:20" x14ac:dyDescent="0.25">
      <c r="B120" s="3" t="s">
        <v>389</v>
      </c>
      <c r="C120" s="23"/>
      <c r="D120" s="23"/>
      <c r="E120" s="23"/>
      <c r="F120" s="23"/>
      <c r="G120" s="23"/>
      <c r="H120" s="23"/>
      <c r="I120" s="23"/>
      <c r="J120" s="23"/>
      <c r="K120" s="23"/>
      <c r="L120" s="23"/>
      <c r="M120" s="23"/>
      <c r="N120" s="23"/>
      <c r="O120" s="23"/>
      <c r="P120" s="23"/>
      <c r="Q120" s="23"/>
      <c r="R120" s="5" t="s">
        <v>396</v>
      </c>
      <c r="S120" t="s">
        <v>69</v>
      </c>
    </row>
    <row r="121" spans="1:20" x14ac:dyDescent="0.25">
      <c r="B121" s="3" t="s">
        <v>391</v>
      </c>
      <c r="C121" s="23"/>
      <c r="D121" s="23"/>
      <c r="E121" s="23"/>
      <c r="F121" s="23"/>
      <c r="G121" s="23"/>
      <c r="H121" s="23"/>
      <c r="I121" s="23"/>
      <c r="J121" s="23"/>
      <c r="K121" s="23"/>
      <c r="L121" s="23"/>
      <c r="M121" s="23"/>
      <c r="N121" s="23"/>
      <c r="O121" s="23"/>
      <c r="P121" s="23"/>
      <c r="Q121" s="23"/>
      <c r="R121" s="5" t="s">
        <v>396</v>
      </c>
      <c r="S121" t="s">
        <v>69</v>
      </c>
    </row>
    <row r="122" spans="1:20" x14ac:dyDescent="0.25">
      <c r="B122" s="3" t="s">
        <v>394</v>
      </c>
      <c r="C122" s="23"/>
      <c r="D122" s="23"/>
      <c r="E122" s="23"/>
      <c r="F122" s="23"/>
      <c r="G122" s="23"/>
      <c r="H122" s="23"/>
      <c r="I122" s="23"/>
      <c r="J122" s="23"/>
      <c r="K122" s="23"/>
      <c r="L122" s="23"/>
      <c r="M122" s="23"/>
      <c r="N122" s="23"/>
      <c r="O122" s="23"/>
      <c r="P122" s="23"/>
      <c r="Q122" s="23"/>
      <c r="R122" s="5" t="s">
        <v>396</v>
      </c>
      <c r="S122" t="s">
        <v>69</v>
      </c>
    </row>
    <row r="123" spans="1:20" x14ac:dyDescent="0.25">
      <c r="B123" s="3" t="s">
        <v>395</v>
      </c>
      <c r="C123" s="23"/>
      <c r="D123" s="23"/>
      <c r="E123" s="23"/>
      <c r="F123" s="23"/>
      <c r="G123" s="23"/>
      <c r="H123" s="23"/>
      <c r="I123" s="23"/>
      <c r="J123" s="23"/>
      <c r="K123" s="23"/>
      <c r="L123" s="23"/>
      <c r="M123" s="23"/>
      <c r="N123" s="23"/>
      <c r="O123" s="23"/>
      <c r="P123" s="23"/>
      <c r="Q123" s="23"/>
      <c r="R123" s="5" t="s">
        <v>396</v>
      </c>
      <c r="S123" t="s">
        <v>69</v>
      </c>
    </row>
    <row r="124" spans="1:20" x14ac:dyDescent="0.25">
      <c r="A124" t="s">
        <v>836</v>
      </c>
      <c r="B124" s="3" t="s">
        <v>397</v>
      </c>
      <c r="C124" s="23"/>
      <c r="D124" s="23"/>
      <c r="E124" s="23"/>
      <c r="F124" s="23"/>
      <c r="G124" s="23"/>
      <c r="H124" s="23"/>
      <c r="I124" s="23"/>
      <c r="J124" s="23"/>
      <c r="K124" s="23"/>
      <c r="L124" s="23"/>
      <c r="M124" s="23"/>
      <c r="N124" s="23"/>
      <c r="O124" s="23"/>
      <c r="P124" s="23"/>
      <c r="Q124" s="23"/>
      <c r="R124" s="5" t="s">
        <v>396</v>
      </c>
      <c r="S124" t="s">
        <v>69</v>
      </c>
    </row>
    <row r="125" spans="1:20" x14ac:dyDescent="0.25">
      <c r="B125" t="s">
        <v>159</v>
      </c>
      <c r="C125" s="21">
        <v>1</v>
      </c>
      <c r="D125" s="21">
        <v>2</v>
      </c>
      <c r="E125" s="21">
        <v>3</v>
      </c>
      <c r="F125" s="21">
        <v>4</v>
      </c>
      <c r="G125" s="21">
        <v>5</v>
      </c>
      <c r="H125" s="21">
        <v>6</v>
      </c>
      <c r="I125" s="21">
        <v>7</v>
      </c>
      <c r="J125" s="21">
        <v>8</v>
      </c>
      <c r="K125" s="21">
        <v>9</v>
      </c>
      <c r="L125" s="21">
        <v>10</v>
      </c>
      <c r="M125" s="21">
        <v>11</v>
      </c>
      <c r="N125" s="21">
        <v>12</v>
      </c>
      <c r="O125" s="21">
        <v>13</v>
      </c>
      <c r="P125" s="21">
        <v>14</v>
      </c>
      <c r="Q125" s="21">
        <v>15</v>
      </c>
      <c r="R125" s="5" t="s">
        <v>11</v>
      </c>
      <c r="S125" t="s">
        <v>126</v>
      </c>
    </row>
    <row r="126" spans="1:20" x14ac:dyDescent="0.25">
      <c r="A126" t="s">
        <v>837</v>
      </c>
      <c r="B126" t="s">
        <v>10</v>
      </c>
      <c r="C126" s="2">
        <v>0.71120000000000005</v>
      </c>
      <c r="D126" s="2">
        <v>0.76910000000000001</v>
      </c>
      <c r="E126" s="2">
        <v>0.82699999999999996</v>
      </c>
      <c r="F126" s="2">
        <v>0.90969999999999995</v>
      </c>
      <c r="G126" s="2">
        <v>0.96760000000000002</v>
      </c>
      <c r="H126" s="2">
        <v>1.0338000000000001</v>
      </c>
      <c r="I126" s="2">
        <v>1.1247</v>
      </c>
      <c r="J126" s="2">
        <v>1.2157</v>
      </c>
      <c r="K126" s="2">
        <v>1.3067</v>
      </c>
      <c r="L126" s="2">
        <v>1.4058999999999999</v>
      </c>
      <c r="M126" s="2">
        <v>1.5196000000000001</v>
      </c>
      <c r="N126" s="2">
        <v>1.6533</v>
      </c>
      <c r="O126" s="2">
        <v>1.7870999999999999</v>
      </c>
      <c r="P126" s="2">
        <v>1.9208000000000001</v>
      </c>
      <c r="Q126" s="2">
        <v>2.0667</v>
      </c>
      <c r="R126" s="5" t="s">
        <v>6</v>
      </c>
      <c r="S126" t="s">
        <v>127</v>
      </c>
    </row>
    <row r="127" spans="1:20" x14ac:dyDescent="0.25">
      <c r="B127" t="s">
        <v>9</v>
      </c>
      <c r="C127" s="2">
        <v>0.70860000000000001</v>
      </c>
      <c r="D127" s="2">
        <v>0.76629999999999998</v>
      </c>
      <c r="E127" s="2">
        <v>0.82399999999999995</v>
      </c>
      <c r="F127" s="2">
        <v>0.90639999999999998</v>
      </c>
      <c r="G127" s="2">
        <v>0.96409999999999996</v>
      </c>
      <c r="H127" s="2">
        <v>1.03</v>
      </c>
      <c r="I127" s="2">
        <v>1.1206</v>
      </c>
      <c r="J127" s="2">
        <v>1.2113</v>
      </c>
      <c r="K127" s="2">
        <v>1.3019000000000001</v>
      </c>
      <c r="L127" s="2">
        <v>1.4008</v>
      </c>
      <c r="M127" s="2">
        <v>1.5141</v>
      </c>
      <c r="N127" s="2">
        <v>1.6473</v>
      </c>
      <c r="O127" s="2">
        <v>1.7806</v>
      </c>
      <c r="P127" s="2">
        <v>1.9137999999999999</v>
      </c>
      <c r="Q127" s="2">
        <v>2.0592000000000001</v>
      </c>
      <c r="R127" s="5" t="s">
        <v>6</v>
      </c>
      <c r="S127" t="s">
        <v>127</v>
      </c>
    </row>
    <row r="128" spans="1:20" x14ac:dyDescent="0.25">
      <c r="B128" t="s">
        <v>8</v>
      </c>
      <c r="C128" s="2">
        <v>0.88319999999999999</v>
      </c>
      <c r="D128" s="2">
        <v>0.95509999999999995</v>
      </c>
      <c r="E128" s="2">
        <v>1.0269999999999999</v>
      </c>
      <c r="F128" s="2">
        <v>1.1296999999999999</v>
      </c>
      <c r="G128" s="2">
        <v>1.2016</v>
      </c>
      <c r="H128" s="2">
        <v>1.2838000000000001</v>
      </c>
      <c r="I128" s="2">
        <v>1.3967000000000001</v>
      </c>
      <c r="J128" s="2">
        <v>1.5097</v>
      </c>
      <c r="K128" s="2">
        <v>1.6227</v>
      </c>
      <c r="L128" s="2">
        <v>1.7459</v>
      </c>
      <c r="M128" s="2">
        <v>1.8871</v>
      </c>
      <c r="N128" s="2">
        <v>2.0531999999999999</v>
      </c>
      <c r="O128" s="2">
        <v>2.2191999999999998</v>
      </c>
      <c r="P128" s="2">
        <v>2.3853</v>
      </c>
      <c r="Q128" s="2">
        <v>2.5665</v>
      </c>
      <c r="R128" s="5" t="s">
        <v>6</v>
      </c>
      <c r="S128" t="s">
        <v>127</v>
      </c>
    </row>
    <row r="129" spans="2:19" x14ac:dyDescent="0.25">
      <c r="B129" t="s">
        <v>13</v>
      </c>
      <c r="C129" s="2">
        <v>0.86519999999999997</v>
      </c>
      <c r="D129" s="2">
        <v>0.93559999999999999</v>
      </c>
      <c r="E129" s="2">
        <v>1.006</v>
      </c>
      <c r="F129" s="2">
        <v>1.1066</v>
      </c>
      <c r="G129" s="2">
        <v>1.177</v>
      </c>
      <c r="H129" s="2">
        <v>1.2575000000000001</v>
      </c>
      <c r="I129" s="2">
        <v>1.3682000000000001</v>
      </c>
      <c r="J129" s="2">
        <v>1.4787999999999999</v>
      </c>
      <c r="K129" s="2">
        <v>1.5894999999999999</v>
      </c>
      <c r="L129" s="2">
        <v>1.7101999999999999</v>
      </c>
      <c r="M129" s="2">
        <v>1.8485</v>
      </c>
      <c r="N129" s="2">
        <v>2.0112000000000001</v>
      </c>
      <c r="O129" s="2">
        <v>2.1739000000000002</v>
      </c>
      <c r="P129" s="2">
        <v>2.3365</v>
      </c>
      <c r="Q129" s="2">
        <v>2.5139999999999998</v>
      </c>
      <c r="R129" s="5" t="s">
        <v>6</v>
      </c>
      <c r="S129" t="s">
        <v>127</v>
      </c>
    </row>
    <row r="130" spans="2:19" x14ac:dyDescent="0.25">
      <c r="B130" t="s">
        <v>7</v>
      </c>
      <c r="C130" s="2">
        <v>1.1214</v>
      </c>
      <c r="D130" s="2">
        <v>1.2126999999999999</v>
      </c>
      <c r="E130" s="2">
        <v>1.304</v>
      </c>
      <c r="F130" s="2">
        <v>1.4343999999999999</v>
      </c>
      <c r="G130" s="2">
        <v>1.5257000000000001</v>
      </c>
      <c r="H130" s="2">
        <v>1.63</v>
      </c>
      <c r="I130" s="2">
        <v>1.7734000000000001</v>
      </c>
      <c r="J130" s="2">
        <v>1.9169</v>
      </c>
      <c r="K130" s="2">
        <v>2.0602999999999998</v>
      </c>
      <c r="L130" s="2">
        <v>2.2168000000000001</v>
      </c>
      <c r="M130" s="2">
        <v>2.3961000000000001</v>
      </c>
      <c r="N130" s="2">
        <v>2.6070000000000002</v>
      </c>
      <c r="O130" s="2">
        <v>2.8178000000000001</v>
      </c>
      <c r="P130" s="2">
        <v>3.0287000000000002</v>
      </c>
      <c r="Q130" s="2">
        <v>3.2587000000000002</v>
      </c>
      <c r="R130" s="5" t="s">
        <v>6</v>
      </c>
      <c r="S130" t="s">
        <v>127</v>
      </c>
    </row>
    <row r="131" spans="2:19" x14ac:dyDescent="0.25">
      <c r="B131" t="s">
        <v>157</v>
      </c>
      <c r="C131" s="2">
        <v>0.56240000000000001</v>
      </c>
      <c r="D131" s="2">
        <v>0.60819999999999996</v>
      </c>
      <c r="E131" s="2">
        <v>0.65400000000000003</v>
      </c>
      <c r="F131" s="2">
        <v>0.71940000000000004</v>
      </c>
      <c r="G131" s="2">
        <v>0.76519999999999999</v>
      </c>
      <c r="H131" s="2">
        <v>0.8175</v>
      </c>
      <c r="I131" s="2">
        <v>0.88939999999999997</v>
      </c>
      <c r="J131" s="2">
        <v>0.96140000000000003</v>
      </c>
      <c r="K131" s="2">
        <v>1.0333000000000001</v>
      </c>
      <c r="L131" s="2">
        <v>1.1117999999999999</v>
      </c>
      <c r="M131" s="2">
        <v>1.2017</v>
      </c>
      <c r="N131" s="2">
        <v>1.3075000000000001</v>
      </c>
      <c r="O131" s="2">
        <v>1.4132</v>
      </c>
      <c r="P131" s="2">
        <v>1.5189999999999999</v>
      </c>
      <c r="Q131" s="2">
        <v>1.6343000000000001</v>
      </c>
      <c r="R131" s="5" t="s">
        <v>5</v>
      </c>
      <c r="S131" t="s">
        <v>127</v>
      </c>
    </row>
    <row r="132" spans="2:19" x14ac:dyDescent="0.25">
      <c r="B132" t="s">
        <v>158</v>
      </c>
      <c r="C132" s="2">
        <v>1.0182</v>
      </c>
      <c r="D132" s="2">
        <v>1.1011</v>
      </c>
      <c r="E132" s="2">
        <v>1.1839999999999999</v>
      </c>
      <c r="F132" s="2">
        <v>1.3024</v>
      </c>
      <c r="G132" s="2">
        <v>1.3853</v>
      </c>
      <c r="H132" s="2">
        <v>1.48</v>
      </c>
      <c r="I132" s="2">
        <v>1.6102000000000001</v>
      </c>
      <c r="J132" s="2">
        <v>1.7404999999999999</v>
      </c>
      <c r="K132" s="2">
        <v>1.8707</v>
      </c>
      <c r="L132" s="2">
        <v>2.0127999999999999</v>
      </c>
      <c r="M132" s="2">
        <v>2.1756000000000002</v>
      </c>
      <c r="N132" s="2">
        <v>2.3671000000000002</v>
      </c>
      <c r="O132" s="2">
        <v>2.5585</v>
      </c>
      <c r="P132" s="2">
        <v>2.75</v>
      </c>
      <c r="Q132" s="2">
        <v>2.9588000000000001</v>
      </c>
      <c r="R132" s="5" t="s">
        <v>5</v>
      </c>
      <c r="S132" t="s">
        <v>127</v>
      </c>
    </row>
    <row r="133" spans="2:19" x14ac:dyDescent="0.25">
      <c r="B133" t="s">
        <v>155</v>
      </c>
      <c r="C133" s="2">
        <v>0.74590000000000001</v>
      </c>
      <c r="D133" s="2">
        <v>0.80659999999999998</v>
      </c>
      <c r="E133" s="2">
        <v>0.86729999999999996</v>
      </c>
      <c r="F133" s="2">
        <v>0.95399999999999996</v>
      </c>
      <c r="G133" s="2">
        <v>1.0146999999999999</v>
      </c>
      <c r="H133" s="2">
        <v>1.0841000000000001</v>
      </c>
      <c r="I133" s="2">
        <v>1.1795</v>
      </c>
      <c r="J133" s="2">
        <v>1.2748999999999999</v>
      </c>
      <c r="K133" s="2">
        <v>1.3703000000000001</v>
      </c>
      <c r="L133" s="2">
        <v>1.4743999999999999</v>
      </c>
      <c r="M133" s="2">
        <v>1.5785</v>
      </c>
      <c r="N133" s="2">
        <v>1.6826000000000001</v>
      </c>
      <c r="O133" s="2">
        <v>1.7866</v>
      </c>
      <c r="P133" s="2">
        <v>1.8907</v>
      </c>
      <c r="Q133" s="2">
        <v>1.9947999999999999</v>
      </c>
      <c r="R133" s="5" t="s">
        <v>3</v>
      </c>
      <c r="S133" t="s">
        <v>127</v>
      </c>
    </row>
    <row r="134" spans="2:19" x14ac:dyDescent="0.25">
      <c r="B134" t="s">
        <v>135</v>
      </c>
      <c r="C134" s="2">
        <v>1.4914000000000001</v>
      </c>
      <c r="D134" s="2">
        <v>1.6128</v>
      </c>
      <c r="E134" s="2">
        <v>1.7342</v>
      </c>
      <c r="F134" s="2">
        <v>1.9077</v>
      </c>
      <c r="G134" s="2">
        <v>2.0291000000000001</v>
      </c>
      <c r="H134" s="2">
        <v>2.1678000000000002</v>
      </c>
      <c r="I134" s="2">
        <v>2.3586</v>
      </c>
      <c r="J134" s="2">
        <v>2.5493000000000001</v>
      </c>
      <c r="K134" s="2">
        <v>2.7401</v>
      </c>
      <c r="L134" s="2">
        <v>2.9481999999999999</v>
      </c>
      <c r="M134" s="2">
        <v>3.1562999999999999</v>
      </c>
      <c r="N134" s="2">
        <v>3.3643999999999998</v>
      </c>
      <c r="O134" s="2">
        <v>3.5724999999999998</v>
      </c>
      <c r="P134" s="2">
        <v>3.7806000000000002</v>
      </c>
      <c r="Q134" s="2">
        <v>3.9887000000000001</v>
      </c>
      <c r="R134" s="5" t="s">
        <v>3</v>
      </c>
      <c r="S134" t="s">
        <v>127</v>
      </c>
    </row>
    <row r="135" spans="2:19" x14ac:dyDescent="0.25">
      <c r="B135" t="s">
        <v>136</v>
      </c>
      <c r="C135" s="2">
        <v>1.8629</v>
      </c>
      <c r="D135" s="2">
        <v>2.0145</v>
      </c>
      <c r="E135" s="2">
        <v>2.1661999999999999</v>
      </c>
      <c r="F135" s="2">
        <v>2.3828</v>
      </c>
      <c r="G135" s="2">
        <v>2.5344000000000002</v>
      </c>
      <c r="H135" s="2">
        <v>2.7077</v>
      </c>
      <c r="I135" s="2">
        <v>2.9460000000000002</v>
      </c>
      <c r="J135" s="2">
        <v>3.1842000000000001</v>
      </c>
      <c r="K135" s="2">
        <v>3.4224999999999999</v>
      </c>
      <c r="L135" s="2">
        <v>3.6825000000000001</v>
      </c>
      <c r="M135" s="2">
        <v>3.9424000000000001</v>
      </c>
      <c r="N135" s="2">
        <v>4.2023000000000001</v>
      </c>
      <c r="O135" s="2">
        <v>4.4622999999999999</v>
      </c>
      <c r="P135" s="2">
        <v>4.7222</v>
      </c>
      <c r="Q135" s="2">
        <v>4.9821</v>
      </c>
      <c r="R135" s="5" t="s">
        <v>3</v>
      </c>
      <c r="S135" t="s">
        <v>127</v>
      </c>
    </row>
    <row r="136" spans="2:19" x14ac:dyDescent="0.25">
      <c r="B136" t="s">
        <v>160</v>
      </c>
      <c r="C136" s="2">
        <v>1.216</v>
      </c>
      <c r="D136" s="2">
        <v>1.3071999999999999</v>
      </c>
      <c r="E136" s="2">
        <v>1.3984000000000001</v>
      </c>
      <c r="F136" s="2">
        <v>1.52</v>
      </c>
      <c r="G136" s="2">
        <v>1.6112</v>
      </c>
      <c r="H136" s="2">
        <v>1.7023999999999999</v>
      </c>
      <c r="I136" s="2">
        <v>1.8240000000000001</v>
      </c>
      <c r="J136" s="2">
        <v>1.9456</v>
      </c>
      <c r="K136" s="2">
        <v>2.0672000000000001</v>
      </c>
      <c r="L136" s="2">
        <v>2.1888000000000001</v>
      </c>
      <c r="M136" s="2">
        <v>2.3104</v>
      </c>
      <c r="N136" s="2">
        <v>2.4319999999999999</v>
      </c>
      <c r="O136" s="2">
        <v>2.5840000000000001</v>
      </c>
      <c r="P136" s="2">
        <v>2.7360000000000002</v>
      </c>
      <c r="Q136" s="2">
        <v>2.8879999999999999</v>
      </c>
      <c r="R136" s="5" t="s">
        <v>19</v>
      </c>
      <c r="S136" t="s">
        <v>127</v>
      </c>
    </row>
    <row r="137" spans="2:19" x14ac:dyDescent="0.25">
      <c r="B137" t="s">
        <v>161</v>
      </c>
      <c r="C137" s="2">
        <v>2.8159999999999998</v>
      </c>
      <c r="D137" s="2">
        <v>3.0271999999999997</v>
      </c>
      <c r="E137" s="2">
        <v>3.2384000000000004</v>
      </c>
      <c r="F137" s="2">
        <v>3.52</v>
      </c>
      <c r="G137" s="2">
        <v>3.7312000000000003</v>
      </c>
      <c r="H137" s="2">
        <v>3.9424000000000001</v>
      </c>
      <c r="I137" s="2">
        <v>4.2240000000000002</v>
      </c>
      <c r="J137" s="2">
        <v>4.5056000000000003</v>
      </c>
      <c r="K137" s="2">
        <v>4.7872000000000003</v>
      </c>
      <c r="L137" s="2">
        <v>5.0687999999999995</v>
      </c>
      <c r="M137" s="2">
        <v>5.3504000000000005</v>
      </c>
      <c r="N137" s="2">
        <v>5.6319999999999997</v>
      </c>
      <c r="O137" s="2">
        <v>5.984</v>
      </c>
      <c r="P137" s="2">
        <v>6.3360000000000003</v>
      </c>
      <c r="Q137" s="2">
        <v>6.6879999999999997</v>
      </c>
      <c r="R137" s="5" t="s">
        <v>19</v>
      </c>
      <c r="S137" t="s">
        <v>127</v>
      </c>
    </row>
    <row r="138" spans="2:19" x14ac:dyDescent="0.25">
      <c r="B138" t="s">
        <v>162</v>
      </c>
      <c r="C138" s="2">
        <v>4.4160000000000004</v>
      </c>
      <c r="D138" s="2">
        <v>4.7471999999999994</v>
      </c>
      <c r="E138" s="2">
        <v>5.0784000000000002</v>
      </c>
      <c r="F138" s="2">
        <v>5.52</v>
      </c>
      <c r="G138" s="2">
        <v>5.8512000000000004</v>
      </c>
      <c r="H138" s="2">
        <v>6.1824000000000003</v>
      </c>
      <c r="I138" s="2">
        <v>6.6240000000000006</v>
      </c>
      <c r="J138" s="2">
        <v>7.0655999999999999</v>
      </c>
      <c r="K138" s="2">
        <v>7.507200000000001</v>
      </c>
      <c r="L138" s="2">
        <v>7.9487999999999994</v>
      </c>
      <c r="M138" s="2">
        <v>8.3903999999999996</v>
      </c>
      <c r="N138" s="2">
        <v>8.8320000000000007</v>
      </c>
      <c r="O138" s="2">
        <v>9.3840000000000003</v>
      </c>
      <c r="P138" s="2">
        <v>9.9359999999999999</v>
      </c>
      <c r="Q138" s="2">
        <v>10.488</v>
      </c>
      <c r="R138" s="5" t="s">
        <v>19</v>
      </c>
      <c r="S138" t="s">
        <v>127</v>
      </c>
    </row>
    <row r="139" spans="2:19" x14ac:dyDescent="0.25">
      <c r="B139" t="s">
        <v>163</v>
      </c>
      <c r="C139" s="2">
        <v>1.216</v>
      </c>
      <c r="D139" s="2">
        <v>1.3071999999999999</v>
      </c>
      <c r="E139" s="2">
        <v>1.3984000000000001</v>
      </c>
      <c r="F139" s="2">
        <v>1.52</v>
      </c>
      <c r="G139" s="2">
        <v>1.6112</v>
      </c>
      <c r="H139" s="2">
        <v>1.7023999999999999</v>
      </c>
      <c r="I139" s="2">
        <v>1.8240000000000001</v>
      </c>
      <c r="J139" s="2">
        <v>1.9456</v>
      </c>
      <c r="K139" s="2">
        <v>2.0672000000000001</v>
      </c>
      <c r="L139" s="2">
        <v>2.1888000000000001</v>
      </c>
      <c r="M139" s="2">
        <v>2.3104</v>
      </c>
      <c r="N139" s="2">
        <v>2.4319999999999999</v>
      </c>
      <c r="O139" s="2">
        <v>2.5840000000000001</v>
      </c>
      <c r="P139" s="2">
        <v>2.7360000000000002</v>
      </c>
      <c r="Q139" s="2">
        <v>2.8879999999999999</v>
      </c>
      <c r="R139" s="5" t="s">
        <v>0</v>
      </c>
      <c r="S139" t="s">
        <v>127</v>
      </c>
    </row>
    <row r="140" spans="2:19" x14ac:dyDescent="0.25">
      <c r="B140" t="s">
        <v>164</v>
      </c>
      <c r="C140" s="2">
        <v>0.96</v>
      </c>
      <c r="D140" s="2">
        <v>1.032</v>
      </c>
      <c r="E140" s="2">
        <v>1.1040000000000001</v>
      </c>
      <c r="F140" s="2">
        <v>1.2</v>
      </c>
      <c r="G140" s="2">
        <v>1.272</v>
      </c>
      <c r="H140" s="2">
        <v>1.3440000000000001</v>
      </c>
      <c r="I140" s="2">
        <v>1.44</v>
      </c>
      <c r="J140" s="2">
        <v>1.536</v>
      </c>
      <c r="K140" s="2">
        <v>1.6319999999999999</v>
      </c>
      <c r="L140" s="2">
        <v>1.728</v>
      </c>
      <c r="M140" s="2">
        <v>1.8240000000000001</v>
      </c>
      <c r="N140" s="2">
        <v>1.92</v>
      </c>
      <c r="O140" s="2">
        <v>2.04</v>
      </c>
      <c r="P140" s="2">
        <v>2.16</v>
      </c>
      <c r="Q140" s="2">
        <v>2.2799999999999998</v>
      </c>
      <c r="R140" s="5" t="s">
        <v>0</v>
      </c>
      <c r="S140" t="s">
        <v>127</v>
      </c>
    </row>
    <row r="141" spans="2:19" x14ac:dyDescent="0.25">
      <c r="B141" s="3" t="s">
        <v>771</v>
      </c>
      <c r="C141" s="23"/>
      <c r="D141" s="23"/>
      <c r="E141" s="23"/>
      <c r="F141" s="23"/>
      <c r="G141" s="23"/>
      <c r="H141" s="23"/>
      <c r="I141" s="23"/>
      <c r="J141" s="23"/>
      <c r="K141" s="23"/>
      <c r="L141" s="23"/>
      <c r="M141" s="23"/>
      <c r="N141" s="23"/>
      <c r="O141" s="23"/>
      <c r="P141" s="23"/>
      <c r="Q141" s="23"/>
      <c r="R141" s="5" t="s">
        <v>771</v>
      </c>
      <c r="S141" t="s">
        <v>772</v>
      </c>
    </row>
    <row r="142" spans="2:19" x14ac:dyDescent="0.25">
      <c r="B142" s="3" t="s">
        <v>390</v>
      </c>
      <c r="C142" s="23"/>
      <c r="D142" s="23"/>
      <c r="E142" s="23"/>
      <c r="F142" s="23"/>
      <c r="G142" s="23"/>
      <c r="H142" s="23"/>
      <c r="I142" s="23"/>
      <c r="J142" s="23"/>
      <c r="K142" s="23"/>
      <c r="L142" s="23"/>
      <c r="M142" s="23"/>
      <c r="N142" s="23"/>
      <c r="O142" s="23"/>
      <c r="P142" s="23"/>
      <c r="Q142" s="23"/>
      <c r="R142" s="5" t="s">
        <v>396</v>
      </c>
      <c r="S142" t="s">
        <v>69</v>
      </c>
    </row>
    <row r="143" spans="2:19" x14ac:dyDescent="0.25">
      <c r="B143" s="3" t="s">
        <v>392</v>
      </c>
      <c r="C143" s="23"/>
      <c r="D143" s="23"/>
      <c r="E143" s="23"/>
      <c r="F143" s="23"/>
      <c r="G143" s="23"/>
      <c r="H143" s="23"/>
      <c r="I143" s="23"/>
      <c r="J143" s="23"/>
      <c r="K143" s="23"/>
      <c r="L143" s="23"/>
      <c r="M143" s="23"/>
      <c r="N143" s="23"/>
      <c r="O143" s="23"/>
      <c r="P143" s="23"/>
      <c r="Q143" s="23"/>
      <c r="R143" s="5" t="s">
        <v>396</v>
      </c>
      <c r="S143" t="s">
        <v>69</v>
      </c>
    </row>
    <row r="144" spans="2:19" x14ac:dyDescent="0.25">
      <c r="B144" s="3" t="s">
        <v>393</v>
      </c>
      <c r="C144" s="23"/>
      <c r="D144" s="23"/>
      <c r="E144" s="23"/>
      <c r="F144" s="23"/>
      <c r="G144" s="23"/>
      <c r="H144" s="23"/>
      <c r="I144" s="23"/>
      <c r="J144" s="23"/>
      <c r="K144" s="23"/>
      <c r="L144" s="23"/>
      <c r="M144" s="23"/>
      <c r="N144" s="23"/>
      <c r="O144" s="23"/>
      <c r="P144" s="23"/>
      <c r="Q144" s="23"/>
      <c r="R144" s="5" t="s">
        <v>396</v>
      </c>
      <c r="S144" t="s">
        <v>69</v>
      </c>
    </row>
    <row r="145" spans="1:19" x14ac:dyDescent="0.25">
      <c r="B145" s="3" t="s">
        <v>389</v>
      </c>
      <c r="C145" s="23"/>
      <c r="D145" s="23"/>
      <c r="E145" s="23"/>
      <c r="F145" s="23"/>
      <c r="G145" s="23"/>
      <c r="H145" s="23"/>
      <c r="I145" s="23"/>
      <c r="J145" s="23"/>
      <c r="K145" s="23"/>
      <c r="L145" s="23"/>
      <c r="M145" s="23"/>
      <c r="N145" s="23"/>
      <c r="O145" s="23"/>
      <c r="P145" s="23"/>
      <c r="Q145" s="23"/>
      <c r="R145" s="5" t="s">
        <v>396</v>
      </c>
      <c r="S145" t="s">
        <v>69</v>
      </c>
    </row>
    <row r="146" spans="1:19" x14ac:dyDescent="0.25">
      <c r="B146" s="3" t="s">
        <v>391</v>
      </c>
      <c r="C146" s="23"/>
      <c r="D146" s="23"/>
      <c r="E146" s="23"/>
      <c r="F146" s="23"/>
      <c r="G146" s="23"/>
      <c r="H146" s="23"/>
      <c r="I146" s="23"/>
      <c r="J146" s="23"/>
      <c r="K146" s="23"/>
      <c r="L146" s="23"/>
      <c r="M146" s="23"/>
      <c r="N146" s="23"/>
      <c r="O146" s="23"/>
      <c r="P146" s="23"/>
      <c r="Q146" s="23"/>
      <c r="R146" s="5" t="s">
        <v>396</v>
      </c>
      <c r="S146" t="s">
        <v>69</v>
      </c>
    </row>
    <row r="147" spans="1:19" x14ac:dyDescent="0.25">
      <c r="B147" s="3" t="s">
        <v>394</v>
      </c>
      <c r="C147" s="23"/>
      <c r="D147" s="23"/>
      <c r="E147" s="23"/>
      <c r="F147" s="23"/>
      <c r="G147" s="23"/>
      <c r="H147" s="23"/>
      <c r="I147" s="23"/>
      <c r="J147" s="23"/>
      <c r="K147" s="23"/>
      <c r="L147" s="23"/>
      <c r="M147" s="23"/>
      <c r="N147" s="23"/>
      <c r="O147" s="23"/>
      <c r="P147" s="23"/>
      <c r="Q147" s="23"/>
      <c r="R147" s="5" t="s">
        <v>396</v>
      </c>
      <c r="S147" t="s">
        <v>69</v>
      </c>
    </row>
    <row r="148" spans="1:19" x14ac:dyDescent="0.25">
      <c r="B148" s="3" t="s">
        <v>395</v>
      </c>
      <c r="C148" s="23"/>
      <c r="D148" s="23"/>
      <c r="E148" s="23"/>
      <c r="F148" s="23"/>
      <c r="G148" s="23"/>
      <c r="H148" s="23"/>
      <c r="I148" s="23"/>
      <c r="J148" s="23"/>
      <c r="K148" s="23"/>
      <c r="L148" s="23"/>
      <c r="M148" s="23"/>
      <c r="N148" s="23"/>
      <c r="O148" s="23"/>
      <c r="P148" s="23"/>
      <c r="Q148" s="23"/>
      <c r="R148" s="5" t="s">
        <v>396</v>
      </c>
      <c r="S148" t="s">
        <v>69</v>
      </c>
    </row>
    <row r="149" spans="1:19" x14ac:dyDescent="0.25">
      <c r="A149" t="s">
        <v>838</v>
      </c>
      <c r="B149" s="3" t="s">
        <v>397</v>
      </c>
      <c r="C149" s="23"/>
      <c r="D149" s="23"/>
      <c r="E149" s="23"/>
      <c r="F149" s="23"/>
      <c r="G149" s="23"/>
      <c r="H149" s="23"/>
      <c r="I149" s="23"/>
      <c r="J149" s="23"/>
      <c r="K149" s="23"/>
      <c r="L149" s="23"/>
      <c r="M149" s="23"/>
      <c r="N149" s="23"/>
      <c r="O149" s="23"/>
      <c r="P149" s="23"/>
      <c r="Q149" s="23"/>
      <c r="R149" s="5" t="s">
        <v>396</v>
      </c>
      <c r="S149" t="s">
        <v>69</v>
      </c>
    </row>
    <row r="150" spans="1:19" x14ac:dyDescent="0.25">
      <c r="B150" t="s">
        <v>165</v>
      </c>
      <c r="C150" s="21">
        <v>1</v>
      </c>
      <c r="D150" s="21">
        <v>2</v>
      </c>
      <c r="E150" s="21">
        <v>3</v>
      </c>
      <c r="F150" s="21">
        <v>4</v>
      </c>
      <c r="G150" s="21">
        <v>5</v>
      </c>
      <c r="H150" s="21">
        <v>6</v>
      </c>
      <c r="I150" s="21">
        <v>7</v>
      </c>
      <c r="J150" s="21">
        <v>8</v>
      </c>
      <c r="K150" s="21">
        <v>9</v>
      </c>
      <c r="L150" s="21">
        <v>10</v>
      </c>
      <c r="M150" s="21">
        <v>11</v>
      </c>
      <c r="N150" s="21">
        <v>12</v>
      </c>
      <c r="O150" s="21">
        <v>13</v>
      </c>
      <c r="P150" s="21">
        <v>14</v>
      </c>
      <c r="Q150" s="21">
        <v>15</v>
      </c>
      <c r="R150" s="5" t="s">
        <v>11</v>
      </c>
      <c r="S150" t="s">
        <v>126</v>
      </c>
    </row>
    <row r="151" spans="1:19" x14ac:dyDescent="0.25">
      <c r="A151" t="s">
        <v>839</v>
      </c>
      <c r="B151" t="s">
        <v>10</v>
      </c>
      <c r="C151" s="2">
        <v>0.44550000000000001</v>
      </c>
      <c r="D151" s="2">
        <v>0.48170000000000002</v>
      </c>
      <c r="E151" s="2">
        <v>0.51800000000000002</v>
      </c>
      <c r="F151" s="2">
        <v>0.56979999999999997</v>
      </c>
      <c r="G151" s="2">
        <v>0.60609999999999997</v>
      </c>
      <c r="H151" s="2">
        <v>0.64749999999999996</v>
      </c>
      <c r="I151" s="2">
        <v>0.70450000000000002</v>
      </c>
      <c r="J151" s="2">
        <v>0.76149999999999995</v>
      </c>
      <c r="K151" s="2">
        <v>0.81840000000000002</v>
      </c>
      <c r="L151" s="2">
        <v>0.88060000000000005</v>
      </c>
      <c r="M151" s="2">
        <v>0.94279999999999997</v>
      </c>
      <c r="N151" s="2">
        <v>1.0048999999999999</v>
      </c>
      <c r="O151" s="2">
        <v>1.0670999999999999</v>
      </c>
      <c r="P151" s="2">
        <v>1.1292</v>
      </c>
      <c r="Q151" s="2">
        <v>1.1914</v>
      </c>
      <c r="R151" s="5" t="s">
        <v>6</v>
      </c>
      <c r="S151" t="s">
        <v>127</v>
      </c>
    </row>
    <row r="152" spans="1:19" x14ac:dyDescent="0.25">
      <c r="B152" t="s">
        <v>9</v>
      </c>
      <c r="C152" s="2">
        <v>0.4274</v>
      </c>
      <c r="D152" s="2">
        <v>0.4622</v>
      </c>
      <c r="E152" s="2">
        <v>0.497</v>
      </c>
      <c r="F152" s="2">
        <v>0.54669999999999996</v>
      </c>
      <c r="G152" s="2">
        <v>0.58150000000000002</v>
      </c>
      <c r="H152" s="2">
        <v>0.62129999999999996</v>
      </c>
      <c r="I152" s="2">
        <v>0.67589999999999995</v>
      </c>
      <c r="J152" s="2">
        <v>0.73060000000000003</v>
      </c>
      <c r="K152" s="2">
        <v>0.7853</v>
      </c>
      <c r="L152" s="2">
        <v>0.84489999999999998</v>
      </c>
      <c r="M152" s="2">
        <v>0.90449999999999997</v>
      </c>
      <c r="N152" s="2">
        <v>0.96419999999999995</v>
      </c>
      <c r="O152" s="2">
        <v>1.0238</v>
      </c>
      <c r="P152" s="2">
        <v>1.0834999999999999</v>
      </c>
      <c r="Q152" s="2">
        <v>1.1431</v>
      </c>
      <c r="R152" s="5" t="s">
        <v>6</v>
      </c>
      <c r="S152" t="s">
        <v>127</v>
      </c>
    </row>
    <row r="153" spans="1:19" x14ac:dyDescent="0.25">
      <c r="B153" t="s">
        <v>8</v>
      </c>
      <c r="C153" s="2">
        <v>0.54610000000000003</v>
      </c>
      <c r="D153" s="2">
        <v>0.59060000000000001</v>
      </c>
      <c r="E153" s="2">
        <v>0.63500000000000001</v>
      </c>
      <c r="F153" s="2">
        <v>0.69850000000000001</v>
      </c>
      <c r="G153" s="2">
        <v>0.74299999999999999</v>
      </c>
      <c r="H153" s="2">
        <v>0.79379999999999995</v>
      </c>
      <c r="I153" s="2">
        <v>0.86360000000000003</v>
      </c>
      <c r="J153" s="2">
        <v>0.9335</v>
      </c>
      <c r="K153" s="2">
        <v>1.0033000000000001</v>
      </c>
      <c r="L153" s="2">
        <v>1.0794999999999999</v>
      </c>
      <c r="M153" s="2">
        <v>1.1556999999999999</v>
      </c>
      <c r="N153" s="2">
        <v>1.2319</v>
      </c>
      <c r="O153" s="2">
        <v>1.3081</v>
      </c>
      <c r="P153" s="2">
        <v>1.3843000000000001</v>
      </c>
      <c r="Q153" s="2">
        <v>1.4604999999999999</v>
      </c>
      <c r="R153" s="5" t="s">
        <v>6</v>
      </c>
      <c r="S153" t="s">
        <v>127</v>
      </c>
    </row>
    <row r="154" spans="1:19" x14ac:dyDescent="0.25">
      <c r="B154" t="s">
        <v>13</v>
      </c>
      <c r="C154" s="2">
        <v>0.5968</v>
      </c>
      <c r="D154" s="2">
        <v>0.64539999999999997</v>
      </c>
      <c r="E154" s="2">
        <v>0.69399999999999995</v>
      </c>
      <c r="F154" s="2">
        <v>0.76339999999999997</v>
      </c>
      <c r="G154" s="2">
        <v>0.81200000000000006</v>
      </c>
      <c r="H154" s="2">
        <v>0.86750000000000005</v>
      </c>
      <c r="I154" s="2">
        <v>0.94379999999999997</v>
      </c>
      <c r="J154" s="2">
        <v>1.0202</v>
      </c>
      <c r="K154" s="2">
        <v>1.0965</v>
      </c>
      <c r="L154" s="2">
        <v>1.1798</v>
      </c>
      <c r="M154" s="2">
        <v>1.2630999999999999</v>
      </c>
      <c r="N154" s="2">
        <v>1.3464</v>
      </c>
      <c r="O154" s="2">
        <v>1.4296</v>
      </c>
      <c r="P154" s="2">
        <v>1.5128999999999999</v>
      </c>
      <c r="Q154" s="2">
        <v>1.5962000000000001</v>
      </c>
      <c r="R154" s="5" t="s">
        <v>6</v>
      </c>
      <c r="S154" t="s">
        <v>127</v>
      </c>
    </row>
    <row r="155" spans="1:19" x14ac:dyDescent="0.25">
      <c r="B155" t="s">
        <v>7</v>
      </c>
      <c r="C155" s="2">
        <v>0.71899999999999997</v>
      </c>
      <c r="D155" s="2">
        <v>0.77749999999999997</v>
      </c>
      <c r="E155" s="2">
        <v>0.83599999999999997</v>
      </c>
      <c r="F155" s="2">
        <v>0.91959999999999997</v>
      </c>
      <c r="G155" s="2">
        <v>0.97809999999999997</v>
      </c>
      <c r="H155" s="2">
        <v>1.0449999999999999</v>
      </c>
      <c r="I155" s="2">
        <v>1.137</v>
      </c>
      <c r="J155" s="2">
        <v>1.2289000000000001</v>
      </c>
      <c r="K155" s="2">
        <v>1.3209</v>
      </c>
      <c r="L155" s="2">
        <v>1.4212</v>
      </c>
      <c r="M155" s="2">
        <v>1.5215000000000001</v>
      </c>
      <c r="N155" s="2">
        <v>1.6217999999999999</v>
      </c>
      <c r="O155" s="2">
        <v>1.7222</v>
      </c>
      <c r="P155" s="2">
        <v>1.8225</v>
      </c>
      <c r="Q155" s="2">
        <v>1.9228000000000001</v>
      </c>
      <c r="R155" s="5" t="s">
        <v>6</v>
      </c>
      <c r="S155" t="s">
        <v>127</v>
      </c>
    </row>
    <row r="156" spans="1:19" x14ac:dyDescent="0.25">
      <c r="B156" t="s">
        <v>140</v>
      </c>
      <c r="C156" s="2">
        <v>0.55900000000000005</v>
      </c>
      <c r="D156" s="2">
        <v>0.60450000000000004</v>
      </c>
      <c r="E156" s="2">
        <v>0.65</v>
      </c>
      <c r="F156" s="2">
        <v>0.71499999999999997</v>
      </c>
      <c r="G156" s="2">
        <v>0.76049999999999995</v>
      </c>
      <c r="H156" s="2">
        <v>0.8125</v>
      </c>
      <c r="I156" s="2">
        <v>0.88400000000000001</v>
      </c>
      <c r="J156" s="2">
        <v>0.95550000000000002</v>
      </c>
      <c r="K156" s="2">
        <v>1.0269999999999999</v>
      </c>
      <c r="L156" s="2">
        <v>1.105</v>
      </c>
      <c r="M156" s="2">
        <v>1.1830000000000001</v>
      </c>
      <c r="N156" s="2">
        <v>1.2609999999999999</v>
      </c>
      <c r="O156" s="2">
        <v>1.339</v>
      </c>
      <c r="P156" s="2">
        <v>1.417</v>
      </c>
      <c r="Q156" s="2">
        <v>1.4950000000000001</v>
      </c>
      <c r="R156" s="5" t="s">
        <v>5</v>
      </c>
      <c r="S156" t="s">
        <v>127</v>
      </c>
    </row>
    <row r="157" spans="1:19" x14ac:dyDescent="0.25">
      <c r="B157" t="s">
        <v>141</v>
      </c>
      <c r="C157" s="2">
        <v>0.60719999999999996</v>
      </c>
      <c r="D157" s="2">
        <v>0.65659999999999996</v>
      </c>
      <c r="E157" s="2">
        <v>0.70599999999999996</v>
      </c>
      <c r="F157" s="2">
        <v>0.77659999999999996</v>
      </c>
      <c r="G157" s="2">
        <v>0.82599999999999996</v>
      </c>
      <c r="H157" s="2">
        <v>0.88249999999999995</v>
      </c>
      <c r="I157" s="2">
        <v>0.96020000000000005</v>
      </c>
      <c r="J157" s="2">
        <v>1.0378000000000001</v>
      </c>
      <c r="K157" s="2">
        <v>1.1154999999999999</v>
      </c>
      <c r="L157" s="2">
        <v>1.2001999999999999</v>
      </c>
      <c r="M157" s="2">
        <v>1.2848999999999999</v>
      </c>
      <c r="N157" s="2">
        <v>1.3695999999999999</v>
      </c>
      <c r="O157" s="2">
        <v>1.4543999999999999</v>
      </c>
      <c r="P157" s="2">
        <v>1.5390999999999999</v>
      </c>
      <c r="Q157" s="2">
        <v>1.6237999999999999</v>
      </c>
      <c r="R157" s="5" t="s">
        <v>5</v>
      </c>
      <c r="S157" t="s">
        <v>127</v>
      </c>
    </row>
    <row r="158" spans="1:19" x14ac:dyDescent="0.25">
      <c r="B158" t="s">
        <v>155</v>
      </c>
      <c r="C158" s="2">
        <v>0.63929999999999998</v>
      </c>
      <c r="D158" s="2">
        <v>0.69140000000000001</v>
      </c>
      <c r="E158" s="2">
        <v>0.74339999999999995</v>
      </c>
      <c r="F158" s="2">
        <v>0.81769999999999998</v>
      </c>
      <c r="G158" s="2">
        <v>0.86980000000000002</v>
      </c>
      <c r="H158" s="2">
        <v>0.92930000000000001</v>
      </c>
      <c r="I158" s="2">
        <v>1.0109999999999999</v>
      </c>
      <c r="J158" s="2">
        <v>1.0928</v>
      </c>
      <c r="K158" s="2">
        <v>1.1746000000000001</v>
      </c>
      <c r="L158" s="2">
        <v>1.2638</v>
      </c>
      <c r="M158" s="2">
        <v>1.353</v>
      </c>
      <c r="N158" s="2">
        <v>1.4421999999999999</v>
      </c>
      <c r="O158" s="2">
        <v>1.5314000000000001</v>
      </c>
      <c r="P158" s="2">
        <v>1.6206</v>
      </c>
      <c r="Q158" s="2">
        <v>1.7098</v>
      </c>
      <c r="R158" s="5" t="s">
        <v>3</v>
      </c>
      <c r="S158" t="s">
        <v>127</v>
      </c>
    </row>
    <row r="159" spans="1:19" x14ac:dyDescent="0.25">
      <c r="B159" t="s">
        <v>135</v>
      </c>
      <c r="C159" s="2">
        <v>1.2784</v>
      </c>
      <c r="D159" s="2">
        <v>1.3824000000000001</v>
      </c>
      <c r="E159" s="2">
        <v>1.4864999999999999</v>
      </c>
      <c r="F159" s="2">
        <v>1.6351</v>
      </c>
      <c r="G159" s="2">
        <v>1.7392000000000001</v>
      </c>
      <c r="H159" s="2">
        <v>1.8581000000000001</v>
      </c>
      <c r="I159" s="2">
        <v>2.0215999999999998</v>
      </c>
      <c r="J159" s="2">
        <v>2.1850999999999998</v>
      </c>
      <c r="K159" s="2">
        <v>2.3485999999999998</v>
      </c>
      <c r="L159" s="2">
        <v>2.5270000000000001</v>
      </c>
      <c r="M159" s="2">
        <v>2.7054</v>
      </c>
      <c r="N159" s="2">
        <v>2.8837999999999999</v>
      </c>
      <c r="O159" s="2">
        <v>3.0621999999999998</v>
      </c>
      <c r="P159" s="2">
        <v>3.2404999999999999</v>
      </c>
      <c r="Q159" s="2">
        <v>3.4188999999999998</v>
      </c>
      <c r="R159" s="5" t="s">
        <v>3</v>
      </c>
      <c r="S159" t="s">
        <v>127</v>
      </c>
    </row>
    <row r="160" spans="1:19" x14ac:dyDescent="0.25">
      <c r="B160" t="s">
        <v>136</v>
      </c>
      <c r="C160" s="2">
        <v>1.5968</v>
      </c>
      <c r="D160" s="2">
        <v>1.7266999999999999</v>
      </c>
      <c r="E160" s="2">
        <v>1.8567</v>
      </c>
      <c r="F160" s="2">
        <v>2.0424000000000002</v>
      </c>
      <c r="G160" s="2">
        <v>2.1722999999999999</v>
      </c>
      <c r="H160" s="2">
        <v>2.3209</v>
      </c>
      <c r="I160" s="2">
        <v>2.5251000000000001</v>
      </c>
      <c r="J160" s="2">
        <v>2.7292999999999998</v>
      </c>
      <c r="K160" s="2">
        <v>2.9336000000000002</v>
      </c>
      <c r="L160" s="2">
        <v>3.1564000000000001</v>
      </c>
      <c r="M160" s="2">
        <v>3.3792</v>
      </c>
      <c r="N160" s="2">
        <v>3.6019999999999999</v>
      </c>
      <c r="O160" s="2">
        <v>3.8248000000000002</v>
      </c>
      <c r="P160" s="2">
        <v>4.0476000000000001</v>
      </c>
      <c r="Q160" s="2">
        <v>4.2704000000000004</v>
      </c>
      <c r="R160" s="5" t="s">
        <v>3</v>
      </c>
      <c r="S160" t="s">
        <v>127</v>
      </c>
    </row>
    <row r="161" spans="2:20" x14ac:dyDescent="0.25">
      <c r="B161" t="s">
        <v>166</v>
      </c>
      <c r="C161" s="2">
        <v>1.3759999999999999</v>
      </c>
      <c r="D161" s="2">
        <v>1.4792000000000001</v>
      </c>
      <c r="E161" s="2">
        <v>1.5824</v>
      </c>
      <c r="F161" s="2">
        <v>1.72</v>
      </c>
      <c r="G161" s="2">
        <v>1.8231999999999999</v>
      </c>
      <c r="H161" s="2">
        <v>1.9263999999999999</v>
      </c>
      <c r="I161" s="2">
        <v>2.0640000000000001</v>
      </c>
      <c r="J161" s="2">
        <v>2.2016</v>
      </c>
      <c r="K161" s="2">
        <v>2.3391999999999999</v>
      </c>
      <c r="L161" s="2">
        <v>2.4767999999999999</v>
      </c>
      <c r="M161" s="2">
        <v>2.6143999999999998</v>
      </c>
      <c r="N161" s="2">
        <v>2.7519999999999998</v>
      </c>
      <c r="O161" s="2">
        <v>2.9239999999999999</v>
      </c>
      <c r="P161" s="2">
        <v>3.0960000000000001</v>
      </c>
      <c r="Q161" s="2">
        <v>3.2679999999999998</v>
      </c>
      <c r="R161" s="5" t="s">
        <v>19</v>
      </c>
      <c r="S161" t="s">
        <v>127</v>
      </c>
    </row>
    <row r="162" spans="2:20" x14ac:dyDescent="0.25">
      <c r="B162" t="s">
        <v>167</v>
      </c>
      <c r="C162" s="2">
        <v>0.84</v>
      </c>
      <c r="D162" s="2">
        <v>0.90300000000000002</v>
      </c>
      <c r="E162" s="2">
        <v>0.96599999999999997</v>
      </c>
      <c r="F162" s="2">
        <v>1.05</v>
      </c>
      <c r="G162" s="2">
        <v>1.113</v>
      </c>
      <c r="H162" s="2">
        <v>1.1759999999999999</v>
      </c>
      <c r="I162" s="2">
        <v>1.26</v>
      </c>
      <c r="J162" s="2">
        <v>1.3440000000000001</v>
      </c>
      <c r="K162" s="2">
        <v>1.4279999999999999</v>
      </c>
      <c r="L162" s="2">
        <v>1.512</v>
      </c>
      <c r="M162" s="2">
        <v>1.5960000000000001</v>
      </c>
      <c r="N162" s="2">
        <v>1.68</v>
      </c>
      <c r="O162" s="2">
        <v>1.7849999999999999</v>
      </c>
      <c r="P162" s="2">
        <v>1.89</v>
      </c>
      <c r="Q162" s="2">
        <v>1.9950000000000001</v>
      </c>
      <c r="R162" s="5" t="s">
        <v>19</v>
      </c>
      <c r="S162" t="s">
        <v>127</v>
      </c>
    </row>
    <row r="163" spans="2:20" x14ac:dyDescent="0.25">
      <c r="B163" t="s">
        <v>169</v>
      </c>
      <c r="C163" s="2">
        <v>0.92</v>
      </c>
      <c r="D163" s="2">
        <v>0.98899999999999999</v>
      </c>
      <c r="E163" s="2">
        <v>1.0580000000000001</v>
      </c>
      <c r="F163" s="2">
        <v>1.1499999999999999</v>
      </c>
      <c r="G163" s="2">
        <v>1.2190000000000001</v>
      </c>
      <c r="H163" s="2">
        <v>1.288</v>
      </c>
      <c r="I163" s="2">
        <v>1.38</v>
      </c>
      <c r="J163" s="2">
        <v>1.472</v>
      </c>
      <c r="K163" s="2">
        <v>1.5640000000000001</v>
      </c>
      <c r="L163" s="2">
        <v>1.6559999999999999</v>
      </c>
      <c r="M163" s="2">
        <v>1.748</v>
      </c>
      <c r="N163" s="2">
        <v>1.84</v>
      </c>
      <c r="O163" s="2">
        <v>1.9550000000000001</v>
      </c>
      <c r="P163" s="2">
        <v>2.0699999999999998</v>
      </c>
      <c r="Q163" s="2">
        <v>2.1850000000000001</v>
      </c>
      <c r="R163" s="5" t="s">
        <v>19</v>
      </c>
      <c r="S163" t="s">
        <v>127</v>
      </c>
    </row>
    <row r="164" spans="2:20" x14ac:dyDescent="0.25">
      <c r="B164" t="s">
        <v>168</v>
      </c>
      <c r="C164" s="2">
        <f t="shared" ref="C164:Q164" si="4">1.35*C163</f>
        <v>1.2420000000000002</v>
      </c>
      <c r="D164" s="2">
        <f t="shared" si="4"/>
        <v>1.3351500000000001</v>
      </c>
      <c r="E164" s="2">
        <f t="shared" si="4"/>
        <v>1.4283000000000001</v>
      </c>
      <c r="F164" s="2">
        <f t="shared" si="4"/>
        <v>1.5525</v>
      </c>
      <c r="G164" s="2">
        <f t="shared" si="4"/>
        <v>1.6456500000000003</v>
      </c>
      <c r="H164" s="2">
        <f t="shared" si="4"/>
        <v>1.7388000000000001</v>
      </c>
      <c r="I164" s="2">
        <f t="shared" si="4"/>
        <v>1.863</v>
      </c>
      <c r="J164" s="2">
        <f t="shared" si="4"/>
        <v>1.9872000000000001</v>
      </c>
      <c r="K164" s="2">
        <f t="shared" si="4"/>
        <v>2.1114000000000002</v>
      </c>
      <c r="L164" s="2">
        <f t="shared" si="4"/>
        <v>2.2356000000000003</v>
      </c>
      <c r="M164" s="2">
        <f t="shared" si="4"/>
        <v>2.3598000000000003</v>
      </c>
      <c r="N164" s="2">
        <f t="shared" si="4"/>
        <v>2.4840000000000004</v>
      </c>
      <c r="O164" s="2">
        <f t="shared" si="4"/>
        <v>2.6392500000000001</v>
      </c>
      <c r="P164" s="2">
        <f t="shared" si="4"/>
        <v>2.7944999999999998</v>
      </c>
      <c r="Q164" s="2">
        <f t="shared" si="4"/>
        <v>2.9497500000000003</v>
      </c>
      <c r="R164" s="5" t="s">
        <v>19</v>
      </c>
      <c r="S164" t="s">
        <v>127</v>
      </c>
    </row>
    <row r="165" spans="2:20" x14ac:dyDescent="0.25">
      <c r="B165" t="s">
        <v>171</v>
      </c>
      <c r="C165" s="2">
        <v>0.88</v>
      </c>
      <c r="D165" s="2">
        <v>0.94599999999999995</v>
      </c>
      <c r="E165" s="2">
        <v>1.012</v>
      </c>
      <c r="F165" s="2">
        <v>1.1000000000000001</v>
      </c>
      <c r="G165" s="2">
        <v>1.1659999999999999</v>
      </c>
      <c r="H165" s="2">
        <v>1.232</v>
      </c>
      <c r="I165" s="2">
        <v>1.32</v>
      </c>
      <c r="J165" s="2">
        <v>1.4079999999999999</v>
      </c>
      <c r="K165" s="2">
        <v>1.496</v>
      </c>
      <c r="L165" s="2">
        <v>1.5840000000000001</v>
      </c>
      <c r="M165" s="2">
        <v>1.6719999999999999</v>
      </c>
      <c r="N165" s="2">
        <v>1.76</v>
      </c>
      <c r="O165" s="2">
        <v>1.87</v>
      </c>
      <c r="P165" s="2">
        <v>1.98</v>
      </c>
      <c r="Q165" s="2">
        <v>2.09</v>
      </c>
      <c r="R165" s="5" t="s">
        <v>19</v>
      </c>
      <c r="S165" t="s">
        <v>127</v>
      </c>
    </row>
    <row r="166" spans="2:20" x14ac:dyDescent="0.25">
      <c r="B166" t="s">
        <v>170</v>
      </c>
      <c r="C166" s="2">
        <v>0.96</v>
      </c>
      <c r="D166" s="2">
        <v>1.032</v>
      </c>
      <c r="E166" s="2">
        <v>1.1040000000000001</v>
      </c>
      <c r="F166" s="2">
        <v>1.2</v>
      </c>
      <c r="G166" s="2">
        <v>1.272</v>
      </c>
      <c r="H166" s="2">
        <v>1.3440000000000001</v>
      </c>
      <c r="I166" s="2">
        <v>1.44</v>
      </c>
      <c r="J166" s="2">
        <v>1.536</v>
      </c>
      <c r="K166" s="2">
        <v>1.6319999999999999</v>
      </c>
      <c r="L166" s="2">
        <v>1.728</v>
      </c>
      <c r="M166" s="2">
        <v>1.8240000000000001</v>
      </c>
      <c r="N166" s="2">
        <v>1.92</v>
      </c>
      <c r="O166" s="2">
        <v>2.04</v>
      </c>
      <c r="P166" s="2">
        <v>2.16</v>
      </c>
      <c r="Q166" s="2">
        <v>2.2799999999999998</v>
      </c>
      <c r="R166" s="5" t="s">
        <v>19</v>
      </c>
      <c r="S166" t="s">
        <v>127</v>
      </c>
    </row>
    <row r="167" spans="2:20" x14ac:dyDescent="0.25">
      <c r="B167" t="s">
        <v>172</v>
      </c>
      <c r="C167" s="2">
        <v>1.32</v>
      </c>
      <c r="D167" s="2">
        <v>1.419</v>
      </c>
      <c r="E167" s="2">
        <v>1.518</v>
      </c>
      <c r="F167" s="2">
        <v>1.65</v>
      </c>
      <c r="G167" s="2">
        <v>1.7490000000000001</v>
      </c>
      <c r="H167" s="2">
        <v>1.8480000000000001</v>
      </c>
      <c r="I167" s="2">
        <v>1.98</v>
      </c>
      <c r="J167" s="2">
        <v>2.1120000000000001</v>
      </c>
      <c r="K167" s="2">
        <v>2.2440000000000002</v>
      </c>
      <c r="L167" s="2">
        <v>2.3759999999999999</v>
      </c>
      <c r="M167" s="2">
        <v>2.508</v>
      </c>
      <c r="N167" s="2">
        <v>2.64</v>
      </c>
      <c r="O167" s="2">
        <v>2.8050000000000002</v>
      </c>
      <c r="P167" s="2">
        <v>2.97</v>
      </c>
      <c r="Q167" s="2">
        <v>3.1349999999999998</v>
      </c>
      <c r="R167" s="5" t="s">
        <v>19</v>
      </c>
      <c r="S167" t="s">
        <v>127</v>
      </c>
    </row>
    <row r="168" spans="2:20" x14ac:dyDescent="0.25">
      <c r="B168" t="s">
        <v>918</v>
      </c>
      <c r="C168" s="2">
        <v>0.06</v>
      </c>
      <c r="D168" s="2">
        <v>6.4500000000000002E-2</v>
      </c>
      <c r="E168" s="2">
        <v>6.9000000000000006E-2</v>
      </c>
      <c r="F168" s="2">
        <v>7.4999999999999997E-2</v>
      </c>
      <c r="G168" s="2">
        <v>7.9500000000000001E-2</v>
      </c>
      <c r="H168" s="2">
        <v>8.4000000000000005E-2</v>
      </c>
      <c r="I168" s="2">
        <v>0.09</v>
      </c>
      <c r="J168" s="2">
        <v>9.6000000000000002E-2</v>
      </c>
      <c r="K168" s="2">
        <v>0.10199999999999999</v>
      </c>
      <c r="L168" s="2">
        <v>0.108</v>
      </c>
      <c r="M168" s="2">
        <v>0.114</v>
      </c>
      <c r="N168" s="2">
        <v>0.12</v>
      </c>
      <c r="O168" s="2">
        <v>0.1275</v>
      </c>
      <c r="P168" s="2">
        <v>0.13500000000000001</v>
      </c>
      <c r="Q168" s="2">
        <v>0.14249999999999999</v>
      </c>
      <c r="R168" s="5" t="s">
        <v>0</v>
      </c>
      <c r="S168" t="s">
        <v>226</v>
      </c>
      <c r="T168" t="s">
        <v>955</v>
      </c>
    </row>
    <row r="169" spans="2:20" x14ac:dyDescent="0.25">
      <c r="B169" t="s">
        <v>917</v>
      </c>
      <c r="C169">
        <v>577</v>
      </c>
      <c r="D169">
        <v>635</v>
      </c>
      <c r="E169">
        <v>698</v>
      </c>
      <c r="F169">
        <v>765</v>
      </c>
      <c r="G169">
        <v>837</v>
      </c>
      <c r="H169">
        <v>914</v>
      </c>
      <c r="I169">
        <v>996</v>
      </c>
      <c r="J169">
        <v>1083</v>
      </c>
      <c r="K169">
        <v>1174</v>
      </c>
      <c r="L169">
        <v>1270</v>
      </c>
      <c r="M169">
        <v>1371</v>
      </c>
      <c r="N169">
        <v>1477</v>
      </c>
      <c r="O169">
        <v>1588</v>
      </c>
      <c r="P169">
        <v>1703</v>
      </c>
      <c r="Q169">
        <v>1824</v>
      </c>
      <c r="R169" s="5" t="s">
        <v>0</v>
      </c>
      <c r="S169" t="s">
        <v>226</v>
      </c>
      <c r="T169" t="s">
        <v>956</v>
      </c>
    </row>
    <row r="170" spans="2:20" x14ac:dyDescent="0.25">
      <c r="B170" t="s">
        <v>173</v>
      </c>
      <c r="C170" s="2">
        <v>2.3279999999999998</v>
      </c>
      <c r="D170" s="2">
        <v>2.5026000000000002</v>
      </c>
      <c r="E170" s="2">
        <v>2.6772</v>
      </c>
      <c r="F170" s="2">
        <v>2.91</v>
      </c>
      <c r="G170" s="2">
        <v>3.0846</v>
      </c>
      <c r="H170" s="2">
        <v>3.2591999999999999</v>
      </c>
      <c r="I170" s="2">
        <v>3.492</v>
      </c>
      <c r="J170" s="2">
        <v>3.7248000000000001</v>
      </c>
      <c r="K170" s="2">
        <v>3.9575999999999998</v>
      </c>
      <c r="L170" s="2">
        <v>4.1904000000000003</v>
      </c>
      <c r="M170" s="2">
        <v>4.4231999999999996</v>
      </c>
      <c r="N170" s="2">
        <v>4.6559999999999997</v>
      </c>
      <c r="O170" s="2">
        <v>4.9470000000000001</v>
      </c>
      <c r="P170" s="2">
        <v>5.2380000000000004</v>
      </c>
      <c r="Q170" s="2">
        <v>5.5289999999999999</v>
      </c>
      <c r="R170" s="5" t="s">
        <v>0</v>
      </c>
      <c r="S170" t="s">
        <v>127</v>
      </c>
    </row>
    <row r="171" spans="2:20" x14ac:dyDescent="0.25">
      <c r="B171" s="3" t="s">
        <v>771</v>
      </c>
      <c r="C171" s="23"/>
      <c r="D171" s="23"/>
      <c r="E171" s="23"/>
      <c r="F171" s="23"/>
      <c r="G171" s="23"/>
      <c r="H171" s="23"/>
      <c r="I171" s="23"/>
      <c r="J171" s="23"/>
      <c r="K171" s="23"/>
      <c r="L171" s="23"/>
      <c r="M171" s="23"/>
      <c r="N171" s="23"/>
      <c r="O171" s="23"/>
      <c r="P171" s="23"/>
      <c r="Q171" s="23"/>
      <c r="R171" s="5" t="s">
        <v>771</v>
      </c>
      <c r="S171" t="s">
        <v>772</v>
      </c>
    </row>
    <row r="172" spans="2:20" x14ac:dyDescent="0.25">
      <c r="B172" s="3" t="s">
        <v>390</v>
      </c>
      <c r="C172" s="23"/>
      <c r="D172" s="23"/>
      <c r="E172" s="23"/>
      <c r="F172" s="23"/>
      <c r="G172" s="23"/>
      <c r="H172" s="23"/>
      <c r="I172" s="23"/>
      <c r="J172" s="23"/>
      <c r="K172" s="23"/>
      <c r="L172" s="23"/>
      <c r="M172" s="23"/>
      <c r="N172" s="23"/>
      <c r="O172" s="23"/>
      <c r="P172" s="23"/>
      <c r="Q172" s="23"/>
      <c r="R172" s="5" t="s">
        <v>396</v>
      </c>
      <c r="S172" t="s">
        <v>69</v>
      </c>
    </row>
    <row r="173" spans="2:20" x14ac:dyDescent="0.25">
      <c r="B173" s="3" t="s">
        <v>392</v>
      </c>
      <c r="C173" s="23"/>
      <c r="D173" s="23"/>
      <c r="E173" s="23"/>
      <c r="F173" s="23"/>
      <c r="G173" s="23"/>
      <c r="H173" s="23"/>
      <c r="I173" s="23"/>
      <c r="J173" s="23"/>
      <c r="K173" s="23"/>
      <c r="L173" s="23"/>
      <c r="M173" s="23"/>
      <c r="N173" s="23"/>
      <c r="O173" s="23"/>
      <c r="P173" s="23"/>
      <c r="Q173" s="23"/>
      <c r="R173" s="5" t="s">
        <v>396</v>
      </c>
      <c r="S173" t="s">
        <v>69</v>
      </c>
    </row>
    <row r="174" spans="2:20" x14ac:dyDescent="0.25">
      <c r="B174" s="3" t="s">
        <v>393</v>
      </c>
      <c r="C174" s="23"/>
      <c r="D174" s="23"/>
      <c r="E174" s="23"/>
      <c r="F174" s="23"/>
      <c r="G174" s="23"/>
      <c r="H174" s="23"/>
      <c r="I174" s="23"/>
      <c r="J174" s="23"/>
      <c r="K174" s="23"/>
      <c r="L174" s="23"/>
      <c r="M174" s="23"/>
      <c r="N174" s="23"/>
      <c r="O174" s="23"/>
      <c r="P174" s="23"/>
      <c r="Q174" s="23"/>
      <c r="R174" s="5" t="s">
        <v>396</v>
      </c>
      <c r="S174" t="s">
        <v>69</v>
      </c>
    </row>
    <row r="175" spans="2:20" x14ac:dyDescent="0.25">
      <c r="B175" s="3" t="s">
        <v>389</v>
      </c>
      <c r="C175" s="23"/>
      <c r="D175" s="23"/>
      <c r="E175" s="23"/>
      <c r="F175" s="23"/>
      <c r="G175" s="23"/>
      <c r="H175" s="23"/>
      <c r="I175" s="23"/>
      <c r="J175" s="23"/>
      <c r="K175" s="23"/>
      <c r="L175" s="23"/>
      <c r="M175" s="23"/>
      <c r="N175" s="23"/>
      <c r="O175" s="23"/>
      <c r="P175" s="23"/>
      <c r="Q175" s="23"/>
      <c r="R175" s="5" t="s">
        <v>396</v>
      </c>
      <c r="S175" t="s">
        <v>69</v>
      </c>
    </row>
    <row r="176" spans="2:20" x14ac:dyDescent="0.25">
      <c r="B176" s="3" t="s">
        <v>391</v>
      </c>
      <c r="C176" s="23"/>
      <c r="D176" s="23"/>
      <c r="E176" s="23"/>
      <c r="F176" s="23"/>
      <c r="G176" s="23"/>
      <c r="H176" s="23"/>
      <c r="I176" s="23"/>
      <c r="J176" s="23"/>
      <c r="K176" s="23"/>
      <c r="L176" s="23"/>
      <c r="M176" s="23"/>
      <c r="N176" s="23"/>
      <c r="O176" s="23"/>
      <c r="P176" s="23"/>
      <c r="Q176" s="23"/>
      <c r="R176" s="5" t="s">
        <v>396</v>
      </c>
      <c r="S176" t="s">
        <v>69</v>
      </c>
    </row>
    <row r="177" spans="1:19" x14ac:dyDescent="0.25">
      <c r="B177" s="3" t="s">
        <v>394</v>
      </c>
      <c r="C177" s="23"/>
      <c r="D177" s="23"/>
      <c r="E177" s="23"/>
      <c r="F177" s="23"/>
      <c r="G177" s="23"/>
      <c r="H177" s="23"/>
      <c r="I177" s="23"/>
      <c r="J177" s="23"/>
      <c r="K177" s="23"/>
      <c r="L177" s="23"/>
      <c r="M177" s="23"/>
      <c r="N177" s="23"/>
      <c r="O177" s="23"/>
      <c r="P177" s="23"/>
      <c r="Q177" s="23"/>
      <c r="R177" s="5" t="s">
        <v>396</v>
      </c>
      <c r="S177" t="s">
        <v>69</v>
      </c>
    </row>
    <row r="178" spans="1:19" x14ac:dyDescent="0.25">
      <c r="B178" s="3" t="s">
        <v>395</v>
      </c>
      <c r="C178" s="23"/>
      <c r="D178" s="23"/>
      <c r="E178" s="23"/>
      <c r="F178" s="23"/>
      <c r="G178" s="23"/>
      <c r="H178" s="23"/>
      <c r="I178" s="23"/>
      <c r="J178" s="23"/>
      <c r="K178" s="23"/>
      <c r="L178" s="23"/>
      <c r="M178" s="23"/>
      <c r="N178" s="23"/>
      <c r="O178" s="23"/>
      <c r="P178" s="23"/>
      <c r="Q178" s="23"/>
      <c r="R178" s="5" t="s">
        <v>396</v>
      </c>
      <c r="S178" t="s">
        <v>69</v>
      </c>
    </row>
    <row r="179" spans="1:19" x14ac:dyDescent="0.25">
      <c r="A179" t="s">
        <v>840</v>
      </c>
      <c r="B179" s="3" t="s">
        <v>397</v>
      </c>
      <c r="C179" s="23"/>
      <c r="D179" s="23"/>
      <c r="E179" s="23"/>
      <c r="F179" s="23"/>
      <c r="G179" s="23"/>
      <c r="H179" s="23"/>
      <c r="I179" s="23"/>
      <c r="J179" s="23"/>
      <c r="K179" s="23"/>
      <c r="L179" s="23"/>
      <c r="M179" s="23"/>
      <c r="N179" s="23"/>
      <c r="O179" s="23"/>
      <c r="P179" s="23"/>
      <c r="Q179" s="23"/>
      <c r="R179" s="5" t="s">
        <v>396</v>
      </c>
      <c r="S179" t="s">
        <v>69</v>
      </c>
    </row>
    <row r="180" spans="1:19" x14ac:dyDescent="0.25">
      <c r="B180" t="s">
        <v>174</v>
      </c>
      <c r="C180" s="21">
        <v>1</v>
      </c>
      <c r="D180" s="21">
        <v>2</v>
      </c>
      <c r="E180" s="21">
        <v>3</v>
      </c>
      <c r="F180" s="21">
        <v>4</v>
      </c>
      <c r="G180" s="21">
        <v>5</v>
      </c>
      <c r="H180" s="21">
        <v>6</v>
      </c>
      <c r="I180" s="21">
        <v>7</v>
      </c>
      <c r="J180" s="21">
        <v>8</v>
      </c>
      <c r="K180" s="21">
        <v>9</v>
      </c>
      <c r="L180" s="21">
        <v>10</v>
      </c>
      <c r="M180" s="21">
        <v>11</v>
      </c>
      <c r="N180" s="21">
        <v>12</v>
      </c>
      <c r="O180" s="21">
        <v>13</v>
      </c>
      <c r="P180" s="21">
        <v>14</v>
      </c>
      <c r="Q180" s="21">
        <v>15</v>
      </c>
      <c r="R180" s="5" t="s">
        <v>11</v>
      </c>
      <c r="S180" t="s">
        <v>126</v>
      </c>
    </row>
    <row r="181" spans="1:19" x14ac:dyDescent="0.25">
      <c r="A181" t="s">
        <v>841</v>
      </c>
      <c r="B181" t="s">
        <v>10</v>
      </c>
      <c r="C181" s="2">
        <v>0.7</v>
      </c>
      <c r="D181" s="2">
        <v>0.75700000000000001</v>
      </c>
      <c r="E181" s="2">
        <v>0.81399999999999995</v>
      </c>
      <c r="F181" s="2">
        <v>0.89539999999999997</v>
      </c>
      <c r="G181" s="2">
        <v>0.95240000000000002</v>
      </c>
      <c r="H181" s="2">
        <v>1.0175000000000001</v>
      </c>
      <c r="I181" s="2">
        <v>1.107</v>
      </c>
      <c r="J181" s="2">
        <v>1.1966000000000001</v>
      </c>
      <c r="K181" s="2">
        <v>1.2861</v>
      </c>
      <c r="L181" s="2">
        <v>1.3837999999999999</v>
      </c>
      <c r="M181" s="2">
        <v>1.4815</v>
      </c>
      <c r="N181" s="2">
        <v>1.5791999999999999</v>
      </c>
      <c r="O181" s="2">
        <v>1.6768000000000001</v>
      </c>
      <c r="P181" s="2">
        <v>1.7745</v>
      </c>
      <c r="Q181" s="2">
        <v>1.8722000000000001</v>
      </c>
      <c r="R181" s="5" t="s">
        <v>6</v>
      </c>
      <c r="S181" t="s">
        <v>127</v>
      </c>
    </row>
    <row r="182" spans="1:19" x14ac:dyDescent="0.25">
      <c r="B182" t="s">
        <v>9</v>
      </c>
      <c r="C182" s="2">
        <v>0.63119999999999998</v>
      </c>
      <c r="D182" s="2">
        <v>0.68259999999999998</v>
      </c>
      <c r="E182" s="2">
        <v>0.73399999999999999</v>
      </c>
      <c r="F182" s="2">
        <v>0.80740000000000001</v>
      </c>
      <c r="G182" s="2">
        <v>0.85880000000000001</v>
      </c>
      <c r="H182" s="2">
        <v>0.91749999999999998</v>
      </c>
      <c r="I182" s="2">
        <v>0.99819999999999998</v>
      </c>
      <c r="J182" s="2">
        <v>1.079</v>
      </c>
      <c r="K182" s="2">
        <v>1.1597</v>
      </c>
      <c r="L182" s="2">
        <v>1.2478</v>
      </c>
      <c r="M182" s="2">
        <v>1.3359000000000001</v>
      </c>
      <c r="N182" s="2">
        <v>1.4239999999999999</v>
      </c>
      <c r="O182" s="2">
        <v>1.512</v>
      </c>
      <c r="P182" s="2">
        <v>1.6001000000000001</v>
      </c>
      <c r="Q182" s="2">
        <v>1.6881999999999999</v>
      </c>
      <c r="R182" s="5" t="s">
        <v>6</v>
      </c>
      <c r="S182" t="s">
        <v>127</v>
      </c>
    </row>
    <row r="183" spans="1:19" x14ac:dyDescent="0.25">
      <c r="B183" t="s">
        <v>8</v>
      </c>
      <c r="C183" s="2">
        <v>0.80320000000000003</v>
      </c>
      <c r="D183" s="2">
        <v>0.86860000000000004</v>
      </c>
      <c r="E183" s="2">
        <v>0.93400000000000005</v>
      </c>
      <c r="F183" s="2">
        <v>1.0274000000000001</v>
      </c>
      <c r="G183" s="2">
        <v>1.0928</v>
      </c>
      <c r="H183" s="2">
        <v>1.1675</v>
      </c>
      <c r="I183" s="2">
        <v>1.2702</v>
      </c>
      <c r="J183" s="2">
        <v>1.373</v>
      </c>
      <c r="K183" s="2">
        <v>1.4757</v>
      </c>
      <c r="L183" s="2">
        <v>1.5878000000000001</v>
      </c>
      <c r="M183" s="2">
        <v>1.6999</v>
      </c>
      <c r="N183" s="2">
        <v>1.8120000000000001</v>
      </c>
      <c r="O183" s="2">
        <v>1.9239999999999999</v>
      </c>
      <c r="P183" s="2">
        <v>2.0360999999999998</v>
      </c>
      <c r="Q183" s="2">
        <v>2.1482000000000001</v>
      </c>
      <c r="R183" s="5" t="s">
        <v>6</v>
      </c>
      <c r="S183" t="s">
        <v>127</v>
      </c>
    </row>
    <row r="184" spans="1:19" x14ac:dyDescent="0.25">
      <c r="B184" t="s">
        <v>13</v>
      </c>
      <c r="C184" s="2">
        <v>1.0122</v>
      </c>
      <c r="D184" s="2">
        <v>1.0946</v>
      </c>
      <c r="E184" s="2">
        <v>1.177</v>
      </c>
      <c r="F184" s="2">
        <v>1.2947</v>
      </c>
      <c r="G184" s="2">
        <v>1.3771</v>
      </c>
      <c r="H184" s="2">
        <v>1.4713000000000001</v>
      </c>
      <c r="I184" s="2">
        <v>1.6007</v>
      </c>
      <c r="J184" s="2">
        <v>1.7302</v>
      </c>
      <c r="K184" s="2">
        <v>1.8596999999999999</v>
      </c>
      <c r="L184" s="2">
        <v>2.0009000000000001</v>
      </c>
      <c r="M184" s="2">
        <v>2.1421000000000001</v>
      </c>
      <c r="N184" s="2">
        <v>2.2833999999999999</v>
      </c>
      <c r="O184" s="2">
        <v>2.4245999999999999</v>
      </c>
      <c r="P184" s="2">
        <v>2.5659000000000001</v>
      </c>
      <c r="Q184" s="2">
        <v>2.7071000000000001</v>
      </c>
      <c r="R184" s="5" t="s">
        <v>6</v>
      </c>
      <c r="S184" t="s">
        <v>127</v>
      </c>
    </row>
    <row r="185" spans="1:19" x14ac:dyDescent="0.25">
      <c r="B185" t="s">
        <v>157</v>
      </c>
      <c r="C185" s="2">
        <v>0.56289999999999996</v>
      </c>
      <c r="D185" s="2">
        <v>0.60870000000000002</v>
      </c>
      <c r="E185" s="2">
        <v>0.65449999999999997</v>
      </c>
      <c r="F185" s="2">
        <v>0.71989999999999998</v>
      </c>
      <c r="G185" s="2">
        <v>0.76570000000000005</v>
      </c>
      <c r="H185" s="2">
        <v>0.81810000000000005</v>
      </c>
      <c r="I185" s="2">
        <v>0.8901</v>
      </c>
      <c r="J185" s="2">
        <v>0.96209999999999996</v>
      </c>
      <c r="K185" s="2">
        <v>1.0341</v>
      </c>
      <c r="L185" s="2">
        <v>1.1126</v>
      </c>
      <c r="M185" s="2">
        <v>1.1912</v>
      </c>
      <c r="N185" s="2">
        <v>1.2697000000000001</v>
      </c>
      <c r="O185" s="2">
        <v>1.3482000000000001</v>
      </c>
      <c r="P185" s="2">
        <v>1.4268000000000001</v>
      </c>
      <c r="Q185" s="2">
        <v>1.5053000000000001</v>
      </c>
      <c r="R185" s="5" t="s">
        <v>5</v>
      </c>
      <c r="S185" t="s">
        <v>127</v>
      </c>
    </row>
    <row r="186" spans="1:19" x14ac:dyDescent="0.25">
      <c r="B186" t="s">
        <v>158</v>
      </c>
      <c r="C186" s="2">
        <v>1.0178</v>
      </c>
      <c r="D186" s="2">
        <v>1.1007</v>
      </c>
      <c r="E186" s="2">
        <v>1.1835</v>
      </c>
      <c r="F186" s="2">
        <v>1.3019000000000001</v>
      </c>
      <c r="G186" s="2">
        <v>1.3847</v>
      </c>
      <c r="H186" s="2">
        <v>1.4794</v>
      </c>
      <c r="I186" s="2">
        <v>1.6095999999999999</v>
      </c>
      <c r="J186" s="2">
        <v>1.7397</v>
      </c>
      <c r="K186" s="2">
        <v>1.8698999999999999</v>
      </c>
      <c r="L186" s="2">
        <v>2.012</v>
      </c>
      <c r="M186" s="2">
        <v>2.1539999999999999</v>
      </c>
      <c r="N186" s="2">
        <v>2.2959999999999998</v>
      </c>
      <c r="O186" s="2">
        <v>2.4380000000000002</v>
      </c>
      <c r="P186" s="2">
        <v>2.58</v>
      </c>
      <c r="Q186" s="2">
        <v>2.7221000000000002</v>
      </c>
      <c r="R186" s="5" t="s">
        <v>5</v>
      </c>
      <c r="S186" t="s">
        <v>127</v>
      </c>
    </row>
    <row r="187" spans="1:19" x14ac:dyDescent="0.25">
      <c r="B187" t="s">
        <v>155</v>
      </c>
      <c r="C187" s="2">
        <v>0.74590000000000001</v>
      </c>
      <c r="D187" s="2">
        <v>0.80659999999999998</v>
      </c>
      <c r="E187" s="2">
        <v>0.86729999999999996</v>
      </c>
      <c r="F187" s="2">
        <v>0.95399999999999996</v>
      </c>
      <c r="G187" s="2">
        <v>1.0146999999999999</v>
      </c>
      <c r="H187" s="2">
        <v>1.0841000000000001</v>
      </c>
      <c r="I187" s="2">
        <v>1.1795</v>
      </c>
      <c r="J187" s="2">
        <v>1.2748999999999999</v>
      </c>
      <c r="K187" s="2">
        <v>1.3703000000000001</v>
      </c>
      <c r="L187" s="2">
        <v>1.4743999999999999</v>
      </c>
      <c r="M187" s="2">
        <v>1.5785</v>
      </c>
      <c r="N187" s="2">
        <v>1.6826000000000001</v>
      </c>
      <c r="O187" s="2">
        <v>1.7866</v>
      </c>
      <c r="P187" s="2">
        <v>1.8907</v>
      </c>
      <c r="Q187" s="2">
        <v>1.9947999999999999</v>
      </c>
      <c r="R187" s="5" t="s">
        <v>3</v>
      </c>
      <c r="S187" t="s">
        <v>127</v>
      </c>
    </row>
    <row r="188" spans="1:19" x14ac:dyDescent="0.25">
      <c r="B188" t="s">
        <v>135</v>
      </c>
      <c r="C188" s="2">
        <v>1.4914000000000001</v>
      </c>
      <c r="D188" s="2">
        <v>1.6128</v>
      </c>
      <c r="E188" s="2">
        <v>1.7342</v>
      </c>
      <c r="F188" s="2">
        <v>1.9077</v>
      </c>
      <c r="G188" s="2">
        <v>2.0291000000000001</v>
      </c>
      <c r="H188" s="2">
        <v>2.1678000000000002</v>
      </c>
      <c r="I188" s="2">
        <v>2.3586</v>
      </c>
      <c r="J188" s="2">
        <v>2.5493000000000001</v>
      </c>
      <c r="K188" s="2">
        <v>2.7401</v>
      </c>
      <c r="L188" s="2">
        <v>2.9481999999999999</v>
      </c>
      <c r="M188" s="2">
        <v>3.1562999999999999</v>
      </c>
      <c r="N188" s="2">
        <v>3.3643999999999998</v>
      </c>
      <c r="O188" s="2">
        <v>3.5724999999999998</v>
      </c>
      <c r="P188" s="2">
        <v>3.7806000000000002</v>
      </c>
      <c r="Q188" s="2">
        <v>3.9887000000000001</v>
      </c>
      <c r="R188" s="5" t="s">
        <v>3</v>
      </c>
      <c r="S188" t="s">
        <v>127</v>
      </c>
    </row>
    <row r="189" spans="1:19" x14ac:dyDescent="0.25">
      <c r="B189" t="s">
        <v>136</v>
      </c>
      <c r="C189" s="2">
        <v>1.8629</v>
      </c>
      <c r="D189" s="2">
        <v>2.0145</v>
      </c>
      <c r="E189" s="2">
        <v>2.1661999999999999</v>
      </c>
      <c r="F189" s="2">
        <v>2.3828</v>
      </c>
      <c r="G189" s="2">
        <v>2.5344000000000002</v>
      </c>
      <c r="H189" s="2">
        <v>2.7077</v>
      </c>
      <c r="I189" s="2">
        <v>2.9460000000000002</v>
      </c>
      <c r="J189" s="2">
        <v>3.1842000000000001</v>
      </c>
      <c r="K189" s="2">
        <v>3.4224999999999999</v>
      </c>
      <c r="L189" s="2">
        <v>3.6825000000000001</v>
      </c>
      <c r="M189" s="2">
        <v>3.9424000000000001</v>
      </c>
      <c r="N189" s="2">
        <v>4.2023000000000001</v>
      </c>
      <c r="O189" s="2">
        <v>4.4622999999999999</v>
      </c>
      <c r="P189" s="2">
        <v>4.7222</v>
      </c>
      <c r="Q189" s="2">
        <v>4.9821</v>
      </c>
      <c r="R189" s="5" t="s">
        <v>3</v>
      </c>
      <c r="S189" t="s">
        <v>127</v>
      </c>
    </row>
    <row r="190" spans="1:19" x14ac:dyDescent="0.25">
      <c r="B190" t="s">
        <v>4</v>
      </c>
      <c r="C190" s="2">
        <v>1.7203999999999999</v>
      </c>
      <c r="D190" s="2">
        <v>1.8493999999999999</v>
      </c>
      <c r="E190" s="2">
        <v>1.9784999999999999</v>
      </c>
      <c r="F190" s="2">
        <v>2.1505000000000001</v>
      </c>
      <c r="G190" s="2">
        <v>2.2795000000000001</v>
      </c>
      <c r="H190" s="2">
        <v>2.4085999999999999</v>
      </c>
      <c r="I190" s="2">
        <v>2.5806</v>
      </c>
      <c r="J190" s="2">
        <v>2.7526000000000002</v>
      </c>
      <c r="K190" s="2">
        <v>2.9247000000000001</v>
      </c>
      <c r="L190" s="2">
        <v>3.0966999999999998</v>
      </c>
      <c r="M190" s="2">
        <v>3.2688000000000001</v>
      </c>
      <c r="N190" s="2">
        <v>3.4407999999999999</v>
      </c>
      <c r="O190" s="2">
        <v>3.6558999999999999</v>
      </c>
      <c r="P190" s="2">
        <v>3.8708999999999998</v>
      </c>
      <c r="Q190" s="2">
        <v>4.0860000000000003</v>
      </c>
      <c r="R190" s="5" t="s">
        <v>19</v>
      </c>
      <c r="S190" t="s">
        <v>127</v>
      </c>
    </row>
    <row r="191" spans="1:19" x14ac:dyDescent="0.25">
      <c r="B191" t="s">
        <v>175</v>
      </c>
      <c r="C191" s="2">
        <v>1.4239999999999999</v>
      </c>
      <c r="D191" s="2">
        <v>1.5307999999999999</v>
      </c>
      <c r="E191" s="2">
        <v>1.6375999999999999</v>
      </c>
      <c r="F191" s="2">
        <v>1.78</v>
      </c>
      <c r="G191" s="2">
        <v>1.8868</v>
      </c>
      <c r="H191" s="2">
        <v>1.9936</v>
      </c>
      <c r="I191" s="2">
        <v>2.1360000000000001</v>
      </c>
      <c r="J191" s="2">
        <v>2.2784</v>
      </c>
      <c r="K191" s="2">
        <v>2.4207999999999998</v>
      </c>
      <c r="L191" s="2">
        <v>2.5632000000000001</v>
      </c>
      <c r="M191" s="2">
        <v>2.7056</v>
      </c>
      <c r="N191" s="2">
        <v>2.8479999999999999</v>
      </c>
      <c r="O191" s="2">
        <v>3.0259999999999998</v>
      </c>
      <c r="P191" s="2">
        <v>3.2040000000000002</v>
      </c>
      <c r="Q191" s="2">
        <v>3.3820000000000001</v>
      </c>
      <c r="R191" s="5" t="s">
        <v>0</v>
      </c>
      <c r="S191" t="s">
        <v>127</v>
      </c>
    </row>
    <row r="192" spans="1:19" x14ac:dyDescent="0.25">
      <c r="B192" s="3" t="s">
        <v>771</v>
      </c>
      <c r="C192" s="23"/>
      <c r="D192" s="23"/>
      <c r="E192" s="23"/>
      <c r="F192" s="23"/>
      <c r="G192" s="23"/>
      <c r="H192" s="23"/>
      <c r="I192" s="23"/>
      <c r="J192" s="23"/>
      <c r="K192" s="23"/>
      <c r="L192" s="23"/>
      <c r="M192" s="23"/>
      <c r="N192" s="23"/>
      <c r="O192" s="23"/>
      <c r="P192" s="23"/>
      <c r="Q192" s="23"/>
      <c r="R192" s="5" t="s">
        <v>771</v>
      </c>
      <c r="S192" t="s">
        <v>772</v>
      </c>
    </row>
    <row r="193" spans="1:19" x14ac:dyDescent="0.25">
      <c r="B193" s="3" t="s">
        <v>390</v>
      </c>
      <c r="C193" s="23"/>
      <c r="D193" s="23"/>
      <c r="E193" s="23"/>
      <c r="F193" s="23"/>
      <c r="G193" s="23"/>
      <c r="H193" s="23"/>
      <c r="I193" s="23"/>
      <c r="J193" s="23"/>
      <c r="K193" s="23"/>
      <c r="L193" s="23"/>
      <c r="M193" s="23"/>
      <c r="N193" s="23"/>
      <c r="O193" s="23"/>
      <c r="P193" s="23"/>
      <c r="Q193" s="23"/>
      <c r="R193" s="5" t="s">
        <v>396</v>
      </c>
      <c r="S193" t="s">
        <v>69</v>
      </c>
    </row>
    <row r="194" spans="1:19" x14ac:dyDescent="0.25">
      <c r="B194" s="3" t="s">
        <v>392</v>
      </c>
      <c r="C194" s="23"/>
      <c r="D194" s="23"/>
      <c r="E194" s="23"/>
      <c r="F194" s="23"/>
      <c r="G194" s="23"/>
      <c r="H194" s="23"/>
      <c r="I194" s="23"/>
      <c r="J194" s="23"/>
      <c r="K194" s="23"/>
      <c r="L194" s="23"/>
      <c r="M194" s="23"/>
      <c r="N194" s="23"/>
      <c r="O194" s="23"/>
      <c r="P194" s="23"/>
      <c r="Q194" s="23"/>
      <c r="R194" s="5" t="s">
        <v>396</v>
      </c>
      <c r="S194" t="s">
        <v>69</v>
      </c>
    </row>
    <row r="195" spans="1:19" x14ac:dyDescent="0.25">
      <c r="B195" s="3" t="s">
        <v>393</v>
      </c>
      <c r="C195" s="23"/>
      <c r="D195" s="23"/>
      <c r="E195" s="23"/>
      <c r="F195" s="23"/>
      <c r="G195" s="23"/>
      <c r="H195" s="23"/>
      <c r="I195" s="23"/>
      <c r="J195" s="23"/>
      <c r="K195" s="23"/>
      <c r="L195" s="23"/>
      <c r="M195" s="23"/>
      <c r="N195" s="23"/>
      <c r="O195" s="23"/>
      <c r="P195" s="23"/>
      <c r="Q195" s="23"/>
      <c r="R195" s="5" t="s">
        <v>396</v>
      </c>
      <c r="S195" t="s">
        <v>69</v>
      </c>
    </row>
    <row r="196" spans="1:19" x14ac:dyDescent="0.25">
      <c r="B196" s="3" t="s">
        <v>389</v>
      </c>
      <c r="C196" s="23"/>
      <c r="D196" s="23"/>
      <c r="E196" s="23"/>
      <c r="F196" s="23"/>
      <c r="G196" s="23"/>
      <c r="H196" s="23"/>
      <c r="I196" s="23"/>
      <c r="J196" s="23"/>
      <c r="K196" s="23"/>
      <c r="L196" s="23"/>
      <c r="M196" s="23"/>
      <c r="N196" s="23"/>
      <c r="O196" s="23"/>
      <c r="P196" s="23"/>
      <c r="Q196" s="23"/>
      <c r="R196" s="5" t="s">
        <v>396</v>
      </c>
      <c r="S196" t="s">
        <v>69</v>
      </c>
    </row>
    <row r="197" spans="1:19" x14ac:dyDescent="0.25">
      <c r="B197" s="3" t="s">
        <v>391</v>
      </c>
      <c r="C197" s="23"/>
      <c r="D197" s="23"/>
      <c r="E197" s="23"/>
      <c r="F197" s="23"/>
      <c r="G197" s="23"/>
      <c r="H197" s="23"/>
      <c r="I197" s="23"/>
      <c r="J197" s="23"/>
      <c r="K197" s="23"/>
      <c r="L197" s="23"/>
      <c r="M197" s="23"/>
      <c r="N197" s="23"/>
      <c r="O197" s="23"/>
      <c r="P197" s="23"/>
      <c r="Q197" s="23"/>
      <c r="R197" s="5" t="s">
        <v>396</v>
      </c>
      <c r="S197" t="s">
        <v>69</v>
      </c>
    </row>
    <row r="198" spans="1:19" x14ac:dyDescent="0.25">
      <c r="B198" s="3" t="s">
        <v>394</v>
      </c>
      <c r="C198" s="23"/>
      <c r="D198" s="23"/>
      <c r="E198" s="23"/>
      <c r="F198" s="23"/>
      <c r="G198" s="23"/>
      <c r="H198" s="23"/>
      <c r="I198" s="23"/>
      <c r="J198" s="23"/>
      <c r="K198" s="23"/>
      <c r="L198" s="23"/>
      <c r="M198" s="23"/>
      <c r="N198" s="23"/>
      <c r="O198" s="23"/>
      <c r="P198" s="23"/>
      <c r="Q198" s="23"/>
      <c r="R198" s="5" t="s">
        <v>396</v>
      </c>
      <c r="S198" t="s">
        <v>69</v>
      </c>
    </row>
    <row r="199" spans="1:19" x14ac:dyDescent="0.25">
      <c r="B199" s="3" t="s">
        <v>395</v>
      </c>
      <c r="C199" s="23"/>
      <c r="D199" s="23"/>
      <c r="E199" s="23"/>
      <c r="F199" s="23"/>
      <c r="G199" s="23"/>
      <c r="H199" s="23"/>
      <c r="I199" s="23"/>
      <c r="J199" s="23"/>
      <c r="K199" s="23"/>
      <c r="L199" s="23"/>
      <c r="M199" s="23"/>
      <c r="N199" s="23"/>
      <c r="O199" s="23"/>
      <c r="P199" s="23"/>
      <c r="Q199" s="23"/>
      <c r="R199" s="5" t="s">
        <v>396</v>
      </c>
      <c r="S199" t="s">
        <v>69</v>
      </c>
    </row>
    <row r="200" spans="1:19" x14ac:dyDescent="0.25">
      <c r="A200" t="s">
        <v>842</v>
      </c>
      <c r="B200" s="3" t="s">
        <v>397</v>
      </c>
      <c r="C200" s="23"/>
      <c r="D200" s="23"/>
      <c r="E200" s="23"/>
      <c r="F200" s="23"/>
      <c r="G200" s="23"/>
      <c r="H200" s="23"/>
      <c r="I200" s="23"/>
      <c r="J200" s="23"/>
      <c r="K200" s="23"/>
      <c r="L200" s="23"/>
      <c r="M200" s="23"/>
      <c r="N200" s="23"/>
      <c r="O200" s="23"/>
      <c r="P200" s="23"/>
      <c r="Q200" s="23"/>
      <c r="R200" s="5" t="s">
        <v>396</v>
      </c>
      <c r="S200" t="s">
        <v>69</v>
      </c>
    </row>
    <row r="201" spans="1:19" x14ac:dyDescent="0.25">
      <c r="B201" t="s">
        <v>176</v>
      </c>
      <c r="C201" s="21">
        <v>1</v>
      </c>
      <c r="D201" s="21">
        <v>2</v>
      </c>
      <c r="E201" s="21">
        <v>3</v>
      </c>
      <c r="F201" s="21">
        <v>4</v>
      </c>
      <c r="G201" s="21">
        <v>5</v>
      </c>
      <c r="H201" s="21">
        <v>6</v>
      </c>
      <c r="I201" s="21">
        <v>7</v>
      </c>
      <c r="J201" s="21">
        <v>8</v>
      </c>
      <c r="K201" s="21">
        <v>9</v>
      </c>
      <c r="L201" s="21">
        <v>10</v>
      </c>
      <c r="M201" s="21">
        <v>11</v>
      </c>
      <c r="N201" s="21">
        <v>12</v>
      </c>
      <c r="O201" s="21">
        <v>13</v>
      </c>
      <c r="P201" s="21">
        <v>14</v>
      </c>
      <c r="Q201" s="21">
        <v>15</v>
      </c>
      <c r="R201" s="5" t="s">
        <v>11</v>
      </c>
      <c r="S201" t="s">
        <v>126</v>
      </c>
    </row>
    <row r="202" spans="1:19" x14ac:dyDescent="0.25">
      <c r="A202" t="s">
        <v>843</v>
      </c>
      <c r="B202" t="s">
        <v>10</v>
      </c>
      <c r="C202" s="2">
        <v>0.89700000000000002</v>
      </c>
      <c r="D202" s="2">
        <v>0.97</v>
      </c>
      <c r="E202" s="2">
        <v>1.0429999999999999</v>
      </c>
      <c r="F202" s="2">
        <v>1.1473</v>
      </c>
      <c r="G202" s="2">
        <v>1.2202999999999999</v>
      </c>
      <c r="H202" s="2">
        <v>1.3038000000000001</v>
      </c>
      <c r="I202" s="2">
        <v>1.4185000000000001</v>
      </c>
      <c r="J202" s="2">
        <v>1.5331999999999999</v>
      </c>
      <c r="K202" s="2">
        <v>1.6478999999999999</v>
      </c>
      <c r="L202" s="2">
        <v>1.7730999999999999</v>
      </c>
      <c r="M202" s="2">
        <v>1.9165000000000001</v>
      </c>
      <c r="N202" s="2">
        <v>2.0851999999999999</v>
      </c>
      <c r="O202" s="2">
        <v>2.2538</v>
      </c>
      <c r="P202" s="2">
        <v>2.4224999999999999</v>
      </c>
      <c r="Q202" s="2">
        <v>2.6065</v>
      </c>
      <c r="R202" s="5" t="s">
        <v>6</v>
      </c>
      <c r="S202" t="s">
        <v>127</v>
      </c>
    </row>
    <row r="203" spans="1:19" x14ac:dyDescent="0.25">
      <c r="B203" t="s">
        <v>9</v>
      </c>
      <c r="C203" s="2">
        <v>0.87629999999999997</v>
      </c>
      <c r="D203" s="2">
        <v>0.94769999999999999</v>
      </c>
      <c r="E203" s="2">
        <v>1.0189999999999999</v>
      </c>
      <c r="F203" s="2">
        <v>1.1209</v>
      </c>
      <c r="G203" s="2">
        <v>1.1921999999999999</v>
      </c>
      <c r="H203" s="2">
        <v>1.2738</v>
      </c>
      <c r="I203" s="2">
        <v>1.3857999999999999</v>
      </c>
      <c r="J203" s="2">
        <v>1.4979</v>
      </c>
      <c r="K203" s="2">
        <v>1.61</v>
      </c>
      <c r="L203" s="2">
        <v>1.7323</v>
      </c>
      <c r="M203" s="2">
        <v>1.8724000000000001</v>
      </c>
      <c r="N203" s="2">
        <v>2.0371999999999999</v>
      </c>
      <c r="O203" s="2">
        <v>2.202</v>
      </c>
      <c r="P203" s="2">
        <v>2.3666999999999998</v>
      </c>
      <c r="Q203" s="2">
        <v>2.5465</v>
      </c>
      <c r="R203" s="5" t="s">
        <v>6</v>
      </c>
      <c r="S203" t="s">
        <v>127</v>
      </c>
    </row>
    <row r="204" spans="1:19" x14ac:dyDescent="0.25">
      <c r="B204" t="s">
        <v>8</v>
      </c>
      <c r="C204" s="2">
        <v>0.98809999999999998</v>
      </c>
      <c r="D204" s="2">
        <v>1.0686</v>
      </c>
      <c r="E204" s="2">
        <v>1.149</v>
      </c>
      <c r="F204" s="2">
        <v>1.2639</v>
      </c>
      <c r="G204" s="2">
        <v>1.3443000000000001</v>
      </c>
      <c r="H204" s="2">
        <v>1.4362999999999999</v>
      </c>
      <c r="I204" s="2">
        <v>1.5626</v>
      </c>
      <c r="J204" s="2">
        <v>1.6890000000000001</v>
      </c>
      <c r="K204" s="2">
        <v>1.8153999999999999</v>
      </c>
      <c r="L204" s="2">
        <v>1.9533</v>
      </c>
      <c r="M204" s="2">
        <v>2.1113</v>
      </c>
      <c r="N204" s="2">
        <v>2.2970999999999999</v>
      </c>
      <c r="O204" s="2">
        <v>2.4828999999999999</v>
      </c>
      <c r="P204" s="2">
        <v>2.6686999999999999</v>
      </c>
      <c r="Q204" s="2">
        <v>2.8714</v>
      </c>
      <c r="R204" s="5" t="s">
        <v>6</v>
      </c>
      <c r="S204" t="s">
        <v>127</v>
      </c>
    </row>
    <row r="205" spans="1:19" x14ac:dyDescent="0.25">
      <c r="B205" t="s">
        <v>13</v>
      </c>
      <c r="C205" s="2">
        <v>1.3399000000000001</v>
      </c>
      <c r="D205" s="2">
        <v>1.4489000000000001</v>
      </c>
      <c r="E205" s="2">
        <v>1.5580000000000001</v>
      </c>
      <c r="F205" s="2">
        <v>1.7138</v>
      </c>
      <c r="G205" s="2">
        <v>1.8229</v>
      </c>
      <c r="H205" s="2">
        <v>1.9475</v>
      </c>
      <c r="I205" s="2">
        <v>2.1189</v>
      </c>
      <c r="J205" s="2">
        <v>2.2902999999999998</v>
      </c>
      <c r="K205" s="2">
        <v>2.4615999999999998</v>
      </c>
      <c r="L205" s="2">
        <v>2.6486000000000001</v>
      </c>
      <c r="M205" s="2">
        <v>2.8628</v>
      </c>
      <c r="N205" s="2">
        <v>3.1147999999999998</v>
      </c>
      <c r="O205" s="2">
        <v>3.3666999999999998</v>
      </c>
      <c r="P205" s="2">
        <v>3.6185999999999998</v>
      </c>
      <c r="Q205" s="2">
        <v>3.8934000000000002</v>
      </c>
      <c r="R205" s="5" t="s">
        <v>6</v>
      </c>
      <c r="S205" t="s">
        <v>127</v>
      </c>
    </row>
    <row r="206" spans="1:19" x14ac:dyDescent="0.25">
      <c r="B206" t="s">
        <v>157</v>
      </c>
      <c r="C206" s="2">
        <v>0.68799999999999994</v>
      </c>
      <c r="D206" s="2">
        <v>0.74399999999999999</v>
      </c>
      <c r="E206" s="2">
        <v>0.8</v>
      </c>
      <c r="F206" s="2">
        <v>0.88</v>
      </c>
      <c r="G206" s="2">
        <v>0.93600000000000005</v>
      </c>
      <c r="H206" s="2">
        <v>1</v>
      </c>
      <c r="I206" s="2">
        <v>1.0880000000000001</v>
      </c>
      <c r="J206" s="2">
        <v>1.1759999999999999</v>
      </c>
      <c r="K206" s="2">
        <v>1.264</v>
      </c>
      <c r="L206" s="2">
        <v>1.36</v>
      </c>
      <c r="M206" s="2">
        <v>1.47</v>
      </c>
      <c r="N206" s="2">
        <v>1.5993999999999999</v>
      </c>
      <c r="O206" s="2">
        <v>1.7286999999999999</v>
      </c>
      <c r="P206" s="2">
        <v>1.8581000000000001</v>
      </c>
      <c r="Q206" s="2">
        <v>1.9992000000000001</v>
      </c>
      <c r="R206" s="5" t="s">
        <v>5</v>
      </c>
      <c r="S206" t="s">
        <v>127</v>
      </c>
    </row>
    <row r="207" spans="1:19" x14ac:dyDescent="0.25">
      <c r="B207" t="s">
        <v>158</v>
      </c>
      <c r="C207" s="2">
        <v>1.2470000000000001</v>
      </c>
      <c r="D207" s="2">
        <v>1.3485</v>
      </c>
      <c r="E207" s="2">
        <v>1.45</v>
      </c>
      <c r="F207" s="2">
        <v>1.595</v>
      </c>
      <c r="G207" s="2">
        <v>1.6964999999999999</v>
      </c>
      <c r="H207" s="2">
        <v>1.8125</v>
      </c>
      <c r="I207" s="2">
        <v>1.972</v>
      </c>
      <c r="J207" s="2">
        <v>2.1315</v>
      </c>
      <c r="K207" s="2">
        <v>2.2909999999999999</v>
      </c>
      <c r="L207" s="2">
        <v>2.4649999999999999</v>
      </c>
      <c r="M207" s="2">
        <v>2.6644000000000001</v>
      </c>
      <c r="N207" s="2">
        <v>2.8988</v>
      </c>
      <c r="O207" s="2">
        <v>3.1333000000000002</v>
      </c>
      <c r="P207" s="2">
        <v>3.3677999999999999</v>
      </c>
      <c r="Q207" s="2">
        <v>3.6236000000000002</v>
      </c>
      <c r="R207" s="5" t="s">
        <v>5</v>
      </c>
      <c r="S207" t="s">
        <v>127</v>
      </c>
    </row>
    <row r="208" spans="1:19" x14ac:dyDescent="0.25">
      <c r="B208" t="s">
        <v>155</v>
      </c>
      <c r="C208" s="2">
        <v>0.89510000000000001</v>
      </c>
      <c r="D208" s="2">
        <v>0.96789999999999998</v>
      </c>
      <c r="E208" s="2">
        <v>1.0407999999999999</v>
      </c>
      <c r="F208" s="2">
        <v>1.1448</v>
      </c>
      <c r="G208" s="2">
        <v>1.2177</v>
      </c>
      <c r="H208" s="2">
        <v>1.3009999999999999</v>
      </c>
      <c r="I208" s="2">
        <v>1.4154</v>
      </c>
      <c r="J208" s="2">
        <v>1.5299</v>
      </c>
      <c r="K208" s="2">
        <v>1.6444000000000001</v>
      </c>
      <c r="L208" s="2">
        <v>1.7693000000000001</v>
      </c>
      <c r="M208" s="2">
        <v>1.8942000000000001</v>
      </c>
      <c r="N208" s="2">
        <v>2.0190999999999999</v>
      </c>
      <c r="O208" s="2">
        <v>2.1440000000000001</v>
      </c>
      <c r="P208" s="2">
        <v>2.2688999999999999</v>
      </c>
      <c r="Q208" s="2">
        <v>2.3936999999999999</v>
      </c>
      <c r="R208" s="5" t="s">
        <v>3</v>
      </c>
      <c r="S208" t="s">
        <v>127</v>
      </c>
    </row>
    <row r="209" spans="2:19" x14ac:dyDescent="0.25">
      <c r="B209" t="s">
        <v>135</v>
      </c>
      <c r="C209" s="2">
        <v>1.7897000000000001</v>
      </c>
      <c r="D209" s="2">
        <v>1.9354</v>
      </c>
      <c r="E209" s="2">
        <v>2.0811000000000002</v>
      </c>
      <c r="F209" s="2">
        <v>2.2892000000000001</v>
      </c>
      <c r="G209" s="2">
        <v>2.4348999999999998</v>
      </c>
      <c r="H209" s="2">
        <v>2.6013000000000002</v>
      </c>
      <c r="I209" s="2">
        <v>2.8302999999999998</v>
      </c>
      <c r="J209" s="2">
        <v>3.0592000000000001</v>
      </c>
      <c r="K209" s="2">
        <v>3.2881</v>
      </c>
      <c r="L209" s="2">
        <v>3.5377999999999998</v>
      </c>
      <c r="M209" s="2">
        <v>3.7875999999999999</v>
      </c>
      <c r="N209" s="2">
        <v>4.0373000000000001</v>
      </c>
      <c r="O209" s="2">
        <v>4.2869999999999999</v>
      </c>
      <c r="P209" s="2">
        <v>4.5368000000000004</v>
      </c>
      <c r="Q209" s="2">
        <v>4.7865000000000002</v>
      </c>
      <c r="R209" s="5" t="s">
        <v>3</v>
      </c>
      <c r="S209" t="s">
        <v>127</v>
      </c>
    </row>
    <row r="210" spans="2:19" x14ac:dyDescent="0.25">
      <c r="B210" t="s">
        <v>136</v>
      </c>
      <c r="C210" s="2">
        <v>2.2355</v>
      </c>
      <c r="D210" s="2">
        <v>2.4174000000000002</v>
      </c>
      <c r="E210" s="2">
        <v>2.5994000000000002</v>
      </c>
      <c r="F210" s="2">
        <v>2.8593000000000002</v>
      </c>
      <c r="G210" s="2">
        <v>3.0413000000000001</v>
      </c>
      <c r="H210" s="2">
        <v>3.2492000000000001</v>
      </c>
      <c r="I210" s="2">
        <v>3.5352000000000001</v>
      </c>
      <c r="J210" s="2">
        <v>3.8210999999999999</v>
      </c>
      <c r="K210" s="2">
        <v>4.1070000000000002</v>
      </c>
      <c r="L210" s="2">
        <v>4.4188999999999998</v>
      </c>
      <c r="M210" s="2">
        <v>4.7309000000000001</v>
      </c>
      <c r="N210" s="2">
        <v>5.0427999999999997</v>
      </c>
      <c r="O210" s="2">
        <v>5.3547000000000002</v>
      </c>
      <c r="P210" s="2">
        <v>5.6665999999999999</v>
      </c>
      <c r="Q210" s="2">
        <v>5.9786000000000001</v>
      </c>
      <c r="R210" s="5" t="s">
        <v>3</v>
      </c>
      <c r="S210" t="s">
        <v>127</v>
      </c>
    </row>
    <row r="211" spans="2:19" x14ac:dyDescent="0.25">
      <c r="B211" t="s">
        <v>179</v>
      </c>
      <c r="C211" s="2">
        <v>0.94399999999999995</v>
      </c>
      <c r="D211" s="2">
        <v>1.0147999999999999</v>
      </c>
      <c r="E211" s="2">
        <v>1.0855999999999999</v>
      </c>
      <c r="F211" s="2">
        <v>1.18</v>
      </c>
      <c r="G211" s="2">
        <v>1.2507999999999999</v>
      </c>
      <c r="H211" s="2">
        <v>1.3216000000000001</v>
      </c>
      <c r="I211" s="2">
        <v>1.4159999999999999</v>
      </c>
      <c r="J211" s="2">
        <v>1.5104</v>
      </c>
      <c r="K211" s="2">
        <v>1.6048</v>
      </c>
      <c r="L211" s="2">
        <v>1.6992</v>
      </c>
      <c r="M211" s="2">
        <v>1.7936000000000001</v>
      </c>
      <c r="N211" s="2">
        <v>1.8879999999999999</v>
      </c>
      <c r="O211" s="2">
        <v>2.0059999999999998</v>
      </c>
      <c r="P211" s="2">
        <v>2.1240000000000001</v>
      </c>
      <c r="Q211" s="2">
        <v>2.242</v>
      </c>
      <c r="R211" s="5" t="s">
        <v>19</v>
      </c>
      <c r="S211" t="s">
        <v>127</v>
      </c>
    </row>
    <row r="212" spans="2:19" x14ac:dyDescent="0.25">
      <c r="B212" t="s">
        <v>178</v>
      </c>
      <c r="C212" s="2">
        <v>0.97599999999999998</v>
      </c>
      <c r="D212" s="2">
        <v>1.0491999999999999</v>
      </c>
      <c r="E212" s="2">
        <v>1.1224000000000001</v>
      </c>
      <c r="F212" s="2">
        <v>1.22</v>
      </c>
      <c r="G212" s="2">
        <v>1.2931999999999999</v>
      </c>
      <c r="H212" s="2">
        <v>1.3664000000000001</v>
      </c>
      <c r="I212" s="2">
        <v>1.464</v>
      </c>
      <c r="J212" s="2">
        <v>1.5616000000000001</v>
      </c>
      <c r="K212" s="2">
        <v>1.6592</v>
      </c>
      <c r="L212" s="2">
        <v>1.7567999999999999</v>
      </c>
      <c r="M212" s="2">
        <v>1.8544</v>
      </c>
      <c r="N212" s="2">
        <v>1.952</v>
      </c>
      <c r="O212" s="2">
        <v>2.0739999999999998</v>
      </c>
      <c r="P212" s="2">
        <v>2.1960000000000002</v>
      </c>
      <c r="Q212" s="2">
        <v>2.3180000000000001</v>
      </c>
      <c r="R212" s="5" t="s">
        <v>19</v>
      </c>
      <c r="S212" t="s">
        <v>127</v>
      </c>
    </row>
    <row r="213" spans="2:19" x14ac:dyDescent="0.25">
      <c r="B213" t="s">
        <v>180</v>
      </c>
      <c r="C213" s="2">
        <v>1.288</v>
      </c>
      <c r="D213" s="2">
        <v>1.3846000000000001</v>
      </c>
      <c r="E213" s="2">
        <v>1.4812000000000001</v>
      </c>
      <c r="F213" s="2">
        <v>1.61</v>
      </c>
      <c r="G213" s="2">
        <v>1.7065999999999999</v>
      </c>
      <c r="H213" s="2">
        <v>1.8031999999999999</v>
      </c>
      <c r="I213" s="2">
        <v>1.9319999999999999</v>
      </c>
      <c r="J213" s="2">
        <v>2.0608</v>
      </c>
      <c r="K213" s="2">
        <v>2.1896</v>
      </c>
      <c r="L213" s="2">
        <v>2.3184</v>
      </c>
      <c r="M213" s="2">
        <v>2.4472</v>
      </c>
      <c r="N213" s="2">
        <v>2.5760000000000001</v>
      </c>
      <c r="O213" s="2">
        <v>2.7370000000000001</v>
      </c>
      <c r="P213" s="2">
        <v>2.8980000000000001</v>
      </c>
      <c r="Q213" s="2">
        <v>3.0590000000000002</v>
      </c>
      <c r="R213" s="5" t="s">
        <v>19</v>
      </c>
      <c r="S213" t="s">
        <v>127</v>
      </c>
    </row>
    <row r="214" spans="2:19" x14ac:dyDescent="0.25">
      <c r="B214" t="s">
        <v>183</v>
      </c>
      <c r="C214" s="2">
        <v>2.04</v>
      </c>
      <c r="D214" s="2">
        <v>2.1930000000000001</v>
      </c>
      <c r="E214" s="2">
        <v>2.3460000000000001</v>
      </c>
      <c r="F214" s="2">
        <v>2.5499999999999998</v>
      </c>
      <c r="G214" s="2">
        <v>2.7029999999999998</v>
      </c>
      <c r="H214" s="2">
        <v>2.8559999999999999</v>
      </c>
      <c r="I214" s="2">
        <v>3.06</v>
      </c>
      <c r="J214" s="2">
        <v>3.2639999999999998</v>
      </c>
      <c r="K214" s="2">
        <v>3.468</v>
      </c>
      <c r="L214" s="2">
        <v>3.6720000000000002</v>
      </c>
      <c r="M214" s="2">
        <v>3.8759999999999999</v>
      </c>
      <c r="N214" s="2">
        <v>4.08</v>
      </c>
      <c r="O214" s="2">
        <v>4.335</v>
      </c>
      <c r="P214" s="2">
        <v>4.59</v>
      </c>
      <c r="Q214" s="2">
        <v>4.8449999999999998</v>
      </c>
      <c r="R214" s="5" t="s">
        <v>0</v>
      </c>
      <c r="S214" t="s">
        <v>127</v>
      </c>
    </row>
    <row r="215" spans="2:19" x14ac:dyDescent="0.25">
      <c r="B215" t="s">
        <v>184</v>
      </c>
      <c r="C215" s="2">
        <v>0.6</v>
      </c>
      <c r="D215" s="2">
        <v>0.64500000000000002</v>
      </c>
      <c r="E215" s="2">
        <v>0.69</v>
      </c>
      <c r="F215" s="2">
        <v>0.75</v>
      </c>
      <c r="G215" s="2">
        <v>0.79500000000000004</v>
      </c>
      <c r="H215" s="2">
        <v>0.84</v>
      </c>
      <c r="I215" s="2">
        <v>0.9</v>
      </c>
      <c r="J215" s="2">
        <v>0.96</v>
      </c>
      <c r="K215" s="2">
        <v>1.02</v>
      </c>
      <c r="L215" s="2">
        <v>1.08</v>
      </c>
      <c r="M215" s="2">
        <v>1.1399999999999999</v>
      </c>
      <c r="N215" s="2">
        <v>1.2</v>
      </c>
      <c r="O215" s="2">
        <v>1.2749999999999999</v>
      </c>
      <c r="P215" s="2">
        <v>1.35</v>
      </c>
      <c r="Q215" s="2">
        <v>1.425</v>
      </c>
      <c r="R215" s="5" t="s">
        <v>0</v>
      </c>
      <c r="S215" t="s">
        <v>127</v>
      </c>
    </row>
    <row r="216" spans="2:19" x14ac:dyDescent="0.25">
      <c r="B216" t="s">
        <v>185</v>
      </c>
      <c r="C216" s="2">
        <v>2.04</v>
      </c>
      <c r="D216" s="2">
        <v>2.1930000000000001</v>
      </c>
      <c r="E216" s="2">
        <v>2.3460000000000001</v>
      </c>
      <c r="F216" s="2">
        <v>2.5499999999999998</v>
      </c>
      <c r="G216" s="2">
        <v>2.7029999999999998</v>
      </c>
      <c r="H216" s="2">
        <v>2.8559999999999999</v>
      </c>
      <c r="I216" s="2">
        <v>3.06</v>
      </c>
      <c r="J216" s="2">
        <v>3.2639999999999998</v>
      </c>
      <c r="K216" s="2">
        <v>3.468</v>
      </c>
      <c r="L216" s="2">
        <v>3.6720000000000002</v>
      </c>
      <c r="M216" s="2">
        <v>3.8759999999999999</v>
      </c>
      <c r="N216" s="2">
        <v>4.08</v>
      </c>
      <c r="O216" s="2">
        <v>4.335</v>
      </c>
      <c r="P216" s="2">
        <v>4.59</v>
      </c>
      <c r="Q216" s="2">
        <v>4.8449999999999998</v>
      </c>
      <c r="R216" s="5" t="s">
        <v>0</v>
      </c>
      <c r="S216" t="s">
        <v>127</v>
      </c>
    </row>
    <row r="217" spans="2:19" x14ac:dyDescent="0.25">
      <c r="B217" s="3" t="s">
        <v>771</v>
      </c>
      <c r="C217" s="23"/>
      <c r="D217" s="23"/>
      <c r="E217" s="23"/>
      <c r="F217" s="23"/>
      <c r="G217" s="23"/>
      <c r="H217" s="23"/>
      <c r="I217" s="23"/>
      <c r="J217" s="23"/>
      <c r="K217" s="23"/>
      <c r="L217" s="23"/>
      <c r="M217" s="23"/>
      <c r="N217" s="23"/>
      <c r="O217" s="23"/>
      <c r="P217" s="23"/>
      <c r="Q217" s="23"/>
      <c r="R217" s="5" t="s">
        <v>771</v>
      </c>
      <c r="S217" t="s">
        <v>772</v>
      </c>
    </row>
    <row r="218" spans="2:19" x14ac:dyDescent="0.25">
      <c r="B218" s="3" t="s">
        <v>390</v>
      </c>
      <c r="C218" s="23"/>
      <c r="D218" s="23"/>
      <c r="E218" s="23"/>
      <c r="F218" s="23"/>
      <c r="G218" s="23"/>
      <c r="H218" s="23"/>
      <c r="I218" s="23"/>
      <c r="J218" s="23"/>
      <c r="K218" s="23"/>
      <c r="L218" s="23"/>
      <c r="M218" s="23"/>
      <c r="N218" s="23"/>
      <c r="O218" s="23"/>
      <c r="P218" s="23"/>
      <c r="Q218" s="23"/>
      <c r="R218" s="5" t="s">
        <v>396</v>
      </c>
      <c r="S218" t="s">
        <v>69</v>
      </c>
    </row>
    <row r="219" spans="2:19" x14ac:dyDescent="0.25">
      <c r="B219" s="3" t="s">
        <v>392</v>
      </c>
      <c r="C219" s="23"/>
      <c r="D219" s="23"/>
      <c r="E219" s="23"/>
      <c r="F219" s="23"/>
      <c r="G219" s="23"/>
      <c r="H219" s="23"/>
      <c r="I219" s="23"/>
      <c r="J219" s="23"/>
      <c r="K219" s="23"/>
      <c r="L219" s="23"/>
      <c r="M219" s="23"/>
      <c r="N219" s="23"/>
      <c r="O219" s="23"/>
      <c r="P219" s="23"/>
      <c r="Q219" s="23"/>
      <c r="R219" s="5" t="s">
        <v>396</v>
      </c>
      <c r="S219" t="s">
        <v>69</v>
      </c>
    </row>
    <row r="220" spans="2:19" x14ac:dyDescent="0.25">
      <c r="B220" s="3" t="s">
        <v>393</v>
      </c>
      <c r="C220" s="23"/>
      <c r="D220" s="23"/>
      <c r="E220" s="23"/>
      <c r="F220" s="23"/>
      <c r="G220" s="23"/>
      <c r="H220" s="23"/>
      <c r="I220" s="23"/>
      <c r="J220" s="23"/>
      <c r="K220" s="23"/>
      <c r="L220" s="23"/>
      <c r="M220" s="23"/>
      <c r="N220" s="23"/>
      <c r="O220" s="23"/>
      <c r="P220" s="23"/>
      <c r="Q220" s="23"/>
      <c r="R220" s="5" t="s">
        <v>396</v>
      </c>
      <c r="S220" t="s">
        <v>69</v>
      </c>
    </row>
    <row r="221" spans="2:19" x14ac:dyDescent="0.25">
      <c r="B221" s="3" t="s">
        <v>389</v>
      </c>
      <c r="C221" s="23"/>
      <c r="D221" s="23"/>
      <c r="E221" s="23"/>
      <c r="F221" s="23"/>
      <c r="G221" s="23"/>
      <c r="H221" s="23"/>
      <c r="I221" s="23"/>
      <c r="J221" s="23"/>
      <c r="K221" s="23"/>
      <c r="L221" s="23"/>
      <c r="M221" s="23"/>
      <c r="N221" s="23"/>
      <c r="O221" s="23"/>
      <c r="P221" s="23"/>
      <c r="Q221" s="23"/>
      <c r="R221" s="5" t="s">
        <v>396</v>
      </c>
      <c r="S221" t="s">
        <v>69</v>
      </c>
    </row>
    <row r="222" spans="2:19" x14ac:dyDescent="0.25">
      <c r="B222" s="3" t="s">
        <v>391</v>
      </c>
      <c r="C222" s="23"/>
      <c r="D222" s="23"/>
      <c r="E222" s="23"/>
      <c r="F222" s="23"/>
      <c r="G222" s="23"/>
      <c r="H222" s="23"/>
      <c r="I222" s="23"/>
      <c r="J222" s="23"/>
      <c r="K222" s="23"/>
      <c r="L222" s="23"/>
      <c r="M222" s="23"/>
      <c r="N222" s="23"/>
      <c r="O222" s="23"/>
      <c r="P222" s="23"/>
      <c r="Q222" s="23"/>
      <c r="R222" s="5" t="s">
        <v>396</v>
      </c>
      <c r="S222" t="s">
        <v>69</v>
      </c>
    </row>
    <row r="223" spans="2:19" x14ac:dyDescent="0.25">
      <c r="B223" s="3" t="s">
        <v>394</v>
      </c>
      <c r="C223" s="23"/>
      <c r="D223" s="23"/>
      <c r="E223" s="23"/>
      <c r="F223" s="23"/>
      <c r="G223" s="23"/>
      <c r="H223" s="23"/>
      <c r="I223" s="23"/>
      <c r="J223" s="23"/>
      <c r="K223" s="23"/>
      <c r="L223" s="23"/>
      <c r="M223" s="23"/>
      <c r="N223" s="23"/>
      <c r="O223" s="23"/>
      <c r="P223" s="23"/>
      <c r="Q223" s="23"/>
      <c r="R223" s="5" t="s">
        <v>396</v>
      </c>
      <c r="S223" t="s">
        <v>69</v>
      </c>
    </row>
    <row r="224" spans="2:19" x14ac:dyDescent="0.25">
      <c r="B224" s="3" t="s">
        <v>395</v>
      </c>
      <c r="C224" s="23"/>
      <c r="D224" s="23"/>
      <c r="E224" s="23"/>
      <c r="F224" s="23"/>
      <c r="G224" s="23"/>
      <c r="H224" s="23"/>
      <c r="I224" s="23"/>
      <c r="J224" s="23"/>
      <c r="K224" s="23"/>
      <c r="L224" s="23"/>
      <c r="M224" s="23"/>
      <c r="N224" s="23"/>
      <c r="O224" s="23"/>
      <c r="P224" s="23"/>
      <c r="Q224" s="23"/>
      <c r="R224" s="5" t="s">
        <v>396</v>
      </c>
      <c r="S224" t="s">
        <v>69</v>
      </c>
    </row>
    <row r="225" spans="1:21" x14ac:dyDescent="0.25">
      <c r="A225" t="s">
        <v>844</v>
      </c>
      <c r="B225" s="3" t="s">
        <v>397</v>
      </c>
      <c r="C225" s="23"/>
      <c r="D225" s="23"/>
      <c r="E225" s="23"/>
      <c r="F225" s="23"/>
      <c r="G225" s="23"/>
      <c r="H225" s="23"/>
      <c r="I225" s="23"/>
      <c r="J225" s="23"/>
      <c r="K225" s="23"/>
      <c r="L225" s="23"/>
      <c r="M225" s="23"/>
      <c r="N225" s="23"/>
      <c r="O225" s="23"/>
      <c r="P225" s="23"/>
      <c r="Q225" s="23"/>
      <c r="R225" s="5" t="s">
        <v>396</v>
      </c>
      <c r="S225" t="s">
        <v>69</v>
      </c>
    </row>
    <row r="226" spans="1:21" x14ac:dyDescent="0.25">
      <c r="B226" t="s">
        <v>186</v>
      </c>
      <c r="C226" s="21">
        <v>1</v>
      </c>
      <c r="D226" s="21">
        <v>2</v>
      </c>
      <c r="E226" s="21">
        <v>3</v>
      </c>
      <c r="F226" s="21">
        <v>4</v>
      </c>
      <c r="G226" s="21">
        <v>5</v>
      </c>
      <c r="H226" s="21">
        <v>6</v>
      </c>
      <c r="I226" s="21">
        <v>7</v>
      </c>
      <c r="J226" s="21">
        <v>8</v>
      </c>
      <c r="K226" s="21">
        <v>9</v>
      </c>
      <c r="L226" s="21">
        <v>10</v>
      </c>
      <c r="M226" s="21">
        <v>11</v>
      </c>
      <c r="N226" s="21">
        <v>12</v>
      </c>
      <c r="O226" s="21">
        <v>13</v>
      </c>
      <c r="P226" s="21">
        <v>14</v>
      </c>
      <c r="Q226" s="21">
        <v>15</v>
      </c>
      <c r="R226" s="5" t="s">
        <v>11</v>
      </c>
      <c r="S226" t="s">
        <v>126</v>
      </c>
    </row>
    <row r="227" spans="1:21" x14ac:dyDescent="0.25">
      <c r="A227" t="s">
        <v>845</v>
      </c>
      <c r="B227" t="s">
        <v>10</v>
      </c>
      <c r="C227" s="2">
        <v>0.36120000000000002</v>
      </c>
      <c r="D227" s="2">
        <v>0.3906</v>
      </c>
      <c r="E227" s="2">
        <v>0.42</v>
      </c>
      <c r="F227" s="2">
        <v>0.46200000000000002</v>
      </c>
      <c r="G227" s="2">
        <v>0.4914</v>
      </c>
      <c r="H227" s="2">
        <v>0.52500000000000002</v>
      </c>
      <c r="I227" s="2">
        <v>0.57120000000000004</v>
      </c>
      <c r="J227" s="2">
        <v>0.61739999999999995</v>
      </c>
      <c r="K227" s="2">
        <v>0.66359999999999997</v>
      </c>
      <c r="L227" s="2">
        <v>0.71399999999999997</v>
      </c>
      <c r="M227" s="2">
        <v>0.77180000000000004</v>
      </c>
      <c r="N227" s="2">
        <v>0.8397</v>
      </c>
      <c r="O227" s="2">
        <v>0.90759999999999996</v>
      </c>
      <c r="P227" s="2">
        <v>0.97550000000000003</v>
      </c>
      <c r="Q227" s="2">
        <v>1.0496000000000001</v>
      </c>
      <c r="R227" s="5" t="s">
        <v>6</v>
      </c>
      <c r="S227" t="s">
        <v>127</v>
      </c>
    </row>
    <row r="228" spans="1:21" x14ac:dyDescent="0.25">
      <c r="B228" t="s">
        <v>9</v>
      </c>
      <c r="C228" s="2">
        <v>0.33539999999999998</v>
      </c>
      <c r="D228" s="2">
        <v>0.36270000000000002</v>
      </c>
      <c r="E228" s="2">
        <v>0.39</v>
      </c>
      <c r="F228" s="2">
        <v>0.42899999999999999</v>
      </c>
      <c r="G228" s="2">
        <v>0.45629999999999998</v>
      </c>
      <c r="H228" s="2">
        <v>0.48749999999999999</v>
      </c>
      <c r="I228" s="2">
        <v>0.53039999999999998</v>
      </c>
      <c r="J228" s="2">
        <v>0.57330000000000003</v>
      </c>
      <c r="K228" s="2">
        <v>0.61619999999999997</v>
      </c>
      <c r="L228" s="2">
        <v>0.66300000000000003</v>
      </c>
      <c r="M228" s="2">
        <v>0.71660000000000001</v>
      </c>
      <c r="N228" s="2">
        <v>0.77969999999999995</v>
      </c>
      <c r="O228" s="2">
        <v>0.84279999999999999</v>
      </c>
      <c r="P228" s="2">
        <v>0.90580000000000005</v>
      </c>
      <c r="Q228" s="2">
        <v>0.97460000000000002</v>
      </c>
      <c r="R228" s="5" t="s">
        <v>6</v>
      </c>
      <c r="S228" t="s">
        <v>127</v>
      </c>
    </row>
    <row r="229" spans="1:21" x14ac:dyDescent="0.25">
      <c r="B229" t="s">
        <v>8</v>
      </c>
      <c r="C229" s="2">
        <v>0.45579999999999998</v>
      </c>
      <c r="D229" s="2">
        <v>0.4929</v>
      </c>
      <c r="E229" s="2">
        <v>0.53</v>
      </c>
      <c r="F229" s="2">
        <v>0.58299999999999996</v>
      </c>
      <c r="G229" s="2">
        <v>0.62009999999999998</v>
      </c>
      <c r="H229" s="2">
        <v>0.66249999999999998</v>
      </c>
      <c r="I229" s="2">
        <v>0.7208</v>
      </c>
      <c r="J229" s="2">
        <v>0.77910000000000001</v>
      </c>
      <c r="K229" s="2">
        <v>0.83740000000000003</v>
      </c>
      <c r="L229" s="2">
        <v>0.90100000000000002</v>
      </c>
      <c r="M229" s="2">
        <v>0.97389999999999999</v>
      </c>
      <c r="N229" s="2">
        <v>1.0596000000000001</v>
      </c>
      <c r="O229" s="2">
        <v>1.1453</v>
      </c>
      <c r="P229" s="2">
        <v>1.2310000000000001</v>
      </c>
      <c r="Q229" s="2">
        <v>1.3245</v>
      </c>
      <c r="R229" s="5" t="s">
        <v>6</v>
      </c>
      <c r="S229" t="s">
        <v>127</v>
      </c>
    </row>
    <row r="230" spans="1:21" x14ac:dyDescent="0.25">
      <c r="B230" t="s">
        <v>13</v>
      </c>
      <c r="C230" s="2">
        <v>0.43</v>
      </c>
      <c r="D230" s="2">
        <v>0.46500000000000002</v>
      </c>
      <c r="E230" s="2">
        <v>0.5</v>
      </c>
      <c r="F230" s="2">
        <v>0.55000000000000004</v>
      </c>
      <c r="G230" s="2">
        <v>0.58499999999999996</v>
      </c>
      <c r="H230" s="2">
        <v>0.625</v>
      </c>
      <c r="I230" s="2">
        <v>0.68</v>
      </c>
      <c r="J230" s="2">
        <v>0.73499999999999999</v>
      </c>
      <c r="K230" s="2">
        <v>0.79</v>
      </c>
      <c r="L230" s="2">
        <v>0.85</v>
      </c>
      <c r="M230" s="2">
        <v>0.91879999999999995</v>
      </c>
      <c r="N230" s="2">
        <v>0.99960000000000004</v>
      </c>
      <c r="O230" s="2">
        <v>1.0805</v>
      </c>
      <c r="P230" s="2">
        <v>1.1613</v>
      </c>
      <c r="Q230" s="2">
        <v>1.2495000000000001</v>
      </c>
      <c r="R230" s="5" t="s">
        <v>6</v>
      </c>
      <c r="S230" t="s">
        <v>127</v>
      </c>
    </row>
    <row r="231" spans="1:21" x14ac:dyDescent="0.25">
      <c r="B231" t="s">
        <v>7</v>
      </c>
      <c r="C231" s="2">
        <v>0.53749999999999998</v>
      </c>
      <c r="D231" s="2">
        <v>0.58130000000000004</v>
      </c>
      <c r="E231" s="2">
        <v>0.625</v>
      </c>
      <c r="F231" s="2">
        <v>0.6875</v>
      </c>
      <c r="G231" s="2">
        <v>0.73129999999999995</v>
      </c>
      <c r="H231" s="2">
        <v>0.78129999999999999</v>
      </c>
      <c r="I231" s="2">
        <v>0.85</v>
      </c>
      <c r="J231" s="2">
        <v>0.91879999999999995</v>
      </c>
      <c r="K231" s="2">
        <v>0.98750000000000004</v>
      </c>
      <c r="L231" s="2">
        <v>1.0625</v>
      </c>
      <c r="M231" s="2">
        <v>1.1484000000000001</v>
      </c>
      <c r="N231" s="2">
        <v>1.2495000000000001</v>
      </c>
      <c r="O231" s="2">
        <v>1.3506</v>
      </c>
      <c r="P231" s="2">
        <v>1.4516</v>
      </c>
      <c r="Q231" s="2">
        <v>1.5619000000000001</v>
      </c>
      <c r="R231" s="5" t="s">
        <v>6</v>
      </c>
      <c r="S231" t="s">
        <v>127</v>
      </c>
    </row>
    <row r="232" spans="1:21" x14ac:dyDescent="0.25">
      <c r="B232" t="s">
        <v>133</v>
      </c>
      <c r="C232" s="2">
        <v>0.43859999999999999</v>
      </c>
      <c r="D232" s="2">
        <v>0.4743</v>
      </c>
      <c r="E232" s="2">
        <v>0.51</v>
      </c>
      <c r="F232" s="2">
        <v>0.56100000000000005</v>
      </c>
      <c r="G232" s="2">
        <v>0.59670000000000001</v>
      </c>
      <c r="H232" s="2">
        <v>0.63749999999999996</v>
      </c>
      <c r="I232" s="2">
        <v>0.69359999999999999</v>
      </c>
      <c r="J232" s="2">
        <v>0.74970000000000003</v>
      </c>
      <c r="K232" s="2">
        <v>0.80579999999999996</v>
      </c>
      <c r="L232" s="2">
        <v>0.86699999999999999</v>
      </c>
      <c r="M232" s="2">
        <v>0.93710000000000004</v>
      </c>
      <c r="N232" s="2">
        <v>1.0196000000000001</v>
      </c>
      <c r="O232" s="2">
        <v>1.1021000000000001</v>
      </c>
      <c r="P232" s="2">
        <v>1.1845000000000001</v>
      </c>
      <c r="Q232" s="2">
        <v>1.2745</v>
      </c>
      <c r="R232" s="5" t="s">
        <v>5</v>
      </c>
      <c r="S232" t="s">
        <v>127</v>
      </c>
    </row>
    <row r="233" spans="1:21" x14ac:dyDescent="0.25">
      <c r="B233" t="s">
        <v>134</v>
      </c>
      <c r="C233" s="2">
        <v>1.24</v>
      </c>
      <c r="D233" s="2">
        <v>1.333</v>
      </c>
      <c r="E233" s="2">
        <v>1.4259999999999999</v>
      </c>
      <c r="F233" s="2">
        <v>1.55</v>
      </c>
      <c r="G233" s="2">
        <v>1.643</v>
      </c>
      <c r="H233" s="2">
        <v>1.736</v>
      </c>
      <c r="I233" s="2">
        <v>1.86</v>
      </c>
      <c r="J233" s="2">
        <v>1.984</v>
      </c>
      <c r="K233" s="2">
        <v>2.1080000000000001</v>
      </c>
      <c r="L233" s="2">
        <v>2.2320000000000002</v>
      </c>
      <c r="M233" s="2">
        <v>2.3610000000000002</v>
      </c>
      <c r="N233" s="2">
        <v>2.5295999999999998</v>
      </c>
      <c r="O233" s="2">
        <v>2.6981999999999999</v>
      </c>
      <c r="P233" s="2">
        <v>2.8668999999999998</v>
      </c>
      <c r="Q233" s="2">
        <v>3.0354999999999999</v>
      </c>
      <c r="R233" s="5" t="s">
        <v>5</v>
      </c>
      <c r="S233" t="s">
        <v>127</v>
      </c>
    </row>
    <row r="234" spans="1:21" x14ac:dyDescent="0.25">
      <c r="B234" t="s">
        <v>155</v>
      </c>
      <c r="C234" s="2">
        <v>0.56830000000000003</v>
      </c>
      <c r="D234" s="2">
        <v>0.61450000000000005</v>
      </c>
      <c r="E234" s="2">
        <v>0.66080000000000005</v>
      </c>
      <c r="F234" s="2">
        <v>0.72689999999999999</v>
      </c>
      <c r="G234" s="2">
        <v>0.77310000000000001</v>
      </c>
      <c r="H234" s="2">
        <v>0.82599999999999996</v>
      </c>
      <c r="I234" s="2">
        <v>0.89870000000000005</v>
      </c>
      <c r="J234" s="2">
        <v>0.97140000000000004</v>
      </c>
      <c r="K234" s="2">
        <v>1.0441</v>
      </c>
      <c r="L234" s="2">
        <v>1.1234</v>
      </c>
      <c r="M234" s="2">
        <v>1.2027000000000001</v>
      </c>
      <c r="N234" s="2">
        <v>1.282</v>
      </c>
      <c r="O234" s="2">
        <v>1.3612</v>
      </c>
      <c r="P234" s="2">
        <v>1.4404999999999999</v>
      </c>
      <c r="Q234" s="2">
        <v>1.5198</v>
      </c>
      <c r="R234" s="5" t="s">
        <v>3</v>
      </c>
      <c r="S234" t="s">
        <v>127</v>
      </c>
    </row>
    <row r="235" spans="1:21" x14ac:dyDescent="0.25">
      <c r="B235" s="30" t="s">
        <v>135</v>
      </c>
      <c r="C235" s="2">
        <v>1.1363000000000001</v>
      </c>
      <c r="D235" s="2">
        <v>1.2287999999999999</v>
      </c>
      <c r="E235" s="2">
        <v>1.3212999999999999</v>
      </c>
      <c r="F235" s="2">
        <v>1.4535</v>
      </c>
      <c r="G235" s="2">
        <v>1.5459000000000001</v>
      </c>
      <c r="H235" s="2">
        <v>1.6516999999999999</v>
      </c>
      <c r="I235" s="2">
        <v>1.7969999999999999</v>
      </c>
      <c r="J235" s="2">
        <v>1.9422999999999999</v>
      </c>
      <c r="K235" s="2">
        <v>2.0876999999999999</v>
      </c>
      <c r="L235" s="2">
        <v>2.2462</v>
      </c>
      <c r="M235" s="2">
        <v>2.4047999999999998</v>
      </c>
      <c r="N235" s="2">
        <v>2.5634000000000001</v>
      </c>
      <c r="O235" s="2">
        <v>2.7219000000000002</v>
      </c>
      <c r="P235" s="2">
        <v>2.8805000000000001</v>
      </c>
      <c r="Q235" s="2">
        <v>3.0390000000000001</v>
      </c>
      <c r="R235" s="5" t="s">
        <v>3</v>
      </c>
      <c r="S235" t="s">
        <v>127</v>
      </c>
    </row>
    <row r="236" spans="1:21" x14ac:dyDescent="0.25">
      <c r="B236" s="30" t="s">
        <v>136</v>
      </c>
      <c r="C236" s="2">
        <v>1.4193</v>
      </c>
      <c r="D236" s="2">
        <v>1.5348999999999999</v>
      </c>
      <c r="E236" s="2">
        <v>1.6504000000000001</v>
      </c>
      <c r="F236" s="2">
        <v>1.8153999999999999</v>
      </c>
      <c r="G236" s="2">
        <v>1.931</v>
      </c>
      <c r="H236" s="2">
        <v>2.0630000000000002</v>
      </c>
      <c r="I236" s="2">
        <v>2.2444999999999999</v>
      </c>
      <c r="J236" s="2">
        <v>2.4260999999999999</v>
      </c>
      <c r="K236" s="2">
        <v>2.6076000000000001</v>
      </c>
      <c r="L236" s="2">
        <v>2.8056999999999999</v>
      </c>
      <c r="M236" s="2">
        <v>3.0036999999999998</v>
      </c>
      <c r="N236" s="2">
        <v>3.2018</v>
      </c>
      <c r="O236" s="2">
        <v>3.3997999999999999</v>
      </c>
      <c r="P236" s="2">
        <v>3.5979000000000001</v>
      </c>
      <c r="Q236" s="2">
        <v>3.7959000000000001</v>
      </c>
      <c r="R236" s="5" t="s">
        <v>3</v>
      </c>
      <c r="S236" t="s">
        <v>127</v>
      </c>
    </row>
    <row r="237" spans="1:21" x14ac:dyDescent="0.25">
      <c r="B237" t="s">
        <v>188</v>
      </c>
      <c r="C237" s="2">
        <v>0.41920000000000002</v>
      </c>
      <c r="D237" s="2">
        <v>0.4506</v>
      </c>
      <c r="E237" s="2">
        <v>0.48209999999999997</v>
      </c>
      <c r="F237" s="2">
        <v>0.52400000000000002</v>
      </c>
      <c r="G237" s="2">
        <v>0.5554</v>
      </c>
      <c r="H237" s="2">
        <v>0.58689999999999998</v>
      </c>
      <c r="I237" s="2">
        <v>0.62880000000000003</v>
      </c>
      <c r="J237" s="2">
        <v>0.67069999999999996</v>
      </c>
      <c r="K237" s="2">
        <v>0.71260000000000001</v>
      </c>
      <c r="L237" s="2">
        <v>0.75460000000000005</v>
      </c>
      <c r="M237" s="2">
        <v>0.79649999999999999</v>
      </c>
      <c r="N237" s="2">
        <v>0.83840000000000003</v>
      </c>
      <c r="O237" s="2">
        <v>0.89080000000000004</v>
      </c>
      <c r="P237" s="2">
        <v>0.94320000000000004</v>
      </c>
      <c r="Q237" s="2">
        <v>0.99560000000000004</v>
      </c>
      <c r="R237" s="5" t="s">
        <v>19</v>
      </c>
      <c r="S237" t="s">
        <v>127</v>
      </c>
    </row>
    <row r="238" spans="1:21" x14ac:dyDescent="0.25">
      <c r="B238" t="s">
        <v>925</v>
      </c>
      <c r="C238" s="29">
        <v>5.3400000000000003E-2</v>
      </c>
      <c r="D238" s="29">
        <v>5.74E-2</v>
      </c>
      <c r="E238" s="29">
        <v>6.1400000000000003E-2</v>
      </c>
      <c r="F238" s="29">
        <v>6.6699999999999995E-2</v>
      </c>
      <c r="G238" s="29">
        <v>7.0699999999999999E-2</v>
      </c>
      <c r="H238" s="29">
        <v>7.4700000000000003E-2</v>
      </c>
      <c r="I238" s="20">
        <v>0.08</v>
      </c>
      <c r="J238" s="29">
        <v>8.5400000000000004E-2</v>
      </c>
      <c r="K238" s="29">
        <v>9.0700000000000003E-2</v>
      </c>
      <c r="L238" s="29">
        <v>9.6000000000000002E-2</v>
      </c>
      <c r="M238" s="29">
        <v>0.1014</v>
      </c>
      <c r="N238" s="29">
        <v>0.1067</v>
      </c>
      <c r="O238" s="29">
        <v>0.1134</v>
      </c>
      <c r="P238" s="29">
        <v>0.1201</v>
      </c>
      <c r="Q238" s="29">
        <v>0.12670000000000001</v>
      </c>
      <c r="R238" s="5" t="s">
        <v>0</v>
      </c>
      <c r="S238" t="s">
        <v>226</v>
      </c>
      <c r="U238" t="s">
        <v>955</v>
      </c>
    </row>
    <row r="239" spans="1:21" x14ac:dyDescent="0.25">
      <c r="B239" t="s">
        <v>926</v>
      </c>
      <c r="C239">
        <v>513</v>
      </c>
      <c r="D239">
        <v>565</v>
      </c>
      <c r="E239">
        <v>620</v>
      </c>
      <c r="F239">
        <v>680</v>
      </c>
      <c r="G239">
        <v>744</v>
      </c>
      <c r="H239">
        <v>813</v>
      </c>
      <c r="I239">
        <v>885</v>
      </c>
      <c r="J239">
        <v>962</v>
      </c>
      <c r="K239">
        <v>1044</v>
      </c>
      <c r="L239">
        <v>1129</v>
      </c>
      <c r="M239">
        <v>1219</v>
      </c>
      <c r="N239">
        <v>1313</v>
      </c>
      <c r="O239">
        <v>1411</v>
      </c>
      <c r="P239">
        <v>1514</v>
      </c>
      <c r="Q239">
        <v>1621</v>
      </c>
      <c r="R239" s="5" t="s">
        <v>0</v>
      </c>
      <c r="S239" t="s">
        <v>226</v>
      </c>
      <c r="U239" t="s">
        <v>956</v>
      </c>
    </row>
    <row r="240" spans="1:21" x14ac:dyDescent="0.25">
      <c r="B240" t="s">
        <v>173</v>
      </c>
      <c r="C240" s="2">
        <v>0.8</v>
      </c>
      <c r="D240" s="2">
        <v>0.86</v>
      </c>
      <c r="E240" s="2">
        <v>0.92</v>
      </c>
      <c r="F240" s="2">
        <v>1</v>
      </c>
      <c r="G240" s="2">
        <v>1.06</v>
      </c>
      <c r="H240" s="2">
        <v>1.1200000000000001</v>
      </c>
      <c r="I240" s="2">
        <v>1.2</v>
      </c>
      <c r="J240" s="2">
        <v>1.28</v>
      </c>
      <c r="K240" s="2">
        <v>1.36</v>
      </c>
      <c r="L240" s="2">
        <v>1.44</v>
      </c>
      <c r="M240" s="2">
        <v>1.52</v>
      </c>
      <c r="N240" s="2">
        <v>1.6</v>
      </c>
      <c r="O240" s="2">
        <v>1.7</v>
      </c>
      <c r="P240" s="2">
        <v>1.8</v>
      </c>
      <c r="Q240" s="2">
        <v>1.9</v>
      </c>
      <c r="R240" s="5" t="s">
        <v>0</v>
      </c>
      <c r="S240" t="s">
        <v>127</v>
      </c>
    </row>
    <row r="241" spans="1:19" x14ac:dyDescent="0.25">
      <c r="B241" t="s">
        <v>189</v>
      </c>
      <c r="C241" s="2">
        <v>0.52639999999999998</v>
      </c>
      <c r="D241" s="2">
        <v>0.56589999999999996</v>
      </c>
      <c r="E241" s="2">
        <v>0.60540000000000005</v>
      </c>
      <c r="F241" s="2">
        <v>0.65800000000000003</v>
      </c>
      <c r="G241" s="2">
        <v>0.69750000000000001</v>
      </c>
      <c r="H241" s="2">
        <v>0.73699999999999999</v>
      </c>
      <c r="I241" s="2">
        <v>0.78959999999999997</v>
      </c>
      <c r="J241" s="2">
        <v>0.84219999999999995</v>
      </c>
      <c r="K241" s="2">
        <v>0.89490000000000003</v>
      </c>
      <c r="L241" s="2">
        <v>0.94750000000000001</v>
      </c>
      <c r="M241" s="2">
        <v>1.0002</v>
      </c>
      <c r="N241" s="2">
        <v>1.0528</v>
      </c>
      <c r="O241" s="2">
        <v>1.1186</v>
      </c>
      <c r="P241" s="2">
        <v>1.1843999999999999</v>
      </c>
      <c r="Q241" s="2">
        <v>1.2502</v>
      </c>
      <c r="R241" s="5" t="s">
        <v>0</v>
      </c>
      <c r="S241" t="s">
        <v>127</v>
      </c>
    </row>
    <row r="242" spans="1:19" x14ac:dyDescent="0.25">
      <c r="B242" s="3" t="s">
        <v>771</v>
      </c>
      <c r="C242" s="23"/>
      <c r="D242" s="23"/>
      <c r="E242" s="23"/>
      <c r="F242" s="23"/>
      <c r="G242" s="23"/>
      <c r="H242" s="23"/>
      <c r="I242" s="23"/>
      <c r="J242" s="23"/>
      <c r="K242" s="23"/>
      <c r="L242" s="23"/>
      <c r="M242" s="23"/>
      <c r="N242" s="23"/>
      <c r="O242" s="23"/>
      <c r="P242" s="23"/>
      <c r="Q242" s="23"/>
      <c r="R242" s="5" t="s">
        <v>771</v>
      </c>
      <c r="S242" t="s">
        <v>772</v>
      </c>
    </row>
    <row r="243" spans="1:19" x14ac:dyDescent="0.25">
      <c r="B243" s="3" t="s">
        <v>390</v>
      </c>
      <c r="C243" s="23"/>
      <c r="D243" s="23"/>
      <c r="E243" s="23"/>
      <c r="F243" s="23"/>
      <c r="G243" s="23"/>
      <c r="H243" s="23"/>
      <c r="I243" s="23"/>
      <c r="J243" s="23"/>
      <c r="K243" s="23"/>
      <c r="L243" s="23"/>
      <c r="M243" s="23"/>
      <c r="N243" s="23"/>
      <c r="O243" s="23"/>
      <c r="P243" s="23"/>
      <c r="Q243" s="23"/>
      <c r="R243" s="5" t="s">
        <v>396</v>
      </c>
      <c r="S243" t="s">
        <v>69</v>
      </c>
    </row>
    <row r="244" spans="1:19" x14ac:dyDescent="0.25">
      <c r="B244" s="3" t="s">
        <v>392</v>
      </c>
      <c r="C244" s="23"/>
      <c r="D244" s="23"/>
      <c r="E244" s="23"/>
      <c r="F244" s="23"/>
      <c r="G244" s="23"/>
      <c r="H244" s="23"/>
      <c r="I244" s="23"/>
      <c r="J244" s="23"/>
      <c r="K244" s="23"/>
      <c r="L244" s="23"/>
      <c r="M244" s="23"/>
      <c r="N244" s="23"/>
      <c r="O244" s="23"/>
      <c r="P244" s="23"/>
      <c r="Q244" s="23"/>
      <c r="R244" s="5" t="s">
        <v>396</v>
      </c>
      <c r="S244" t="s">
        <v>69</v>
      </c>
    </row>
    <row r="245" spans="1:19" x14ac:dyDescent="0.25">
      <c r="B245" s="3" t="s">
        <v>393</v>
      </c>
      <c r="C245" s="23"/>
      <c r="D245" s="23"/>
      <c r="E245" s="23"/>
      <c r="F245" s="23"/>
      <c r="G245" s="23"/>
      <c r="H245" s="23"/>
      <c r="I245" s="23"/>
      <c r="J245" s="23"/>
      <c r="K245" s="23"/>
      <c r="L245" s="23"/>
      <c r="M245" s="23"/>
      <c r="N245" s="23"/>
      <c r="O245" s="23"/>
      <c r="P245" s="23"/>
      <c r="Q245" s="23"/>
      <c r="R245" s="5" t="s">
        <v>396</v>
      </c>
      <c r="S245" t="s">
        <v>69</v>
      </c>
    </row>
    <row r="246" spans="1:19" x14ac:dyDescent="0.25">
      <c r="B246" s="3" t="s">
        <v>389</v>
      </c>
      <c r="C246" s="23"/>
      <c r="D246" s="23"/>
      <c r="E246" s="23"/>
      <c r="F246" s="23"/>
      <c r="G246" s="23"/>
      <c r="H246" s="23"/>
      <c r="I246" s="23"/>
      <c r="J246" s="23"/>
      <c r="K246" s="23"/>
      <c r="L246" s="23"/>
      <c r="M246" s="23"/>
      <c r="N246" s="23"/>
      <c r="O246" s="23"/>
      <c r="P246" s="23"/>
      <c r="Q246" s="23"/>
      <c r="R246" s="5" t="s">
        <v>396</v>
      </c>
      <c r="S246" t="s">
        <v>69</v>
      </c>
    </row>
    <row r="247" spans="1:19" x14ac:dyDescent="0.25">
      <c r="B247" s="3" t="s">
        <v>391</v>
      </c>
      <c r="C247" s="23"/>
      <c r="D247" s="23"/>
      <c r="E247" s="23"/>
      <c r="F247" s="23"/>
      <c r="G247" s="23"/>
      <c r="H247" s="23"/>
      <c r="I247" s="23"/>
      <c r="J247" s="23"/>
      <c r="K247" s="23"/>
      <c r="L247" s="23"/>
      <c r="M247" s="23"/>
      <c r="N247" s="23"/>
      <c r="O247" s="23"/>
      <c r="P247" s="23"/>
      <c r="Q247" s="23"/>
      <c r="R247" s="5" t="s">
        <v>396</v>
      </c>
      <c r="S247" t="s">
        <v>69</v>
      </c>
    </row>
    <row r="248" spans="1:19" x14ac:dyDescent="0.25">
      <c r="B248" s="3" t="s">
        <v>394</v>
      </c>
      <c r="C248" s="23"/>
      <c r="D248" s="23"/>
      <c r="E248" s="23"/>
      <c r="F248" s="23"/>
      <c r="G248" s="23"/>
      <c r="H248" s="23"/>
      <c r="I248" s="23"/>
      <c r="J248" s="23"/>
      <c r="K248" s="23"/>
      <c r="L248" s="23"/>
      <c r="M248" s="23"/>
      <c r="N248" s="23"/>
      <c r="O248" s="23"/>
      <c r="P248" s="23"/>
      <c r="Q248" s="23"/>
      <c r="R248" s="5" t="s">
        <v>396</v>
      </c>
      <c r="S248" t="s">
        <v>69</v>
      </c>
    </row>
    <row r="249" spans="1:19" x14ac:dyDescent="0.25">
      <c r="B249" s="3" t="s">
        <v>395</v>
      </c>
      <c r="C249" s="23"/>
      <c r="D249" s="23"/>
      <c r="E249" s="23"/>
      <c r="F249" s="23"/>
      <c r="G249" s="23"/>
      <c r="H249" s="23"/>
      <c r="I249" s="23"/>
      <c r="J249" s="23"/>
      <c r="K249" s="23"/>
      <c r="L249" s="23"/>
      <c r="M249" s="23"/>
      <c r="N249" s="23"/>
      <c r="O249" s="23"/>
      <c r="P249" s="23"/>
      <c r="Q249" s="23"/>
      <c r="R249" s="5" t="s">
        <v>396</v>
      </c>
      <c r="S249" t="s">
        <v>69</v>
      </c>
    </row>
    <row r="250" spans="1:19" x14ac:dyDescent="0.25">
      <c r="A250" t="s">
        <v>846</v>
      </c>
      <c r="B250" s="3" t="s">
        <v>397</v>
      </c>
      <c r="C250" s="23"/>
      <c r="D250" s="23"/>
      <c r="E250" s="23"/>
      <c r="F250" s="23"/>
      <c r="G250" s="23"/>
      <c r="H250" s="23"/>
      <c r="I250" s="23"/>
      <c r="J250" s="23"/>
      <c r="K250" s="23"/>
      <c r="L250" s="23"/>
      <c r="M250" s="23"/>
      <c r="N250" s="23"/>
      <c r="O250" s="23"/>
      <c r="P250" s="23"/>
      <c r="Q250" s="23"/>
      <c r="R250" s="5" t="s">
        <v>396</v>
      </c>
      <c r="S250" t="s">
        <v>69</v>
      </c>
    </row>
    <row r="251" spans="1:19" x14ac:dyDescent="0.25">
      <c r="B251" t="s">
        <v>432</v>
      </c>
      <c r="C251" s="21">
        <v>1</v>
      </c>
      <c r="D251" s="21">
        <v>2</v>
      </c>
      <c r="E251" s="21">
        <v>3</v>
      </c>
      <c r="F251" s="21">
        <v>4</v>
      </c>
      <c r="G251" s="21">
        <v>5</v>
      </c>
      <c r="H251" s="21">
        <v>6</v>
      </c>
      <c r="I251" s="21">
        <v>7</v>
      </c>
      <c r="J251" s="21">
        <v>8</v>
      </c>
      <c r="K251" s="21">
        <v>9</v>
      </c>
      <c r="L251" s="21">
        <v>10</v>
      </c>
      <c r="M251" s="21">
        <v>11</v>
      </c>
      <c r="N251" s="21">
        <v>12</v>
      </c>
      <c r="O251" s="21">
        <v>13</v>
      </c>
      <c r="P251" s="21">
        <v>14</v>
      </c>
      <c r="Q251" s="21">
        <v>15</v>
      </c>
      <c r="R251" s="5" t="s">
        <v>11</v>
      </c>
      <c r="S251" t="s">
        <v>126</v>
      </c>
    </row>
    <row r="252" spans="1:19" x14ac:dyDescent="0.25">
      <c r="A252" t="s">
        <v>847</v>
      </c>
      <c r="B252" t="s">
        <v>10</v>
      </c>
      <c r="C252" s="2">
        <v>0.4446</v>
      </c>
      <c r="D252" s="2">
        <v>0.48080000000000001</v>
      </c>
      <c r="E252" s="2">
        <v>0.51700000000000002</v>
      </c>
      <c r="F252" s="2">
        <v>0.56869999999999998</v>
      </c>
      <c r="G252" s="2">
        <v>0.60489999999999999</v>
      </c>
      <c r="H252" s="2">
        <v>0.64629999999999999</v>
      </c>
      <c r="I252" s="2">
        <v>0.70309999999999995</v>
      </c>
      <c r="J252" s="2">
        <v>0.76</v>
      </c>
      <c r="K252" s="2">
        <v>0.81689999999999996</v>
      </c>
      <c r="L252" s="2">
        <v>0.87890000000000001</v>
      </c>
      <c r="M252" s="2">
        <v>0.94089999999999996</v>
      </c>
      <c r="N252" s="2">
        <v>1.0029999999999999</v>
      </c>
      <c r="O252" s="2">
        <v>1.0649999999999999</v>
      </c>
      <c r="P252" s="2">
        <v>1.1271</v>
      </c>
      <c r="Q252" s="2">
        <v>1.1891</v>
      </c>
      <c r="R252" s="5" t="s">
        <v>6</v>
      </c>
      <c r="S252" t="s">
        <v>127</v>
      </c>
    </row>
    <row r="253" spans="1:19" x14ac:dyDescent="0.25">
      <c r="B253" t="s">
        <v>9</v>
      </c>
      <c r="C253" s="2">
        <v>0.43430000000000002</v>
      </c>
      <c r="D253" s="2">
        <v>0.46970000000000001</v>
      </c>
      <c r="E253" s="2">
        <v>0.505</v>
      </c>
      <c r="F253" s="2">
        <v>0.55549999999999999</v>
      </c>
      <c r="G253" s="2">
        <v>0.59089999999999998</v>
      </c>
      <c r="H253" s="2">
        <v>0.63129999999999997</v>
      </c>
      <c r="I253" s="2">
        <v>0.68679999999999997</v>
      </c>
      <c r="J253" s="2">
        <v>0.74229999999999996</v>
      </c>
      <c r="K253" s="2">
        <v>0.79790000000000005</v>
      </c>
      <c r="L253" s="2">
        <v>0.85850000000000004</v>
      </c>
      <c r="M253" s="2">
        <v>0.91910000000000003</v>
      </c>
      <c r="N253" s="2">
        <v>0.97970000000000002</v>
      </c>
      <c r="O253" s="2">
        <v>1.0403</v>
      </c>
      <c r="P253" s="2">
        <v>1.1009</v>
      </c>
      <c r="Q253" s="2">
        <v>1.1615</v>
      </c>
      <c r="R253" s="5" t="s">
        <v>6</v>
      </c>
      <c r="S253" t="s">
        <v>127</v>
      </c>
    </row>
    <row r="254" spans="1:19" x14ac:dyDescent="0.25">
      <c r="B254" t="s">
        <v>8</v>
      </c>
      <c r="C254" s="2">
        <v>0.52980000000000005</v>
      </c>
      <c r="D254" s="2">
        <v>0.57289999999999996</v>
      </c>
      <c r="E254" s="2">
        <v>0.61599999999999999</v>
      </c>
      <c r="F254" s="2">
        <v>0.67759999999999998</v>
      </c>
      <c r="G254" s="2">
        <v>0.72070000000000001</v>
      </c>
      <c r="H254" s="2">
        <v>0.77</v>
      </c>
      <c r="I254" s="2">
        <v>0.83779999999999999</v>
      </c>
      <c r="J254" s="2">
        <v>0.90549999999999997</v>
      </c>
      <c r="K254" s="2">
        <v>0.97330000000000005</v>
      </c>
      <c r="L254" s="2">
        <v>1.0471999999999999</v>
      </c>
      <c r="M254" s="2">
        <v>1.1211</v>
      </c>
      <c r="N254" s="2">
        <v>1.1950000000000001</v>
      </c>
      <c r="O254" s="2">
        <v>1.2689999999999999</v>
      </c>
      <c r="P254" s="2">
        <v>1.3429</v>
      </c>
      <c r="Q254" s="2">
        <v>1.4168000000000001</v>
      </c>
      <c r="R254" s="5" t="s">
        <v>6</v>
      </c>
      <c r="S254" t="s">
        <v>127</v>
      </c>
    </row>
    <row r="255" spans="1:19" x14ac:dyDescent="0.25">
      <c r="B255" t="s">
        <v>13</v>
      </c>
      <c r="C255" s="2">
        <v>0.58309999999999995</v>
      </c>
      <c r="D255" s="2">
        <v>0.63049999999999995</v>
      </c>
      <c r="E255" s="2">
        <v>0.67800000000000005</v>
      </c>
      <c r="F255" s="2">
        <v>0.74580000000000002</v>
      </c>
      <c r="G255" s="2">
        <v>0.79330000000000001</v>
      </c>
      <c r="H255" s="2">
        <v>0.84750000000000003</v>
      </c>
      <c r="I255" s="2">
        <v>0.92210000000000003</v>
      </c>
      <c r="J255" s="2">
        <v>0.99670000000000003</v>
      </c>
      <c r="K255" s="2">
        <v>1.0711999999999999</v>
      </c>
      <c r="L255" s="2">
        <v>1.1526000000000001</v>
      </c>
      <c r="M255" s="2">
        <v>1.234</v>
      </c>
      <c r="N255" s="2">
        <v>1.3152999999999999</v>
      </c>
      <c r="O255" s="2">
        <v>1.3967000000000001</v>
      </c>
      <c r="P255" s="2">
        <v>1.478</v>
      </c>
      <c r="Q255" s="2">
        <v>1.5593999999999999</v>
      </c>
      <c r="R255" s="5" t="s">
        <v>6</v>
      </c>
      <c r="S255" t="s">
        <v>127</v>
      </c>
    </row>
    <row r="256" spans="1:19" x14ac:dyDescent="0.25">
      <c r="B256" t="s">
        <v>7</v>
      </c>
      <c r="C256" s="2">
        <v>0.70779999999999998</v>
      </c>
      <c r="D256" s="2">
        <v>0.76539999999999997</v>
      </c>
      <c r="E256" s="2">
        <v>0.82299999999999995</v>
      </c>
      <c r="F256" s="2">
        <v>0.90529999999999999</v>
      </c>
      <c r="G256" s="2">
        <v>0.96289999999999998</v>
      </c>
      <c r="H256" s="2">
        <v>1.0287999999999999</v>
      </c>
      <c r="I256" s="2">
        <v>1.1193</v>
      </c>
      <c r="J256" s="2">
        <v>1.2098</v>
      </c>
      <c r="K256" s="2">
        <v>1.3003</v>
      </c>
      <c r="L256" s="2">
        <v>1.3991</v>
      </c>
      <c r="M256" s="2">
        <v>1.4979</v>
      </c>
      <c r="N256" s="2">
        <v>1.5966</v>
      </c>
      <c r="O256" s="2">
        <v>1.6954</v>
      </c>
      <c r="P256" s="2">
        <v>1.7941</v>
      </c>
      <c r="Q256" s="2">
        <v>1.8929</v>
      </c>
      <c r="R256" s="5" t="s">
        <v>6</v>
      </c>
      <c r="S256" t="s">
        <v>127</v>
      </c>
    </row>
    <row r="257" spans="2:19" x14ac:dyDescent="0.25">
      <c r="B257" t="s">
        <v>140</v>
      </c>
      <c r="C257" s="2">
        <v>0.55900000000000005</v>
      </c>
      <c r="D257" s="2">
        <v>0.60450000000000004</v>
      </c>
      <c r="E257" s="2">
        <v>0.65</v>
      </c>
      <c r="F257" s="2">
        <v>0.71499999999999997</v>
      </c>
      <c r="G257" s="2">
        <v>0.76049999999999995</v>
      </c>
      <c r="H257" s="2">
        <v>0.8125</v>
      </c>
      <c r="I257" s="2">
        <v>0.88400000000000001</v>
      </c>
      <c r="J257" s="2">
        <v>0.95550000000000002</v>
      </c>
      <c r="K257" s="2">
        <v>1.0269999999999999</v>
      </c>
      <c r="L257" s="2">
        <v>1.105</v>
      </c>
      <c r="M257" s="2">
        <v>1.1830000000000001</v>
      </c>
      <c r="N257" s="2">
        <v>1.2609999999999999</v>
      </c>
      <c r="O257" s="2">
        <v>1.339</v>
      </c>
      <c r="P257" s="2">
        <v>1.417</v>
      </c>
      <c r="Q257" s="2">
        <v>1.4950000000000001</v>
      </c>
      <c r="R257" s="5" t="s">
        <v>5</v>
      </c>
      <c r="S257" t="s">
        <v>127</v>
      </c>
    </row>
    <row r="258" spans="2:19" x14ac:dyDescent="0.25">
      <c r="B258" t="s">
        <v>141</v>
      </c>
      <c r="C258" s="2">
        <v>0.60719999999999996</v>
      </c>
      <c r="D258" s="2">
        <v>0.65659999999999996</v>
      </c>
      <c r="E258" s="2">
        <v>0.70599999999999996</v>
      </c>
      <c r="F258" s="2">
        <v>0.77659999999999996</v>
      </c>
      <c r="G258" s="2">
        <v>0.82599999999999996</v>
      </c>
      <c r="H258" s="2">
        <v>0.88249999999999995</v>
      </c>
      <c r="I258" s="2">
        <v>0.96020000000000005</v>
      </c>
      <c r="J258" s="2">
        <v>1.0378000000000001</v>
      </c>
      <c r="K258" s="2">
        <v>1.1154999999999999</v>
      </c>
      <c r="L258" s="2">
        <v>1.2001999999999999</v>
      </c>
      <c r="M258" s="2">
        <v>1.2848999999999999</v>
      </c>
      <c r="N258" s="2">
        <v>1.3695999999999999</v>
      </c>
      <c r="O258" s="2">
        <v>1.4543999999999999</v>
      </c>
      <c r="P258" s="2">
        <v>1.5390999999999999</v>
      </c>
      <c r="Q258" s="2">
        <v>1.6237999999999999</v>
      </c>
      <c r="R258" s="5" t="s">
        <v>5</v>
      </c>
      <c r="S258" t="s">
        <v>127</v>
      </c>
    </row>
    <row r="259" spans="2:19" x14ac:dyDescent="0.25">
      <c r="B259" t="s">
        <v>155</v>
      </c>
      <c r="C259" s="2">
        <v>0.63929999999999998</v>
      </c>
      <c r="D259" s="2">
        <v>0.69140000000000001</v>
      </c>
      <c r="E259" s="2">
        <v>0.74339999999999995</v>
      </c>
      <c r="F259" s="2">
        <v>0.81769999999999998</v>
      </c>
      <c r="G259" s="2">
        <v>0.86980000000000002</v>
      </c>
      <c r="H259" s="2">
        <v>0.92930000000000001</v>
      </c>
      <c r="I259" s="2">
        <v>1.0109999999999999</v>
      </c>
      <c r="J259" s="2">
        <v>1.0928</v>
      </c>
      <c r="K259" s="2">
        <v>1.1746000000000001</v>
      </c>
      <c r="L259" s="2">
        <v>1.2638</v>
      </c>
      <c r="M259" s="2">
        <v>1.353</v>
      </c>
      <c r="N259" s="2">
        <v>1.4421999999999999</v>
      </c>
      <c r="O259" s="2">
        <v>1.5314000000000001</v>
      </c>
      <c r="P259" s="2">
        <v>1.6206</v>
      </c>
      <c r="Q259" s="2">
        <v>1.7098</v>
      </c>
      <c r="R259" s="5" t="s">
        <v>3</v>
      </c>
      <c r="S259" t="s">
        <v>127</v>
      </c>
    </row>
    <row r="260" spans="2:19" x14ac:dyDescent="0.25">
      <c r="B260" t="s">
        <v>135</v>
      </c>
      <c r="C260" s="2">
        <v>1.2784</v>
      </c>
      <c r="D260" s="2">
        <v>1.3824000000000001</v>
      </c>
      <c r="E260" s="2">
        <v>1.4864999999999999</v>
      </c>
      <c r="F260" s="2">
        <v>1.6351</v>
      </c>
      <c r="G260" s="2">
        <v>1.7392000000000001</v>
      </c>
      <c r="H260" s="2">
        <v>1.8581000000000001</v>
      </c>
      <c r="I260" s="2">
        <v>2.0215999999999998</v>
      </c>
      <c r="J260" s="2">
        <v>2.1850999999999998</v>
      </c>
      <c r="K260" s="2">
        <v>2.3485999999999998</v>
      </c>
      <c r="L260" s="2">
        <v>2.5270000000000001</v>
      </c>
      <c r="M260" s="2">
        <v>2.7054</v>
      </c>
      <c r="N260" s="2">
        <v>2.8837999999999999</v>
      </c>
      <c r="O260" s="2">
        <v>3.0621999999999998</v>
      </c>
      <c r="P260" s="2">
        <v>3.2404999999999999</v>
      </c>
      <c r="Q260" s="2">
        <v>3.4188999999999998</v>
      </c>
      <c r="R260" s="5" t="s">
        <v>3</v>
      </c>
      <c r="S260" t="s">
        <v>127</v>
      </c>
    </row>
    <row r="261" spans="2:19" x14ac:dyDescent="0.25">
      <c r="B261" t="s">
        <v>136</v>
      </c>
      <c r="C261" s="2">
        <v>1.5968</v>
      </c>
      <c r="D261" s="2">
        <v>1.7266999999999999</v>
      </c>
      <c r="E261" s="2">
        <v>1.8567</v>
      </c>
      <c r="F261" s="2">
        <v>2.0424000000000002</v>
      </c>
      <c r="G261" s="2">
        <v>2.1722999999999999</v>
      </c>
      <c r="H261" s="2">
        <v>2.3209</v>
      </c>
      <c r="I261" s="2">
        <v>2.5251000000000001</v>
      </c>
      <c r="J261" s="2">
        <v>2.7292999999999998</v>
      </c>
      <c r="K261" s="2">
        <v>2.9336000000000002</v>
      </c>
      <c r="L261" s="2">
        <v>3.1564000000000001</v>
      </c>
      <c r="M261" s="2">
        <v>3.3792</v>
      </c>
      <c r="N261" s="2">
        <v>3.6019999999999999</v>
      </c>
      <c r="O261" s="2">
        <v>3.8248000000000002</v>
      </c>
      <c r="P261" s="2">
        <v>4.0476000000000001</v>
      </c>
      <c r="Q261" s="2">
        <v>4.2704000000000004</v>
      </c>
      <c r="R261" s="5" t="s">
        <v>3</v>
      </c>
      <c r="S261" t="s">
        <v>127</v>
      </c>
    </row>
    <row r="262" spans="2:19" x14ac:dyDescent="0.25">
      <c r="B262" t="s">
        <v>190</v>
      </c>
      <c r="C262" s="2">
        <v>0.78659999999999997</v>
      </c>
      <c r="D262" s="2">
        <v>0.84560000000000002</v>
      </c>
      <c r="E262" s="2">
        <v>0.90459999999999996</v>
      </c>
      <c r="F262" s="2">
        <v>0.98329999999999995</v>
      </c>
      <c r="G262" s="2">
        <v>1.0423</v>
      </c>
      <c r="H262" s="2">
        <v>1.1012999999999999</v>
      </c>
      <c r="I262" s="2">
        <v>1.18</v>
      </c>
      <c r="J262" s="2">
        <v>1.2585999999999999</v>
      </c>
      <c r="K262" s="2">
        <v>1.3372999999999999</v>
      </c>
      <c r="L262" s="2">
        <v>1.4159999999999999</v>
      </c>
      <c r="M262" s="2">
        <v>1.4945999999999999</v>
      </c>
      <c r="N262" s="2">
        <v>1.5732999999999999</v>
      </c>
      <c r="O262" s="2">
        <v>1.6716</v>
      </c>
      <c r="P262" s="2">
        <v>1.7699</v>
      </c>
      <c r="Q262" s="2">
        <v>1.8683000000000001</v>
      </c>
      <c r="R262" s="5" t="s">
        <v>19</v>
      </c>
      <c r="S262" t="s">
        <v>127</v>
      </c>
    </row>
    <row r="263" spans="2:19" x14ac:dyDescent="0.25">
      <c r="B263" t="s">
        <v>163</v>
      </c>
      <c r="C263" s="2">
        <v>1.1439999999999999</v>
      </c>
      <c r="D263" s="2">
        <v>1.2298</v>
      </c>
      <c r="E263" s="2">
        <v>1.3156000000000001</v>
      </c>
      <c r="F263" s="2">
        <v>1.43</v>
      </c>
      <c r="G263" s="2">
        <v>1.5158</v>
      </c>
      <c r="H263" s="2">
        <v>1.6015999999999999</v>
      </c>
      <c r="I263" s="2">
        <v>1.716</v>
      </c>
      <c r="J263" s="2">
        <v>1.8304</v>
      </c>
      <c r="K263" s="2">
        <v>1.9448000000000001</v>
      </c>
      <c r="L263" s="2">
        <v>2.0592000000000001</v>
      </c>
      <c r="M263" s="2">
        <v>2.1736</v>
      </c>
      <c r="N263" s="2">
        <v>2.2879999999999998</v>
      </c>
      <c r="O263" s="2">
        <v>2.431</v>
      </c>
      <c r="P263" s="2">
        <v>2.5739999999999998</v>
      </c>
      <c r="Q263" s="2">
        <v>2.7170000000000001</v>
      </c>
      <c r="R263" s="5" t="s">
        <v>0</v>
      </c>
      <c r="S263" t="s">
        <v>127</v>
      </c>
    </row>
    <row r="264" spans="2:19" x14ac:dyDescent="0.25">
      <c r="B264" t="s">
        <v>191</v>
      </c>
      <c r="C264" s="2">
        <v>0.32800000000000001</v>
      </c>
      <c r="D264" s="2">
        <v>0.35260000000000002</v>
      </c>
      <c r="E264" s="2">
        <v>0.37719999999999998</v>
      </c>
      <c r="F264" s="2">
        <v>0.41</v>
      </c>
      <c r="G264" s="2">
        <v>0.43459999999999999</v>
      </c>
      <c r="H264" s="2">
        <v>0.4592</v>
      </c>
      <c r="I264" s="2">
        <v>0.49199999999999999</v>
      </c>
      <c r="J264" s="2">
        <v>0.52480000000000004</v>
      </c>
      <c r="K264" s="2">
        <v>0.55759999999999998</v>
      </c>
      <c r="L264" s="2">
        <v>0.59040000000000004</v>
      </c>
      <c r="M264" s="2">
        <v>0.62319999999999998</v>
      </c>
      <c r="N264" s="2">
        <v>0.65600000000000003</v>
      </c>
      <c r="O264" s="2">
        <v>0.69699999999999995</v>
      </c>
      <c r="P264" s="2">
        <v>0.73799999999999999</v>
      </c>
      <c r="Q264" s="2">
        <v>0.77900000000000003</v>
      </c>
      <c r="R264" s="5" t="s">
        <v>0</v>
      </c>
      <c r="S264" t="s">
        <v>127</v>
      </c>
    </row>
    <row r="265" spans="2:19" x14ac:dyDescent="0.25">
      <c r="B265" s="3" t="s">
        <v>771</v>
      </c>
      <c r="C265" s="23"/>
      <c r="D265" s="23"/>
      <c r="E265" s="23"/>
      <c r="F265" s="23"/>
      <c r="G265" s="23"/>
      <c r="H265" s="23"/>
      <c r="I265" s="23"/>
      <c r="J265" s="23"/>
      <c r="K265" s="23"/>
      <c r="L265" s="23"/>
      <c r="M265" s="23"/>
      <c r="N265" s="23"/>
      <c r="O265" s="23"/>
      <c r="P265" s="23"/>
      <c r="Q265" s="23"/>
      <c r="R265" s="5" t="s">
        <v>771</v>
      </c>
      <c r="S265" t="s">
        <v>772</v>
      </c>
    </row>
    <row r="266" spans="2:19" x14ac:dyDescent="0.25">
      <c r="B266" s="3" t="s">
        <v>390</v>
      </c>
      <c r="C266" s="23"/>
      <c r="D266" s="23"/>
      <c r="E266" s="23"/>
      <c r="F266" s="23"/>
      <c r="G266" s="23"/>
      <c r="H266" s="23"/>
      <c r="I266" s="23"/>
      <c r="J266" s="23"/>
      <c r="K266" s="23"/>
      <c r="L266" s="23"/>
      <c r="M266" s="23"/>
      <c r="N266" s="23"/>
      <c r="O266" s="23"/>
      <c r="P266" s="23"/>
      <c r="Q266" s="23"/>
      <c r="R266" s="5" t="s">
        <v>396</v>
      </c>
      <c r="S266" t="s">
        <v>69</v>
      </c>
    </row>
    <row r="267" spans="2:19" x14ac:dyDescent="0.25">
      <c r="B267" s="3" t="s">
        <v>392</v>
      </c>
      <c r="C267" s="23"/>
      <c r="D267" s="23"/>
      <c r="E267" s="23"/>
      <c r="F267" s="23"/>
      <c r="G267" s="23"/>
      <c r="H267" s="23"/>
      <c r="I267" s="23"/>
      <c r="J267" s="23"/>
      <c r="K267" s="23"/>
      <c r="L267" s="23"/>
      <c r="M267" s="23"/>
      <c r="N267" s="23"/>
      <c r="O267" s="23"/>
      <c r="P267" s="23"/>
      <c r="Q267" s="23"/>
      <c r="R267" s="5" t="s">
        <v>396</v>
      </c>
      <c r="S267" t="s">
        <v>69</v>
      </c>
    </row>
    <row r="268" spans="2:19" x14ac:dyDescent="0.25">
      <c r="B268" s="3" t="s">
        <v>393</v>
      </c>
      <c r="C268" s="23"/>
      <c r="D268" s="23"/>
      <c r="E268" s="23"/>
      <c r="F268" s="23"/>
      <c r="G268" s="23"/>
      <c r="H268" s="23"/>
      <c r="I268" s="23"/>
      <c r="J268" s="23"/>
      <c r="K268" s="23"/>
      <c r="L268" s="23"/>
      <c r="M268" s="23"/>
      <c r="N268" s="23"/>
      <c r="O268" s="23"/>
      <c r="P268" s="23"/>
      <c r="Q268" s="23"/>
      <c r="R268" s="5" t="s">
        <v>396</v>
      </c>
      <c r="S268" t="s">
        <v>69</v>
      </c>
    </row>
    <row r="269" spans="2:19" x14ac:dyDescent="0.25">
      <c r="B269" s="3" t="s">
        <v>389</v>
      </c>
      <c r="C269" s="23"/>
      <c r="D269" s="23"/>
      <c r="E269" s="23"/>
      <c r="F269" s="23"/>
      <c r="G269" s="23"/>
      <c r="H269" s="23"/>
      <c r="I269" s="23"/>
      <c r="J269" s="23"/>
      <c r="K269" s="23"/>
      <c r="L269" s="23"/>
      <c r="M269" s="23"/>
      <c r="N269" s="23"/>
      <c r="O269" s="23"/>
      <c r="P269" s="23"/>
      <c r="Q269" s="23"/>
      <c r="R269" s="5" t="s">
        <v>396</v>
      </c>
      <c r="S269" t="s">
        <v>69</v>
      </c>
    </row>
    <row r="270" spans="2:19" x14ac:dyDescent="0.25">
      <c r="B270" s="3" t="s">
        <v>391</v>
      </c>
      <c r="C270" s="23"/>
      <c r="D270" s="23"/>
      <c r="E270" s="23"/>
      <c r="F270" s="23"/>
      <c r="G270" s="23"/>
      <c r="H270" s="23"/>
      <c r="I270" s="23"/>
      <c r="J270" s="23"/>
      <c r="K270" s="23"/>
      <c r="L270" s="23"/>
      <c r="M270" s="23"/>
      <c r="N270" s="23"/>
      <c r="O270" s="23"/>
      <c r="P270" s="23"/>
      <c r="Q270" s="23"/>
      <c r="R270" s="5" t="s">
        <v>396</v>
      </c>
      <c r="S270" t="s">
        <v>69</v>
      </c>
    </row>
    <row r="271" spans="2:19" x14ac:dyDescent="0.25">
      <c r="B271" s="3" t="s">
        <v>394</v>
      </c>
      <c r="C271" s="23"/>
      <c r="D271" s="23"/>
      <c r="E271" s="23"/>
      <c r="F271" s="23"/>
      <c r="G271" s="23"/>
      <c r="H271" s="23"/>
      <c r="I271" s="23"/>
      <c r="J271" s="23"/>
      <c r="K271" s="23"/>
      <c r="L271" s="23"/>
      <c r="M271" s="23"/>
      <c r="N271" s="23"/>
      <c r="O271" s="23"/>
      <c r="P271" s="23"/>
      <c r="Q271" s="23"/>
      <c r="R271" s="5" t="s">
        <v>396</v>
      </c>
      <c r="S271" t="s">
        <v>69</v>
      </c>
    </row>
    <row r="272" spans="2:19" x14ac:dyDescent="0.25">
      <c r="B272" s="3" t="s">
        <v>395</v>
      </c>
      <c r="C272" s="23"/>
      <c r="D272" s="23"/>
      <c r="E272" s="23"/>
      <c r="F272" s="23"/>
      <c r="G272" s="23"/>
      <c r="H272" s="23"/>
      <c r="I272" s="23"/>
      <c r="J272" s="23"/>
      <c r="K272" s="23"/>
      <c r="L272" s="23"/>
      <c r="M272" s="23"/>
      <c r="N272" s="23"/>
      <c r="O272" s="23"/>
      <c r="P272" s="23"/>
      <c r="Q272" s="23"/>
      <c r="R272" s="5" t="s">
        <v>396</v>
      </c>
      <c r="S272" t="s">
        <v>69</v>
      </c>
    </row>
    <row r="273" spans="1:19" x14ac:dyDescent="0.25">
      <c r="A273" t="s">
        <v>848</v>
      </c>
      <c r="B273" s="3" t="s">
        <v>397</v>
      </c>
      <c r="C273" s="23"/>
      <c r="D273" s="23"/>
      <c r="E273" s="23"/>
      <c r="F273" s="23"/>
      <c r="G273" s="23"/>
      <c r="H273" s="23"/>
      <c r="I273" s="23"/>
      <c r="J273" s="23"/>
      <c r="K273" s="23"/>
      <c r="L273" s="23"/>
      <c r="M273" s="23"/>
      <c r="N273" s="23"/>
      <c r="O273" s="23"/>
      <c r="P273" s="23"/>
      <c r="Q273" s="23"/>
      <c r="R273" s="5" t="s">
        <v>396</v>
      </c>
      <c r="S273" t="s">
        <v>69</v>
      </c>
    </row>
    <row r="274" spans="1:19" x14ac:dyDescent="0.25">
      <c r="B274" t="s">
        <v>192</v>
      </c>
      <c r="C274" s="21">
        <v>1</v>
      </c>
      <c r="D274" s="21">
        <v>2</v>
      </c>
      <c r="E274" s="21">
        <v>3</v>
      </c>
      <c r="F274" s="21">
        <v>4</v>
      </c>
      <c r="G274" s="21">
        <v>5</v>
      </c>
      <c r="H274" s="21">
        <v>6</v>
      </c>
      <c r="I274" s="21">
        <v>7</v>
      </c>
      <c r="J274" s="21">
        <v>8</v>
      </c>
      <c r="K274" s="21">
        <v>9</v>
      </c>
      <c r="L274" s="21">
        <v>10</v>
      </c>
      <c r="M274" s="21">
        <v>11</v>
      </c>
      <c r="N274" s="21">
        <v>12</v>
      </c>
      <c r="O274" s="21">
        <v>13</v>
      </c>
      <c r="P274" s="21">
        <v>14</v>
      </c>
      <c r="Q274" s="21">
        <v>15</v>
      </c>
      <c r="R274" s="5" t="s">
        <v>11</v>
      </c>
      <c r="S274" t="s">
        <v>126</v>
      </c>
    </row>
    <row r="275" spans="1:19" x14ac:dyDescent="0.25">
      <c r="A275" t="s">
        <v>849</v>
      </c>
      <c r="B275" t="s">
        <v>10</v>
      </c>
      <c r="C275" s="2">
        <v>0.89729999999999999</v>
      </c>
      <c r="D275" s="2">
        <v>0.97040000000000004</v>
      </c>
      <c r="E275" s="2">
        <v>1.0434000000000001</v>
      </c>
      <c r="F275" s="2">
        <v>1.1476999999999999</v>
      </c>
      <c r="G275" s="2">
        <v>1.2208000000000001</v>
      </c>
      <c r="H275" s="2">
        <v>1.3043</v>
      </c>
      <c r="I275" s="2">
        <v>1.419</v>
      </c>
      <c r="J275" s="2">
        <v>1.5338000000000001</v>
      </c>
      <c r="K275" s="2">
        <v>1.6486000000000001</v>
      </c>
      <c r="L275" s="2">
        <v>1.7738</v>
      </c>
      <c r="M275" s="2">
        <v>1.9172</v>
      </c>
      <c r="N275" s="2">
        <v>2.0859999999999999</v>
      </c>
      <c r="O275" s="2">
        <v>2.2547000000000001</v>
      </c>
      <c r="P275" s="2">
        <v>2.4234</v>
      </c>
      <c r="Q275" s="2">
        <v>2.6074999999999999</v>
      </c>
      <c r="R275" s="5" t="s">
        <v>6</v>
      </c>
      <c r="S275" t="s">
        <v>127</v>
      </c>
    </row>
    <row r="276" spans="1:19" x14ac:dyDescent="0.25">
      <c r="B276" t="s">
        <v>9</v>
      </c>
      <c r="C276" s="2">
        <v>0.9355</v>
      </c>
      <c r="D276" s="2">
        <v>1.0117</v>
      </c>
      <c r="E276" s="2">
        <v>1.0878000000000001</v>
      </c>
      <c r="F276" s="2">
        <v>1.1966000000000001</v>
      </c>
      <c r="G276" s="2">
        <v>1.2726999999999999</v>
      </c>
      <c r="H276" s="2">
        <v>1.3597999999999999</v>
      </c>
      <c r="I276" s="2">
        <v>1.4794</v>
      </c>
      <c r="J276" s="2">
        <v>1.5991</v>
      </c>
      <c r="K276" s="2">
        <v>1.7186999999999999</v>
      </c>
      <c r="L276" s="2">
        <v>1.8492999999999999</v>
      </c>
      <c r="M276" s="2">
        <v>1.9987999999999999</v>
      </c>
      <c r="N276" s="2">
        <v>2.1747000000000001</v>
      </c>
      <c r="O276" s="2">
        <v>2.3506</v>
      </c>
      <c r="P276" s="2">
        <v>2.5265</v>
      </c>
      <c r="Q276" s="2">
        <v>2.7183999999999999</v>
      </c>
      <c r="R276" s="5" t="s">
        <v>6</v>
      </c>
      <c r="S276" t="s">
        <v>127</v>
      </c>
    </row>
    <row r="277" spans="1:19" x14ac:dyDescent="0.25">
      <c r="B277" t="s">
        <v>200</v>
      </c>
      <c r="C277" s="2">
        <v>0.56799999999999995</v>
      </c>
      <c r="D277" s="2">
        <v>0.61419999999999997</v>
      </c>
      <c r="E277" s="2">
        <v>0.66049999999999998</v>
      </c>
      <c r="F277" s="2">
        <v>0.72650000000000003</v>
      </c>
      <c r="G277" s="2">
        <v>0.77270000000000005</v>
      </c>
      <c r="H277" s="2">
        <v>0.8256</v>
      </c>
      <c r="I277" s="2">
        <v>0.8982</v>
      </c>
      <c r="J277" s="2">
        <v>0.97089999999999999</v>
      </c>
      <c r="K277" s="2">
        <v>1.0435000000000001</v>
      </c>
      <c r="L277" s="2">
        <v>1.1228</v>
      </c>
      <c r="M277" s="2">
        <v>1.2136</v>
      </c>
      <c r="N277" s="2">
        <v>1.3204</v>
      </c>
      <c r="O277" s="2">
        <v>1.4272</v>
      </c>
      <c r="P277" s="2">
        <v>1.534</v>
      </c>
      <c r="Q277" s="2">
        <v>1.6505000000000001</v>
      </c>
      <c r="R277" s="5" t="s">
        <v>6</v>
      </c>
      <c r="S277" t="s">
        <v>127</v>
      </c>
    </row>
    <row r="278" spans="1:19" x14ac:dyDescent="0.25">
      <c r="B278" t="s">
        <v>13</v>
      </c>
      <c r="C278" s="2">
        <v>1.1264000000000001</v>
      </c>
      <c r="D278" s="2">
        <v>1.2181</v>
      </c>
      <c r="E278" s="2">
        <v>1.3098000000000001</v>
      </c>
      <c r="F278" s="2">
        <v>1.4408000000000001</v>
      </c>
      <c r="G278" s="2">
        <v>1.5325</v>
      </c>
      <c r="H278" s="2">
        <v>1.6373</v>
      </c>
      <c r="I278" s="2">
        <v>1.7813000000000001</v>
      </c>
      <c r="J278" s="2">
        <v>1.9254</v>
      </c>
      <c r="K278" s="2">
        <v>2.0695000000000001</v>
      </c>
      <c r="L278" s="2">
        <v>2.2267000000000001</v>
      </c>
      <c r="M278" s="2">
        <v>2.4068000000000001</v>
      </c>
      <c r="N278" s="2">
        <v>2.6185999999999998</v>
      </c>
      <c r="O278" s="2">
        <v>2.8302999999999998</v>
      </c>
      <c r="P278" s="2">
        <v>3.0421</v>
      </c>
      <c r="Q278" s="2">
        <v>3.2732000000000001</v>
      </c>
      <c r="R278" s="5" t="s">
        <v>6</v>
      </c>
      <c r="S278" t="s">
        <v>127</v>
      </c>
    </row>
    <row r="279" spans="1:19" x14ac:dyDescent="0.25">
      <c r="B279" t="s">
        <v>199</v>
      </c>
      <c r="C279" s="2">
        <v>0.71830000000000005</v>
      </c>
      <c r="D279" s="2">
        <v>0.77680000000000005</v>
      </c>
      <c r="E279" s="2">
        <v>0.83530000000000004</v>
      </c>
      <c r="F279" s="2">
        <v>0.91879999999999995</v>
      </c>
      <c r="G279" s="2">
        <v>0.97729999999999995</v>
      </c>
      <c r="H279" s="2">
        <v>1.0441</v>
      </c>
      <c r="I279" s="2">
        <v>1.1359999999999999</v>
      </c>
      <c r="J279" s="2">
        <v>1.2279</v>
      </c>
      <c r="K279" s="2">
        <v>1.3197000000000001</v>
      </c>
      <c r="L279" s="2">
        <v>1.42</v>
      </c>
      <c r="M279" s="2">
        <v>1.5347999999999999</v>
      </c>
      <c r="N279" s="2">
        <v>1.6698999999999999</v>
      </c>
      <c r="O279" s="2">
        <v>1.8048999999999999</v>
      </c>
      <c r="P279" s="2">
        <v>1.94</v>
      </c>
      <c r="Q279" s="2">
        <v>2.0874000000000001</v>
      </c>
      <c r="R279" s="5" t="s">
        <v>6</v>
      </c>
      <c r="S279" t="s">
        <v>127</v>
      </c>
    </row>
    <row r="280" spans="1:19" x14ac:dyDescent="0.25">
      <c r="B280" t="s">
        <v>157</v>
      </c>
      <c r="C280" s="2">
        <v>0.68799999999999994</v>
      </c>
      <c r="D280" s="2">
        <v>0.74399999999999999</v>
      </c>
      <c r="E280" s="2">
        <v>0.8</v>
      </c>
      <c r="F280" s="2">
        <v>0.88</v>
      </c>
      <c r="G280" s="2">
        <v>0.93600000000000005</v>
      </c>
      <c r="H280" s="2">
        <v>1</v>
      </c>
      <c r="I280" s="2">
        <v>1.0880000000000001</v>
      </c>
      <c r="J280" s="2">
        <v>1.1759999999999999</v>
      </c>
      <c r="K280" s="2">
        <v>1.264</v>
      </c>
      <c r="L280" s="2">
        <v>1.36</v>
      </c>
      <c r="M280" s="2">
        <v>1.47</v>
      </c>
      <c r="N280" s="2">
        <v>1.5993999999999999</v>
      </c>
      <c r="O280" s="2">
        <v>1.7286999999999999</v>
      </c>
      <c r="P280" s="2">
        <v>1.8581000000000001</v>
      </c>
      <c r="Q280" s="2">
        <v>1.9992000000000001</v>
      </c>
      <c r="R280" s="5" t="s">
        <v>5</v>
      </c>
      <c r="S280" t="s">
        <v>127</v>
      </c>
    </row>
    <row r="281" spans="1:19" x14ac:dyDescent="0.25">
      <c r="B281" t="s">
        <v>158</v>
      </c>
      <c r="C281" s="2">
        <v>1.244</v>
      </c>
      <c r="D281" s="2">
        <v>1.3452</v>
      </c>
      <c r="E281" s="2">
        <v>1.4464999999999999</v>
      </c>
      <c r="F281" s="2">
        <v>1.5911999999999999</v>
      </c>
      <c r="G281" s="2">
        <v>1.6923999999999999</v>
      </c>
      <c r="H281" s="2">
        <v>1.8081</v>
      </c>
      <c r="I281" s="2">
        <v>1.9672000000000001</v>
      </c>
      <c r="J281" s="2">
        <v>2.1263999999999998</v>
      </c>
      <c r="K281" s="2">
        <v>2.2854999999999999</v>
      </c>
      <c r="L281" s="2">
        <v>2.4590999999999998</v>
      </c>
      <c r="M281" s="2">
        <v>2.6579000000000002</v>
      </c>
      <c r="N281" s="2">
        <v>2.8917999999999999</v>
      </c>
      <c r="O281" s="2">
        <v>3.1257000000000001</v>
      </c>
      <c r="P281" s="2">
        <v>3.3595999999999999</v>
      </c>
      <c r="Q281" s="2">
        <v>3.6147999999999998</v>
      </c>
      <c r="R281" s="5" t="s">
        <v>5</v>
      </c>
      <c r="S281" t="s">
        <v>127</v>
      </c>
    </row>
    <row r="282" spans="1:19" x14ac:dyDescent="0.25">
      <c r="B282" t="s">
        <v>155</v>
      </c>
      <c r="C282" s="2">
        <v>0.74590000000000001</v>
      </c>
      <c r="D282" s="2">
        <v>0.80659999999999998</v>
      </c>
      <c r="E282" s="2">
        <v>0.86729999999999996</v>
      </c>
      <c r="F282" s="2">
        <v>0.95399999999999996</v>
      </c>
      <c r="G282" s="2">
        <v>1.0146999999999999</v>
      </c>
      <c r="H282" s="2">
        <v>1.0841000000000001</v>
      </c>
      <c r="I282" s="2">
        <v>1.1795</v>
      </c>
      <c r="J282" s="2">
        <v>1.2748999999999999</v>
      </c>
      <c r="K282" s="2">
        <v>1.3703000000000001</v>
      </c>
      <c r="L282" s="2">
        <v>1.4743999999999999</v>
      </c>
      <c r="M282" s="2">
        <v>1.5936999999999999</v>
      </c>
      <c r="N282" s="2">
        <v>1.7339</v>
      </c>
      <c r="O282" s="2">
        <v>1.8741000000000001</v>
      </c>
      <c r="P282" s="2">
        <v>2.0144000000000002</v>
      </c>
      <c r="Q282" s="2">
        <v>2.1674000000000002</v>
      </c>
      <c r="R282" s="5" t="s">
        <v>3</v>
      </c>
      <c r="S282" t="s">
        <v>127</v>
      </c>
    </row>
    <row r="283" spans="1:19" x14ac:dyDescent="0.25">
      <c r="B283" t="s">
        <v>135</v>
      </c>
      <c r="C283" s="2">
        <v>1.4914000000000001</v>
      </c>
      <c r="D283" s="2">
        <v>1.6128</v>
      </c>
      <c r="E283" s="2">
        <v>1.7342</v>
      </c>
      <c r="F283" s="2">
        <v>1.9077</v>
      </c>
      <c r="G283" s="2">
        <v>2.0291000000000001</v>
      </c>
      <c r="H283" s="2">
        <v>2.1678000000000002</v>
      </c>
      <c r="I283" s="2">
        <v>2.3586</v>
      </c>
      <c r="J283" s="2">
        <v>2.5493000000000001</v>
      </c>
      <c r="K283" s="2">
        <v>2.7401</v>
      </c>
      <c r="L283" s="2">
        <v>2.9481999999999999</v>
      </c>
      <c r="M283" s="2">
        <v>3.1867000000000001</v>
      </c>
      <c r="N283" s="2">
        <v>3.4670999999999998</v>
      </c>
      <c r="O283" s="2">
        <v>3.7475000000000001</v>
      </c>
      <c r="P283" s="2">
        <v>4.0278999999999998</v>
      </c>
      <c r="Q283" s="2">
        <v>4.3338000000000001</v>
      </c>
      <c r="R283" s="5" t="s">
        <v>3</v>
      </c>
      <c r="S283" t="s">
        <v>127</v>
      </c>
    </row>
    <row r="284" spans="1:19" x14ac:dyDescent="0.25">
      <c r="B284" t="s">
        <v>136</v>
      </c>
      <c r="C284" s="2">
        <v>1.8629</v>
      </c>
      <c r="D284" s="2">
        <v>2.0145</v>
      </c>
      <c r="E284" s="2">
        <v>2.1661999999999999</v>
      </c>
      <c r="F284" s="2">
        <v>2.3828</v>
      </c>
      <c r="G284" s="2">
        <v>2.5344000000000002</v>
      </c>
      <c r="H284" s="2">
        <v>2.7077</v>
      </c>
      <c r="I284" s="2">
        <v>2.9460000000000002</v>
      </c>
      <c r="J284" s="2">
        <v>3.1842000000000001</v>
      </c>
      <c r="K284" s="2">
        <v>3.4224999999999999</v>
      </c>
      <c r="L284" s="2">
        <v>3.6825000000000001</v>
      </c>
      <c r="M284" s="2">
        <v>3.9803000000000002</v>
      </c>
      <c r="N284" s="2">
        <v>4.3305999999999996</v>
      </c>
      <c r="O284" s="2">
        <v>4.6807999999999996</v>
      </c>
      <c r="P284" s="2">
        <v>5.0311000000000003</v>
      </c>
      <c r="Q284" s="2">
        <v>5.4131999999999998</v>
      </c>
      <c r="R284" s="5" t="s">
        <v>3</v>
      </c>
      <c r="S284" t="s">
        <v>127</v>
      </c>
    </row>
    <row r="285" spans="1:19" x14ac:dyDescent="0.25">
      <c r="B285" t="s">
        <v>201</v>
      </c>
      <c r="C285" s="2">
        <v>1.464</v>
      </c>
      <c r="D285" s="2">
        <v>1.5738000000000001</v>
      </c>
      <c r="E285" s="2">
        <v>1.6836</v>
      </c>
      <c r="F285" s="2">
        <v>1.83</v>
      </c>
      <c r="G285" s="2">
        <v>1.9398</v>
      </c>
      <c r="H285" s="2">
        <v>2.0495999999999999</v>
      </c>
      <c r="I285" s="2">
        <v>2.1960000000000002</v>
      </c>
      <c r="J285" s="2">
        <v>2.3424</v>
      </c>
      <c r="K285" s="2">
        <v>2.4887999999999999</v>
      </c>
      <c r="L285" s="2">
        <v>2.6352000000000002</v>
      </c>
      <c r="M285" s="2">
        <v>2.7816000000000001</v>
      </c>
      <c r="N285" s="2">
        <v>2.9279999999999999</v>
      </c>
      <c r="O285" s="2">
        <v>3.1110000000000002</v>
      </c>
      <c r="P285" s="2">
        <v>3.294</v>
      </c>
      <c r="Q285" s="2">
        <v>3.4769999999999999</v>
      </c>
      <c r="R285" s="5" t="s">
        <v>19</v>
      </c>
      <c r="S285" t="s">
        <v>127</v>
      </c>
    </row>
    <row r="286" spans="1:19" x14ac:dyDescent="0.25">
      <c r="B286" t="s">
        <v>203</v>
      </c>
      <c r="C286" s="2">
        <v>2.456</v>
      </c>
      <c r="D286" s="2">
        <v>2.6402000000000001</v>
      </c>
      <c r="E286" s="2">
        <v>2.8243999999999998</v>
      </c>
      <c r="F286" s="2">
        <v>3.07</v>
      </c>
      <c r="G286" s="2">
        <v>3.2542</v>
      </c>
      <c r="H286" s="2">
        <v>3.4384000000000001</v>
      </c>
      <c r="I286" s="2">
        <v>3.6840000000000002</v>
      </c>
      <c r="J286" s="2">
        <v>3.9296000000000002</v>
      </c>
      <c r="K286" s="2">
        <v>4.1752000000000002</v>
      </c>
      <c r="L286" s="2">
        <v>4.4207999999999998</v>
      </c>
      <c r="M286" s="2">
        <v>4.6664000000000003</v>
      </c>
      <c r="N286" s="2">
        <v>4.9119999999999999</v>
      </c>
      <c r="O286" s="2">
        <v>5.2190000000000003</v>
      </c>
      <c r="P286" s="2">
        <v>5.5259999999999998</v>
      </c>
      <c r="Q286" s="2">
        <v>5.8330000000000002</v>
      </c>
      <c r="R286" s="5" t="s">
        <v>19</v>
      </c>
      <c r="S286" t="s">
        <v>127</v>
      </c>
    </row>
    <row r="287" spans="1:19" x14ac:dyDescent="0.25">
      <c r="B287" t="s">
        <v>202</v>
      </c>
      <c r="C287" s="2">
        <v>0.96</v>
      </c>
      <c r="D287" s="2">
        <v>1.032</v>
      </c>
      <c r="E287" s="2">
        <v>1.1040000000000001</v>
      </c>
      <c r="F287" s="2">
        <v>1.2</v>
      </c>
      <c r="G287" s="2">
        <v>1.272</v>
      </c>
      <c r="H287" s="2">
        <v>1.3440000000000001</v>
      </c>
      <c r="I287" s="2">
        <v>1.44</v>
      </c>
      <c r="J287" s="2">
        <v>1.536</v>
      </c>
      <c r="K287" s="2">
        <v>1.6319999999999999</v>
      </c>
      <c r="L287" s="2">
        <v>1.728</v>
      </c>
      <c r="M287" s="2">
        <v>1.8240000000000001</v>
      </c>
      <c r="N287" s="2">
        <v>1.92</v>
      </c>
      <c r="O287" s="2">
        <v>2.04</v>
      </c>
      <c r="P287" s="2">
        <v>2.16</v>
      </c>
      <c r="Q287" s="2">
        <v>2.2799999999999998</v>
      </c>
      <c r="R287" s="5" t="s">
        <v>19</v>
      </c>
      <c r="S287" t="s">
        <v>127</v>
      </c>
    </row>
    <row r="288" spans="1:19" x14ac:dyDescent="0.25">
      <c r="B288" t="s">
        <v>163</v>
      </c>
      <c r="C288" s="2">
        <v>2.456</v>
      </c>
      <c r="D288" s="2">
        <v>2.6402000000000001</v>
      </c>
      <c r="E288" s="2">
        <v>2.8243999999999998</v>
      </c>
      <c r="F288" s="2">
        <v>3.07</v>
      </c>
      <c r="G288" s="2">
        <v>3.2542</v>
      </c>
      <c r="H288" s="2">
        <v>3.4384000000000001</v>
      </c>
      <c r="I288" s="2">
        <v>3.6840000000000002</v>
      </c>
      <c r="J288" s="2">
        <v>3.9296000000000002</v>
      </c>
      <c r="K288" s="2">
        <v>4.1752000000000002</v>
      </c>
      <c r="L288" s="2">
        <v>4.4207999999999998</v>
      </c>
      <c r="M288" s="2">
        <v>4.6664000000000003</v>
      </c>
      <c r="N288" s="2">
        <v>4.9119999999999999</v>
      </c>
      <c r="O288" s="2">
        <v>5.2190000000000003</v>
      </c>
      <c r="P288" s="2">
        <v>5.5259999999999998</v>
      </c>
      <c r="Q288" s="2">
        <v>5.8330000000000002</v>
      </c>
      <c r="R288" s="5" t="s">
        <v>0</v>
      </c>
      <c r="S288" t="s">
        <v>127</v>
      </c>
    </row>
    <row r="289" spans="1:19" x14ac:dyDescent="0.25">
      <c r="B289" t="s">
        <v>204</v>
      </c>
      <c r="C289" s="2">
        <v>3.6705000000000001</v>
      </c>
      <c r="D289" s="2">
        <v>3.9691999999999998</v>
      </c>
      <c r="E289" s="2">
        <v>4.2679999999999998</v>
      </c>
      <c r="F289" s="2">
        <v>4.6947999999999999</v>
      </c>
      <c r="G289" s="2">
        <v>4.9935999999999998</v>
      </c>
      <c r="H289" s="2">
        <v>5.335</v>
      </c>
      <c r="I289" s="2">
        <v>5.8045</v>
      </c>
      <c r="J289" s="2">
        <v>6.274</v>
      </c>
      <c r="K289" s="2">
        <v>6.7434000000000003</v>
      </c>
      <c r="L289" s="2">
        <v>7.2556000000000003</v>
      </c>
      <c r="M289" s="2">
        <v>7.8425000000000002</v>
      </c>
      <c r="N289" s="2">
        <v>8.5326000000000004</v>
      </c>
      <c r="O289" s="2">
        <v>9.2226999999999997</v>
      </c>
      <c r="P289" s="2">
        <v>9.9129000000000005</v>
      </c>
      <c r="Q289" s="2">
        <v>10.665699999999999</v>
      </c>
      <c r="R289" s="5" t="s">
        <v>24</v>
      </c>
      <c r="S289" t="s">
        <v>127</v>
      </c>
    </row>
    <row r="290" spans="1:19" x14ac:dyDescent="0.25">
      <c r="B290" t="s">
        <v>205</v>
      </c>
      <c r="C290" s="2">
        <v>0.74990000000000001</v>
      </c>
      <c r="D290" s="2">
        <v>0.81100000000000005</v>
      </c>
      <c r="E290" s="2">
        <v>0.872</v>
      </c>
      <c r="F290" s="2">
        <v>0.95920000000000005</v>
      </c>
      <c r="G290" s="2">
        <v>1.0202</v>
      </c>
      <c r="H290" s="2">
        <v>1.0900000000000001</v>
      </c>
      <c r="I290" s="2">
        <v>1.1859</v>
      </c>
      <c r="J290" s="2">
        <v>1.2818000000000001</v>
      </c>
      <c r="K290" s="2">
        <v>1.3777999999999999</v>
      </c>
      <c r="L290" s="2">
        <v>1.4823999999999999</v>
      </c>
      <c r="M290" s="2">
        <v>1.6023000000000001</v>
      </c>
      <c r="N290" s="2">
        <v>1.7433000000000001</v>
      </c>
      <c r="O290" s="2">
        <v>1.8843000000000001</v>
      </c>
      <c r="P290" s="2">
        <v>2.0253000000000001</v>
      </c>
      <c r="Q290" s="2">
        <v>2.1791</v>
      </c>
      <c r="R290" s="5" t="s">
        <v>24</v>
      </c>
      <c r="S290" t="s">
        <v>127</v>
      </c>
    </row>
    <row r="291" spans="1:19" x14ac:dyDescent="0.25">
      <c r="B291" t="s">
        <v>206</v>
      </c>
      <c r="C291" s="2">
        <f t="shared" ref="C291:Q291" si="5">0.5*C289</f>
        <v>1.83525</v>
      </c>
      <c r="D291" s="2">
        <f t="shared" si="5"/>
        <v>1.9845999999999999</v>
      </c>
      <c r="E291" s="2">
        <f t="shared" si="5"/>
        <v>2.1339999999999999</v>
      </c>
      <c r="F291" s="2">
        <f t="shared" si="5"/>
        <v>2.3473999999999999</v>
      </c>
      <c r="G291" s="2">
        <f t="shared" si="5"/>
        <v>2.4967999999999999</v>
      </c>
      <c r="H291" s="2">
        <f t="shared" si="5"/>
        <v>2.6675</v>
      </c>
      <c r="I291" s="2">
        <f t="shared" si="5"/>
        <v>2.90225</v>
      </c>
      <c r="J291" s="2">
        <f t="shared" si="5"/>
        <v>3.137</v>
      </c>
      <c r="K291" s="2">
        <f t="shared" si="5"/>
        <v>3.3717000000000001</v>
      </c>
      <c r="L291" s="2">
        <f t="shared" si="5"/>
        <v>3.6278000000000001</v>
      </c>
      <c r="M291" s="2">
        <f t="shared" si="5"/>
        <v>3.9212500000000001</v>
      </c>
      <c r="N291" s="2">
        <f t="shared" si="5"/>
        <v>4.2663000000000002</v>
      </c>
      <c r="O291" s="2">
        <f t="shared" si="5"/>
        <v>4.6113499999999998</v>
      </c>
      <c r="P291" s="2">
        <f t="shared" si="5"/>
        <v>4.9564500000000002</v>
      </c>
      <c r="Q291" s="2">
        <f t="shared" si="5"/>
        <v>5.3328499999999996</v>
      </c>
      <c r="R291" s="5" t="s">
        <v>24</v>
      </c>
      <c r="S291" t="s">
        <v>127</v>
      </c>
    </row>
    <row r="292" spans="1:19" x14ac:dyDescent="0.25">
      <c r="B292" s="3" t="s">
        <v>771</v>
      </c>
      <c r="C292" s="23"/>
      <c r="D292" s="23"/>
      <c r="E292" s="23"/>
      <c r="F292" s="23"/>
      <c r="G292" s="23"/>
      <c r="H292" s="23"/>
      <c r="I292" s="23"/>
      <c r="J292" s="23"/>
      <c r="K292" s="23"/>
      <c r="L292" s="23"/>
      <c r="M292" s="23"/>
      <c r="N292" s="23"/>
      <c r="O292" s="23"/>
      <c r="P292" s="23"/>
      <c r="Q292" s="23"/>
      <c r="R292" s="5" t="s">
        <v>771</v>
      </c>
      <c r="S292" t="s">
        <v>772</v>
      </c>
    </row>
    <row r="293" spans="1:19" x14ac:dyDescent="0.25">
      <c r="B293" s="3" t="s">
        <v>390</v>
      </c>
      <c r="C293" s="23"/>
      <c r="D293" s="23"/>
      <c r="E293" s="23"/>
      <c r="F293" s="23"/>
      <c r="G293" s="23"/>
      <c r="H293" s="23"/>
      <c r="I293" s="23"/>
      <c r="J293" s="23"/>
      <c r="K293" s="23"/>
      <c r="L293" s="23"/>
      <c r="M293" s="23"/>
      <c r="N293" s="23"/>
      <c r="O293" s="23"/>
      <c r="P293" s="23"/>
      <c r="Q293" s="23"/>
      <c r="R293" s="5" t="s">
        <v>396</v>
      </c>
      <c r="S293" t="s">
        <v>69</v>
      </c>
    </row>
    <row r="294" spans="1:19" x14ac:dyDescent="0.25">
      <c r="B294" s="3" t="s">
        <v>392</v>
      </c>
      <c r="C294" s="23"/>
      <c r="D294" s="23"/>
      <c r="E294" s="23"/>
      <c r="F294" s="23"/>
      <c r="G294" s="23"/>
      <c r="H294" s="23"/>
      <c r="I294" s="23"/>
      <c r="J294" s="23"/>
      <c r="K294" s="23"/>
      <c r="L294" s="23"/>
      <c r="M294" s="23"/>
      <c r="N294" s="23"/>
      <c r="O294" s="23"/>
      <c r="P294" s="23"/>
      <c r="Q294" s="23"/>
      <c r="R294" s="5" t="s">
        <v>396</v>
      </c>
      <c r="S294" t="s">
        <v>69</v>
      </c>
    </row>
    <row r="295" spans="1:19" x14ac:dyDescent="0.25">
      <c r="B295" s="3" t="s">
        <v>393</v>
      </c>
      <c r="C295" s="23"/>
      <c r="D295" s="23"/>
      <c r="E295" s="23"/>
      <c r="F295" s="23"/>
      <c r="G295" s="23"/>
      <c r="H295" s="23"/>
      <c r="I295" s="23"/>
      <c r="J295" s="23"/>
      <c r="K295" s="23"/>
      <c r="L295" s="23"/>
      <c r="M295" s="23"/>
      <c r="N295" s="23"/>
      <c r="O295" s="23"/>
      <c r="P295" s="23"/>
      <c r="Q295" s="23"/>
      <c r="R295" s="5" t="s">
        <v>396</v>
      </c>
      <c r="S295" t="s">
        <v>69</v>
      </c>
    </row>
    <row r="296" spans="1:19" x14ac:dyDescent="0.25">
      <c r="B296" s="3" t="s">
        <v>389</v>
      </c>
      <c r="C296" s="23"/>
      <c r="D296" s="23"/>
      <c r="E296" s="23"/>
      <c r="F296" s="23"/>
      <c r="G296" s="23"/>
      <c r="H296" s="23"/>
      <c r="I296" s="23"/>
      <c r="J296" s="23"/>
      <c r="K296" s="23"/>
      <c r="L296" s="23"/>
      <c r="M296" s="23"/>
      <c r="N296" s="23"/>
      <c r="O296" s="23"/>
      <c r="P296" s="23"/>
      <c r="Q296" s="23"/>
      <c r="R296" s="5" t="s">
        <v>396</v>
      </c>
      <c r="S296" t="s">
        <v>69</v>
      </c>
    </row>
    <row r="297" spans="1:19" x14ac:dyDescent="0.25">
      <c r="B297" s="3" t="s">
        <v>391</v>
      </c>
      <c r="C297" s="23"/>
      <c r="D297" s="23"/>
      <c r="E297" s="23"/>
      <c r="F297" s="23"/>
      <c r="G297" s="23"/>
      <c r="H297" s="23"/>
      <c r="I297" s="23"/>
      <c r="J297" s="23"/>
      <c r="K297" s="23"/>
      <c r="L297" s="23"/>
      <c r="M297" s="23"/>
      <c r="N297" s="23"/>
      <c r="O297" s="23"/>
      <c r="P297" s="23"/>
      <c r="Q297" s="23"/>
      <c r="R297" s="5" t="s">
        <v>396</v>
      </c>
      <c r="S297" t="s">
        <v>69</v>
      </c>
    </row>
    <row r="298" spans="1:19" x14ac:dyDescent="0.25">
      <c r="B298" s="3" t="s">
        <v>394</v>
      </c>
      <c r="C298" s="23"/>
      <c r="D298" s="23"/>
      <c r="E298" s="23"/>
      <c r="F298" s="23"/>
      <c r="G298" s="23"/>
      <c r="H298" s="23"/>
      <c r="I298" s="23"/>
      <c r="J298" s="23"/>
      <c r="K298" s="23"/>
      <c r="L298" s="23"/>
      <c r="M298" s="23"/>
      <c r="N298" s="23"/>
      <c r="O298" s="23"/>
      <c r="P298" s="23"/>
      <c r="Q298" s="23"/>
      <c r="R298" s="5" t="s">
        <v>396</v>
      </c>
      <c r="S298" t="s">
        <v>69</v>
      </c>
    </row>
    <row r="299" spans="1:19" x14ac:dyDescent="0.25">
      <c r="B299" s="3" t="s">
        <v>395</v>
      </c>
      <c r="C299" s="23"/>
      <c r="D299" s="23"/>
      <c r="E299" s="23"/>
      <c r="F299" s="23"/>
      <c r="G299" s="23"/>
      <c r="H299" s="23"/>
      <c r="I299" s="23"/>
      <c r="J299" s="23"/>
      <c r="K299" s="23"/>
      <c r="L299" s="23"/>
      <c r="M299" s="23"/>
      <c r="N299" s="23"/>
      <c r="O299" s="23"/>
      <c r="P299" s="23"/>
      <c r="Q299" s="23"/>
      <c r="R299" s="5" t="s">
        <v>396</v>
      </c>
      <c r="S299" t="s">
        <v>69</v>
      </c>
    </row>
    <row r="300" spans="1:19" x14ac:dyDescent="0.25">
      <c r="A300" t="s">
        <v>850</v>
      </c>
      <c r="B300" s="3" t="s">
        <v>397</v>
      </c>
      <c r="C300" s="23"/>
      <c r="D300" s="23"/>
      <c r="E300" s="23"/>
      <c r="F300" s="23"/>
      <c r="G300" s="23"/>
      <c r="H300" s="23"/>
      <c r="I300" s="23"/>
      <c r="J300" s="23"/>
      <c r="K300" s="23"/>
      <c r="L300" s="23"/>
      <c r="M300" s="23"/>
      <c r="N300" s="23"/>
      <c r="O300" s="23"/>
      <c r="P300" s="23"/>
      <c r="Q300" s="23"/>
      <c r="R300" s="5" t="s">
        <v>396</v>
      </c>
      <c r="S300" t="s">
        <v>69</v>
      </c>
    </row>
    <row r="301" spans="1:19" x14ac:dyDescent="0.25">
      <c r="B301" t="s">
        <v>207</v>
      </c>
      <c r="C301" s="21">
        <v>1</v>
      </c>
      <c r="D301" s="21">
        <v>2</v>
      </c>
      <c r="E301" s="21">
        <v>3</v>
      </c>
      <c r="F301" s="21">
        <v>4</v>
      </c>
      <c r="G301" s="21">
        <v>5</v>
      </c>
      <c r="H301" s="21">
        <v>6</v>
      </c>
      <c r="I301" s="21">
        <v>7</v>
      </c>
      <c r="J301" s="21">
        <v>8</v>
      </c>
      <c r="K301" s="21">
        <v>9</v>
      </c>
      <c r="L301" s="21">
        <v>10</v>
      </c>
      <c r="M301" s="21">
        <v>11</v>
      </c>
      <c r="N301" s="21">
        <v>12</v>
      </c>
      <c r="O301" s="21">
        <v>13</v>
      </c>
      <c r="P301" s="21">
        <v>14</v>
      </c>
      <c r="Q301" s="21">
        <v>15</v>
      </c>
      <c r="R301" s="5" t="s">
        <v>11</v>
      </c>
      <c r="S301" t="s">
        <v>126</v>
      </c>
    </row>
    <row r="302" spans="1:19" x14ac:dyDescent="0.25">
      <c r="A302" t="s">
        <v>851</v>
      </c>
      <c r="B302" t="s">
        <v>10</v>
      </c>
      <c r="C302" s="2">
        <v>0.44119999999999998</v>
      </c>
      <c r="D302" s="2">
        <v>0.47710000000000002</v>
      </c>
      <c r="E302" s="2">
        <v>0.51300000000000001</v>
      </c>
      <c r="F302" s="2">
        <v>0.56430000000000002</v>
      </c>
      <c r="G302" s="2">
        <v>0.60019999999999996</v>
      </c>
      <c r="H302" s="2">
        <v>0.64129999999999998</v>
      </c>
      <c r="I302" s="2">
        <v>0.69769999999999999</v>
      </c>
      <c r="J302" s="2">
        <v>0.75409999999999999</v>
      </c>
      <c r="K302" s="2">
        <v>0.8105</v>
      </c>
      <c r="L302" s="2">
        <v>0.87209999999999999</v>
      </c>
      <c r="M302" s="2">
        <v>0.93369999999999997</v>
      </c>
      <c r="N302" s="2">
        <v>0.99519999999999997</v>
      </c>
      <c r="O302" s="2">
        <v>1.0568</v>
      </c>
      <c r="P302" s="2">
        <v>1.1183000000000001</v>
      </c>
      <c r="Q302" s="2">
        <v>1.1798999999999999</v>
      </c>
      <c r="R302" s="5" t="s">
        <v>6</v>
      </c>
      <c r="S302" t="s">
        <v>127</v>
      </c>
    </row>
    <row r="303" spans="1:19" x14ac:dyDescent="0.25">
      <c r="B303" t="s">
        <v>9</v>
      </c>
      <c r="C303" s="2">
        <v>0.46779999999999999</v>
      </c>
      <c r="D303" s="2">
        <v>0.50590000000000002</v>
      </c>
      <c r="E303" s="2">
        <v>0.54400000000000004</v>
      </c>
      <c r="F303" s="2">
        <v>0.59840000000000004</v>
      </c>
      <c r="G303" s="2">
        <v>0.63649999999999995</v>
      </c>
      <c r="H303" s="2">
        <v>0.68</v>
      </c>
      <c r="I303" s="2">
        <v>0.73980000000000001</v>
      </c>
      <c r="J303" s="2">
        <v>0.79969999999999997</v>
      </c>
      <c r="K303" s="2">
        <v>0.85950000000000004</v>
      </c>
      <c r="L303" s="2">
        <v>0.92479999999999996</v>
      </c>
      <c r="M303" s="2">
        <v>0.99009999999999998</v>
      </c>
      <c r="N303" s="2">
        <v>1.0553999999999999</v>
      </c>
      <c r="O303" s="2">
        <v>1.1206</v>
      </c>
      <c r="P303" s="2">
        <v>1.1859</v>
      </c>
      <c r="Q303" s="2">
        <v>1.2512000000000001</v>
      </c>
      <c r="R303" s="5" t="s">
        <v>6</v>
      </c>
      <c r="S303" t="s">
        <v>127</v>
      </c>
    </row>
    <row r="304" spans="1:19" x14ac:dyDescent="0.25">
      <c r="B304" t="s">
        <v>8</v>
      </c>
      <c r="C304" s="2">
        <v>0.58140000000000003</v>
      </c>
      <c r="D304" s="2">
        <v>0.62870000000000004</v>
      </c>
      <c r="E304" s="2">
        <v>0.67600000000000005</v>
      </c>
      <c r="F304" s="2">
        <v>0.74360000000000004</v>
      </c>
      <c r="G304" s="2">
        <v>0.79090000000000005</v>
      </c>
      <c r="H304" s="2">
        <v>0.84499999999999997</v>
      </c>
      <c r="I304" s="2">
        <v>0.9194</v>
      </c>
      <c r="J304" s="2">
        <v>0.99370000000000003</v>
      </c>
      <c r="K304" s="2">
        <v>1.0681</v>
      </c>
      <c r="L304" s="2">
        <v>1.1492</v>
      </c>
      <c r="M304" s="2">
        <v>1.2302999999999999</v>
      </c>
      <c r="N304" s="2">
        <v>1.3113999999999999</v>
      </c>
      <c r="O304" s="2">
        <v>1.3926000000000001</v>
      </c>
      <c r="P304" s="2">
        <v>1.4737</v>
      </c>
      <c r="Q304" s="2">
        <v>1.5548</v>
      </c>
      <c r="R304" s="5" t="s">
        <v>6</v>
      </c>
      <c r="S304" t="s">
        <v>127</v>
      </c>
    </row>
    <row r="305" spans="2:20" x14ac:dyDescent="0.25">
      <c r="B305" t="s">
        <v>13</v>
      </c>
      <c r="C305" s="2">
        <v>0.57709999999999995</v>
      </c>
      <c r="D305" s="2">
        <v>0.624</v>
      </c>
      <c r="E305" s="2">
        <v>0.67100000000000004</v>
      </c>
      <c r="F305" s="2">
        <v>0.73809999999999998</v>
      </c>
      <c r="G305" s="2">
        <v>0.78510000000000002</v>
      </c>
      <c r="H305" s="2">
        <v>0.83879999999999999</v>
      </c>
      <c r="I305" s="2">
        <v>0.91259999999999997</v>
      </c>
      <c r="J305" s="2">
        <v>0.98640000000000005</v>
      </c>
      <c r="K305" s="2">
        <v>1.0602</v>
      </c>
      <c r="L305" s="2">
        <v>1.1407</v>
      </c>
      <c r="M305" s="2">
        <v>1.2212000000000001</v>
      </c>
      <c r="N305" s="2">
        <v>1.3017000000000001</v>
      </c>
      <c r="O305" s="2">
        <v>1.3823000000000001</v>
      </c>
      <c r="P305" s="2">
        <v>1.4628000000000001</v>
      </c>
      <c r="Q305" s="2">
        <v>1.5432999999999999</v>
      </c>
      <c r="R305" s="5" t="s">
        <v>6</v>
      </c>
      <c r="S305" t="s">
        <v>127</v>
      </c>
    </row>
    <row r="306" spans="2:20" x14ac:dyDescent="0.25">
      <c r="B306" t="s">
        <v>7</v>
      </c>
      <c r="C306" s="2">
        <v>0.72070000000000001</v>
      </c>
      <c r="D306" s="2">
        <v>0.77929999999999999</v>
      </c>
      <c r="E306" s="2">
        <v>0.83799999999999997</v>
      </c>
      <c r="F306" s="2">
        <v>0.92179999999999995</v>
      </c>
      <c r="G306" s="2">
        <v>0.98050000000000004</v>
      </c>
      <c r="H306" s="2">
        <v>1.0475000000000001</v>
      </c>
      <c r="I306" s="2">
        <v>1.1396999999999999</v>
      </c>
      <c r="J306" s="2">
        <v>1.2319</v>
      </c>
      <c r="K306" s="2">
        <v>1.3240000000000001</v>
      </c>
      <c r="L306" s="2">
        <v>1.4246000000000001</v>
      </c>
      <c r="M306" s="2">
        <v>1.5251999999999999</v>
      </c>
      <c r="N306" s="2">
        <v>1.6256999999999999</v>
      </c>
      <c r="O306" s="2">
        <v>1.7262999999999999</v>
      </c>
      <c r="P306" s="2">
        <v>1.8268</v>
      </c>
      <c r="Q306" s="2">
        <v>1.9274</v>
      </c>
      <c r="R306" s="5" t="s">
        <v>6</v>
      </c>
      <c r="S306" t="s">
        <v>127</v>
      </c>
    </row>
    <row r="307" spans="2:20" x14ac:dyDescent="0.25">
      <c r="B307" t="s">
        <v>133</v>
      </c>
      <c r="C307" s="2">
        <v>0.43859999999999999</v>
      </c>
      <c r="D307" s="2">
        <v>0.4743</v>
      </c>
      <c r="E307" s="2">
        <v>0.51</v>
      </c>
      <c r="F307" s="2">
        <v>0.56100000000000005</v>
      </c>
      <c r="G307" s="2">
        <v>0.59670000000000001</v>
      </c>
      <c r="H307" s="2">
        <v>0.63749999999999996</v>
      </c>
      <c r="I307" s="2">
        <v>0.69359999999999999</v>
      </c>
      <c r="J307" s="2">
        <v>0.74970000000000003</v>
      </c>
      <c r="K307" s="2">
        <v>0.80579999999999996</v>
      </c>
      <c r="L307" s="2">
        <v>0.86699999999999999</v>
      </c>
      <c r="M307" s="2">
        <v>0.92820000000000003</v>
      </c>
      <c r="N307" s="2">
        <v>0.98939999999999995</v>
      </c>
      <c r="O307" s="2">
        <v>1.0506</v>
      </c>
      <c r="P307" s="2">
        <v>1.1117999999999999</v>
      </c>
      <c r="Q307" s="2">
        <v>1.173</v>
      </c>
      <c r="R307" s="5" t="s">
        <v>5</v>
      </c>
      <c r="S307" t="s">
        <v>127</v>
      </c>
    </row>
    <row r="308" spans="2:20" x14ac:dyDescent="0.25">
      <c r="B308" t="s">
        <v>134</v>
      </c>
      <c r="C308" s="2">
        <v>1.24</v>
      </c>
      <c r="D308" s="2">
        <v>1.333</v>
      </c>
      <c r="E308" s="2">
        <v>1.4259999999999999</v>
      </c>
      <c r="F308" s="2">
        <v>1.55</v>
      </c>
      <c r="G308" s="2">
        <v>1.643</v>
      </c>
      <c r="H308" s="2">
        <v>1.736</v>
      </c>
      <c r="I308" s="2">
        <v>1.86</v>
      </c>
      <c r="J308" s="2">
        <v>1.984</v>
      </c>
      <c r="K308" s="2">
        <v>2.1080000000000001</v>
      </c>
      <c r="L308" s="2">
        <v>2.2320000000000002</v>
      </c>
      <c r="M308" s="2">
        <v>2.3559999999999999</v>
      </c>
      <c r="N308" s="2">
        <v>2.48</v>
      </c>
      <c r="O308" s="2">
        <v>2.6349999999999998</v>
      </c>
      <c r="P308" s="2">
        <v>2.79</v>
      </c>
      <c r="Q308" s="2">
        <v>2.9449999999999998</v>
      </c>
      <c r="R308" s="5" t="s">
        <v>5</v>
      </c>
      <c r="S308" t="s">
        <v>127</v>
      </c>
    </row>
    <row r="309" spans="2:20" x14ac:dyDescent="0.25">
      <c r="B309" t="s">
        <v>155</v>
      </c>
      <c r="C309" s="2">
        <v>0.56830000000000003</v>
      </c>
      <c r="D309" s="2">
        <v>0.61450000000000005</v>
      </c>
      <c r="E309" s="2">
        <v>0.66080000000000005</v>
      </c>
      <c r="F309" s="2">
        <v>0.72689999999999999</v>
      </c>
      <c r="G309" s="2">
        <v>0.77310000000000001</v>
      </c>
      <c r="H309" s="2">
        <v>0.82599999999999996</v>
      </c>
      <c r="I309" s="2">
        <v>0.89870000000000005</v>
      </c>
      <c r="J309" s="2">
        <v>0.97140000000000004</v>
      </c>
      <c r="K309" s="2">
        <v>1.0441</v>
      </c>
      <c r="L309" s="2">
        <v>1.1234</v>
      </c>
      <c r="M309" s="2">
        <v>1.2027000000000001</v>
      </c>
      <c r="N309" s="2">
        <v>1.282</v>
      </c>
      <c r="O309" s="2">
        <v>1.3612</v>
      </c>
      <c r="P309" s="2">
        <v>1.4404999999999999</v>
      </c>
      <c r="Q309" s="2">
        <v>1.5198</v>
      </c>
      <c r="R309" s="5" t="s">
        <v>3</v>
      </c>
      <c r="S309" t="s">
        <v>127</v>
      </c>
    </row>
    <row r="310" spans="2:20" x14ac:dyDescent="0.25">
      <c r="B310" t="s">
        <v>135</v>
      </c>
      <c r="C310" s="2">
        <v>1.1363000000000001</v>
      </c>
      <c r="D310" s="2">
        <v>1.2287999999999999</v>
      </c>
      <c r="E310" s="2">
        <v>1.3212999999999999</v>
      </c>
      <c r="F310" s="2">
        <v>1.4535</v>
      </c>
      <c r="G310" s="2">
        <v>1.5459000000000001</v>
      </c>
      <c r="H310" s="2">
        <v>1.6516999999999999</v>
      </c>
      <c r="I310" s="2">
        <v>1.7969999999999999</v>
      </c>
      <c r="J310" s="2">
        <v>1.9422999999999999</v>
      </c>
      <c r="K310" s="2">
        <v>2.0876999999999999</v>
      </c>
      <c r="L310" s="2">
        <v>2.2462</v>
      </c>
      <c r="M310" s="2">
        <v>2.4047999999999998</v>
      </c>
      <c r="N310" s="2">
        <v>2.5634000000000001</v>
      </c>
      <c r="O310" s="2">
        <v>2.7219000000000002</v>
      </c>
      <c r="P310" s="2">
        <v>2.8805000000000001</v>
      </c>
      <c r="Q310" s="2">
        <v>3.0390000000000001</v>
      </c>
      <c r="R310" s="5" t="s">
        <v>3</v>
      </c>
      <c r="S310" t="s">
        <v>127</v>
      </c>
    </row>
    <row r="311" spans="2:20" x14ac:dyDescent="0.25">
      <c r="B311" t="s">
        <v>136</v>
      </c>
      <c r="C311" s="2">
        <v>1.4193</v>
      </c>
      <c r="D311" s="2">
        <v>1.5348999999999999</v>
      </c>
      <c r="E311" s="2">
        <v>1.6504000000000001</v>
      </c>
      <c r="F311" s="2">
        <v>1.8153999999999999</v>
      </c>
      <c r="G311" s="2">
        <v>1.931</v>
      </c>
      <c r="H311" s="2">
        <v>2.0630000000000002</v>
      </c>
      <c r="I311" s="2">
        <v>2.2444999999999999</v>
      </c>
      <c r="J311" s="2">
        <v>2.4260999999999999</v>
      </c>
      <c r="K311" s="2">
        <v>2.6076000000000001</v>
      </c>
      <c r="L311" s="2">
        <v>2.8056999999999999</v>
      </c>
      <c r="M311" s="2">
        <v>3.0036999999999998</v>
      </c>
      <c r="N311" s="2">
        <v>3.2018</v>
      </c>
      <c r="O311" s="2">
        <v>3.3997999999999999</v>
      </c>
      <c r="P311" s="2">
        <v>3.5979000000000001</v>
      </c>
      <c r="Q311" s="2">
        <v>3.7959000000000001</v>
      </c>
      <c r="R311" s="5" t="s">
        <v>3</v>
      </c>
      <c r="S311" t="s">
        <v>127</v>
      </c>
    </row>
    <row r="312" spans="2:20" x14ac:dyDescent="0.25">
      <c r="B312" t="s">
        <v>209</v>
      </c>
      <c r="C312" s="2">
        <v>0.88800000000000001</v>
      </c>
      <c r="D312" s="2">
        <v>0.9546</v>
      </c>
      <c r="E312" s="2">
        <v>1.0212000000000001</v>
      </c>
      <c r="F312" s="2">
        <v>1.1100000000000001</v>
      </c>
      <c r="G312" s="2">
        <v>1.1766000000000001</v>
      </c>
      <c r="H312" s="2">
        <v>1.2432000000000001</v>
      </c>
      <c r="I312" s="2">
        <v>1.3320000000000001</v>
      </c>
      <c r="J312" s="2">
        <v>1.4208000000000001</v>
      </c>
      <c r="K312" s="2">
        <v>1.5096000000000001</v>
      </c>
      <c r="L312" s="2">
        <v>1.5984</v>
      </c>
      <c r="M312" s="2">
        <v>1.6872</v>
      </c>
      <c r="N312" s="2">
        <v>1.776</v>
      </c>
      <c r="O312" s="2">
        <v>1.887</v>
      </c>
      <c r="P312" s="2">
        <v>1.998</v>
      </c>
      <c r="Q312" s="2">
        <v>2.109</v>
      </c>
      <c r="R312" s="5" t="s">
        <v>19</v>
      </c>
      <c r="S312" t="s">
        <v>127</v>
      </c>
    </row>
    <row r="313" spans="2:20" x14ac:dyDescent="0.25">
      <c r="B313" t="s">
        <v>208</v>
      </c>
      <c r="C313" s="2">
        <v>1.1544000000000001</v>
      </c>
      <c r="D313" s="2">
        <v>1.2410000000000001</v>
      </c>
      <c r="E313" s="2">
        <v>1.3275999999999999</v>
      </c>
      <c r="F313" s="2">
        <v>1.4430000000000001</v>
      </c>
      <c r="G313" s="2">
        <v>1.5296000000000001</v>
      </c>
      <c r="H313" s="2">
        <v>1.6162000000000001</v>
      </c>
      <c r="I313" s="2">
        <v>1.7316</v>
      </c>
      <c r="J313" s="2">
        <v>1.847</v>
      </c>
      <c r="K313" s="2">
        <v>1.9624999999999999</v>
      </c>
      <c r="L313" s="2">
        <v>2.0779000000000001</v>
      </c>
      <c r="M313" s="2">
        <v>2.1934</v>
      </c>
      <c r="N313" s="2">
        <v>2.3088000000000002</v>
      </c>
      <c r="O313" s="2">
        <v>2.4531000000000001</v>
      </c>
      <c r="P313" s="2">
        <v>2.5973999999999999</v>
      </c>
      <c r="Q313" s="2">
        <v>2.7416999999999998</v>
      </c>
      <c r="R313" s="5" t="s">
        <v>19</v>
      </c>
      <c r="S313" t="s">
        <v>127</v>
      </c>
    </row>
    <row r="314" spans="2:20" x14ac:dyDescent="0.25">
      <c r="B314" t="s">
        <v>191</v>
      </c>
      <c r="C314" s="2">
        <v>2.08</v>
      </c>
      <c r="D314" s="2">
        <v>2.2360000000000002</v>
      </c>
      <c r="E314" s="2">
        <v>2.3919999999999999</v>
      </c>
      <c r="F314" s="2">
        <v>2.6</v>
      </c>
      <c r="G314" s="2">
        <v>2.7559999999999998</v>
      </c>
      <c r="H314" s="2">
        <v>2.9119999999999999</v>
      </c>
      <c r="I314" s="2">
        <v>3.12</v>
      </c>
      <c r="J314" s="2">
        <v>3.3279999999999998</v>
      </c>
      <c r="K314" s="2">
        <v>3.536</v>
      </c>
      <c r="L314" s="2">
        <v>3.7440000000000002</v>
      </c>
      <c r="M314" s="2">
        <v>3.952</v>
      </c>
      <c r="N314" s="2">
        <v>4.16</v>
      </c>
      <c r="O314" s="2">
        <v>4.42</v>
      </c>
      <c r="P314" s="2">
        <v>4.68</v>
      </c>
      <c r="Q314" s="2">
        <v>4.9400000000000004</v>
      </c>
      <c r="R314" s="5" t="s">
        <v>0</v>
      </c>
      <c r="S314" t="s">
        <v>127</v>
      </c>
    </row>
    <row r="315" spans="2:20" x14ac:dyDescent="0.25">
      <c r="B315" t="s">
        <v>214</v>
      </c>
      <c r="C315" s="2">
        <f>1.527*C308</f>
        <v>1.8934799999999998</v>
      </c>
      <c r="D315" s="2">
        <f t="shared" ref="D315:Q315" si="6">1.527*D308</f>
        <v>2.0354909999999999</v>
      </c>
      <c r="E315" s="2">
        <f t="shared" si="6"/>
        <v>2.1775019999999996</v>
      </c>
      <c r="F315" s="2">
        <f t="shared" si="6"/>
        <v>2.3668499999999999</v>
      </c>
      <c r="G315" s="2">
        <f t="shared" si="6"/>
        <v>2.508861</v>
      </c>
      <c r="H315" s="2">
        <f t="shared" si="6"/>
        <v>2.6508719999999997</v>
      </c>
      <c r="I315" s="2">
        <f t="shared" si="6"/>
        <v>2.84022</v>
      </c>
      <c r="J315" s="2">
        <f t="shared" si="6"/>
        <v>3.0295679999999998</v>
      </c>
      <c r="K315" s="2">
        <f t="shared" si="6"/>
        <v>3.2189160000000001</v>
      </c>
      <c r="L315" s="2">
        <f t="shared" si="6"/>
        <v>3.408264</v>
      </c>
      <c r="M315" s="2">
        <f t="shared" si="6"/>
        <v>3.5976119999999998</v>
      </c>
      <c r="N315" s="2">
        <f t="shared" si="6"/>
        <v>3.7869599999999997</v>
      </c>
      <c r="O315" s="2">
        <f t="shared" si="6"/>
        <v>4.0236449999999992</v>
      </c>
      <c r="P315" s="2">
        <f t="shared" si="6"/>
        <v>4.2603299999999997</v>
      </c>
      <c r="Q315" s="2">
        <f t="shared" si="6"/>
        <v>4.4970149999999993</v>
      </c>
      <c r="R315" t="s">
        <v>5</v>
      </c>
      <c r="S315" t="s">
        <v>127</v>
      </c>
    </row>
    <row r="316" spans="2:20" x14ac:dyDescent="0.25">
      <c r="B316" t="s">
        <v>215</v>
      </c>
      <c r="C316" s="2">
        <v>0.8</v>
      </c>
      <c r="D316" s="2">
        <v>0.8</v>
      </c>
      <c r="E316" s="2">
        <v>0.8</v>
      </c>
      <c r="F316" s="2">
        <v>0.8</v>
      </c>
      <c r="G316" s="2">
        <v>0.8</v>
      </c>
      <c r="H316" s="2">
        <v>0.8</v>
      </c>
      <c r="I316" s="2">
        <v>0.8</v>
      </c>
      <c r="J316" s="2">
        <v>0.8</v>
      </c>
      <c r="K316" s="2">
        <v>0.8</v>
      </c>
      <c r="L316" s="2">
        <v>0.8</v>
      </c>
      <c r="M316" s="2">
        <v>0.8</v>
      </c>
      <c r="N316" s="2">
        <v>0.8</v>
      </c>
      <c r="O316" s="2">
        <v>0.8</v>
      </c>
      <c r="P316" s="2">
        <v>0.8</v>
      </c>
      <c r="Q316" s="2">
        <v>0.8</v>
      </c>
      <c r="R316" t="s">
        <v>19</v>
      </c>
      <c r="S316" t="s">
        <v>127</v>
      </c>
    </row>
    <row r="317" spans="2:20" x14ac:dyDescent="0.25">
      <c r="B317" t="s">
        <v>927</v>
      </c>
      <c r="C317" s="2">
        <v>0.2</v>
      </c>
      <c r="D317" s="2">
        <v>0.2</v>
      </c>
      <c r="E317" s="2">
        <v>0.2</v>
      </c>
      <c r="F317" s="2">
        <v>0.2</v>
      </c>
      <c r="G317" s="2">
        <v>0.2</v>
      </c>
      <c r="H317" s="2">
        <v>0.2</v>
      </c>
      <c r="I317" s="2">
        <v>0.2</v>
      </c>
      <c r="J317" s="2">
        <v>0.2</v>
      </c>
      <c r="K317" s="2">
        <v>0.2</v>
      </c>
      <c r="L317" s="2">
        <v>0.2</v>
      </c>
      <c r="M317" s="2">
        <v>0.2</v>
      </c>
      <c r="N317" s="2">
        <v>0.2</v>
      </c>
      <c r="O317" s="2">
        <v>0.2</v>
      </c>
      <c r="P317" s="2">
        <v>0.2</v>
      </c>
      <c r="Q317" s="2">
        <v>0.2</v>
      </c>
      <c r="R317" s="5" t="s">
        <v>249</v>
      </c>
      <c r="S317" t="s">
        <v>226</v>
      </c>
      <c r="T317" t="s">
        <v>955</v>
      </c>
    </row>
    <row r="318" spans="2:20" x14ac:dyDescent="0.25">
      <c r="B318" t="s">
        <v>210</v>
      </c>
      <c r="C318" s="2">
        <v>0.22</v>
      </c>
      <c r="D318" s="2">
        <v>0.22</v>
      </c>
      <c r="E318" s="2">
        <v>0.22</v>
      </c>
      <c r="F318" s="2">
        <v>0.22</v>
      </c>
      <c r="G318" s="2">
        <v>0.22</v>
      </c>
      <c r="H318" s="2">
        <v>0.22</v>
      </c>
      <c r="I318" s="2">
        <v>0.22</v>
      </c>
      <c r="J318" s="2">
        <v>0.22</v>
      </c>
      <c r="K318" s="2">
        <v>0.22</v>
      </c>
      <c r="L318" s="2">
        <v>0.22</v>
      </c>
      <c r="M318" s="2">
        <v>0.22</v>
      </c>
      <c r="N318" s="2">
        <v>0.22</v>
      </c>
      <c r="O318" s="2">
        <v>0.22</v>
      </c>
      <c r="P318" s="2">
        <v>0.22</v>
      </c>
      <c r="Q318" s="2">
        <v>0.22</v>
      </c>
      <c r="R318" t="s">
        <v>6</v>
      </c>
      <c r="S318" t="s">
        <v>127</v>
      </c>
    </row>
    <row r="319" spans="2:20" x14ac:dyDescent="0.25">
      <c r="B319" t="s">
        <v>211</v>
      </c>
      <c r="C319" s="2">
        <v>2</v>
      </c>
      <c r="D319" s="2">
        <v>2</v>
      </c>
      <c r="E319" s="2">
        <v>2</v>
      </c>
      <c r="F319" s="2">
        <v>2</v>
      </c>
      <c r="G319" s="2">
        <v>2</v>
      </c>
      <c r="H319" s="2">
        <v>2</v>
      </c>
      <c r="I319" s="2">
        <v>2</v>
      </c>
      <c r="J319" s="2">
        <v>2</v>
      </c>
      <c r="K319" s="2">
        <v>2</v>
      </c>
      <c r="L319" s="2">
        <v>2</v>
      </c>
      <c r="M319" s="2">
        <v>2</v>
      </c>
      <c r="N319" s="2">
        <v>2</v>
      </c>
      <c r="O319" s="2">
        <v>2</v>
      </c>
      <c r="P319" s="2">
        <v>2</v>
      </c>
      <c r="Q319" s="2">
        <v>2</v>
      </c>
      <c r="R319" t="s">
        <v>19</v>
      </c>
      <c r="S319" t="s">
        <v>127</v>
      </c>
    </row>
    <row r="320" spans="2:20" x14ac:dyDescent="0.25">
      <c r="B320" t="s">
        <v>212</v>
      </c>
      <c r="C320" s="2">
        <v>2.2200000000000002</v>
      </c>
      <c r="D320" s="2">
        <v>2.2200000000000002</v>
      </c>
      <c r="E320" s="2">
        <v>2.2200000000000002</v>
      </c>
      <c r="F320" s="2">
        <v>2.2200000000000002</v>
      </c>
      <c r="G320" s="2">
        <v>2.2200000000000002</v>
      </c>
      <c r="H320" s="2">
        <v>2.2200000000000002</v>
      </c>
      <c r="I320" s="2">
        <v>2.2200000000000002</v>
      </c>
      <c r="J320" s="2">
        <v>2.2200000000000002</v>
      </c>
      <c r="K320" s="2">
        <v>2.2200000000000002</v>
      </c>
      <c r="L320" s="2">
        <v>2.2200000000000002</v>
      </c>
      <c r="M320" s="2">
        <v>2.2200000000000002</v>
      </c>
      <c r="N320" s="2">
        <v>2.2200000000000002</v>
      </c>
      <c r="O320" s="2">
        <v>2.2200000000000002</v>
      </c>
      <c r="P320" s="2">
        <v>2.2200000000000002</v>
      </c>
      <c r="Q320" s="2">
        <v>2.2200000000000002</v>
      </c>
      <c r="R320" t="s">
        <v>0</v>
      </c>
      <c r="S320" t="s">
        <v>127</v>
      </c>
    </row>
    <row r="321" spans="1:19" x14ac:dyDescent="0.25">
      <c r="B321" t="s">
        <v>213</v>
      </c>
      <c r="C321" s="2">
        <v>0.3</v>
      </c>
      <c r="D321" s="2">
        <v>0.3</v>
      </c>
      <c r="E321" s="2">
        <v>0.3</v>
      </c>
      <c r="F321" s="2">
        <v>0.3</v>
      </c>
      <c r="G321" s="2">
        <v>0.3</v>
      </c>
      <c r="H321" s="2">
        <v>0.3</v>
      </c>
      <c r="I321" s="2">
        <v>0.3</v>
      </c>
      <c r="J321" s="2">
        <v>0.3</v>
      </c>
      <c r="K321" s="2">
        <v>0.3</v>
      </c>
      <c r="L321" s="2">
        <v>0.3</v>
      </c>
      <c r="M321" s="2">
        <v>0.3</v>
      </c>
      <c r="N321" s="2">
        <v>0.3</v>
      </c>
      <c r="O321" s="2">
        <v>0.3</v>
      </c>
      <c r="P321" s="2">
        <v>0.3</v>
      </c>
      <c r="Q321" s="2">
        <v>0.3</v>
      </c>
      <c r="R321" t="s">
        <v>19</v>
      </c>
      <c r="S321" t="s">
        <v>127</v>
      </c>
    </row>
    <row r="322" spans="1:19" x14ac:dyDescent="0.25">
      <c r="B322" s="3" t="s">
        <v>771</v>
      </c>
      <c r="C322" s="23"/>
      <c r="D322" s="23"/>
      <c r="E322" s="23"/>
      <c r="F322" s="23"/>
      <c r="G322" s="23"/>
      <c r="H322" s="23"/>
      <c r="I322" s="23"/>
      <c r="J322" s="23"/>
      <c r="K322" s="23"/>
      <c r="L322" s="23"/>
      <c r="M322" s="23"/>
      <c r="N322" s="23"/>
      <c r="O322" s="23"/>
      <c r="P322" s="23"/>
      <c r="Q322" s="23"/>
      <c r="R322" s="5" t="s">
        <v>771</v>
      </c>
      <c r="S322" t="s">
        <v>772</v>
      </c>
    </row>
    <row r="323" spans="1:19" x14ac:dyDescent="0.25">
      <c r="B323" s="3" t="s">
        <v>390</v>
      </c>
      <c r="C323" s="23"/>
      <c r="D323" s="23"/>
      <c r="E323" s="23"/>
      <c r="F323" s="23"/>
      <c r="G323" s="23"/>
      <c r="H323" s="23"/>
      <c r="I323" s="23"/>
      <c r="J323" s="23"/>
      <c r="K323" s="23"/>
      <c r="L323" s="23"/>
      <c r="M323" s="23"/>
      <c r="N323" s="23"/>
      <c r="O323" s="23"/>
      <c r="P323" s="23"/>
      <c r="Q323" s="23"/>
      <c r="R323" s="5" t="s">
        <v>396</v>
      </c>
      <c r="S323" t="s">
        <v>69</v>
      </c>
    </row>
    <row r="324" spans="1:19" x14ac:dyDescent="0.25">
      <c r="B324" s="3" t="s">
        <v>392</v>
      </c>
      <c r="C324" s="23"/>
      <c r="D324" s="23"/>
      <c r="E324" s="23"/>
      <c r="F324" s="23"/>
      <c r="G324" s="23"/>
      <c r="H324" s="23"/>
      <c r="I324" s="23"/>
      <c r="J324" s="23"/>
      <c r="K324" s="23"/>
      <c r="L324" s="23"/>
      <c r="M324" s="23"/>
      <c r="N324" s="23"/>
      <c r="O324" s="23"/>
      <c r="P324" s="23"/>
      <c r="Q324" s="23"/>
      <c r="R324" s="5" t="s">
        <v>396</v>
      </c>
      <c r="S324" t="s">
        <v>69</v>
      </c>
    </row>
    <row r="325" spans="1:19" x14ac:dyDescent="0.25">
      <c r="B325" s="3" t="s">
        <v>393</v>
      </c>
      <c r="C325" s="23"/>
      <c r="D325" s="23"/>
      <c r="E325" s="23"/>
      <c r="F325" s="23"/>
      <c r="G325" s="23"/>
      <c r="H325" s="23"/>
      <c r="I325" s="23"/>
      <c r="J325" s="23"/>
      <c r="K325" s="23"/>
      <c r="L325" s="23"/>
      <c r="M325" s="23"/>
      <c r="N325" s="23"/>
      <c r="O325" s="23"/>
      <c r="P325" s="23"/>
      <c r="Q325" s="23"/>
      <c r="R325" s="5" t="s">
        <v>396</v>
      </c>
      <c r="S325" t="s">
        <v>69</v>
      </c>
    </row>
    <row r="326" spans="1:19" x14ac:dyDescent="0.25">
      <c r="B326" s="3" t="s">
        <v>389</v>
      </c>
      <c r="C326" s="23"/>
      <c r="D326" s="23"/>
      <c r="E326" s="23"/>
      <c r="F326" s="23"/>
      <c r="G326" s="23"/>
      <c r="H326" s="23"/>
      <c r="I326" s="23"/>
      <c r="J326" s="23"/>
      <c r="K326" s="23"/>
      <c r="L326" s="23"/>
      <c r="M326" s="23"/>
      <c r="N326" s="23"/>
      <c r="O326" s="23"/>
      <c r="P326" s="23"/>
      <c r="Q326" s="23"/>
      <c r="R326" s="5" t="s">
        <v>396</v>
      </c>
      <c r="S326" t="s">
        <v>69</v>
      </c>
    </row>
    <row r="327" spans="1:19" ht="15" customHeight="1" x14ac:dyDescent="0.25">
      <c r="B327" s="3" t="s">
        <v>391</v>
      </c>
      <c r="C327" s="23"/>
      <c r="D327" s="23"/>
      <c r="E327" s="23"/>
      <c r="F327" s="23"/>
      <c r="G327" s="23"/>
      <c r="H327" s="23"/>
      <c r="I327" s="23"/>
      <c r="J327" s="23"/>
      <c r="K327" s="23"/>
      <c r="L327" s="23"/>
      <c r="M327" s="23"/>
      <c r="N327" s="23"/>
      <c r="O327" s="23"/>
      <c r="P327" s="23"/>
      <c r="Q327" s="23"/>
      <c r="R327" s="5" t="s">
        <v>396</v>
      </c>
      <c r="S327" t="s">
        <v>69</v>
      </c>
    </row>
    <row r="328" spans="1:19" x14ac:dyDescent="0.25">
      <c r="B328" s="3" t="s">
        <v>394</v>
      </c>
      <c r="C328" s="23"/>
      <c r="D328" s="23"/>
      <c r="E328" s="23"/>
      <c r="F328" s="23"/>
      <c r="G328" s="23"/>
      <c r="H328" s="23"/>
      <c r="I328" s="23"/>
      <c r="J328" s="23"/>
      <c r="K328" s="23"/>
      <c r="L328" s="23"/>
      <c r="M328" s="23"/>
      <c r="N328" s="23"/>
      <c r="O328" s="23"/>
      <c r="P328" s="23"/>
      <c r="Q328" s="23"/>
      <c r="R328" s="5" t="s">
        <v>396</v>
      </c>
      <c r="S328" t="s">
        <v>69</v>
      </c>
    </row>
    <row r="329" spans="1:19" x14ac:dyDescent="0.25">
      <c r="B329" s="3" t="s">
        <v>395</v>
      </c>
      <c r="C329" s="23"/>
      <c r="D329" s="23"/>
      <c r="E329" s="23"/>
      <c r="F329" s="23"/>
      <c r="G329" s="23"/>
      <c r="H329" s="23"/>
      <c r="I329" s="23"/>
      <c r="J329" s="23"/>
      <c r="K329" s="23"/>
      <c r="L329" s="23"/>
      <c r="M329" s="23"/>
      <c r="N329" s="23"/>
      <c r="O329" s="23"/>
      <c r="P329" s="23"/>
      <c r="Q329" s="23"/>
      <c r="R329" s="5" t="s">
        <v>396</v>
      </c>
      <c r="S329" t="s">
        <v>69</v>
      </c>
    </row>
    <row r="330" spans="1:19" x14ac:dyDescent="0.25">
      <c r="A330" t="s">
        <v>852</v>
      </c>
      <c r="B330" s="3" t="s">
        <v>397</v>
      </c>
      <c r="C330" s="23"/>
      <c r="D330" s="23"/>
      <c r="E330" s="23"/>
      <c r="F330" s="23"/>
      <c r="G330" s="23"/>
      <c r="H330" s="23"/>
      <c r="I330" s="23"/>
      <c r="J330" s="23"/>
      <c r="K330" s="23"/>
      <c r="L330" s="23"/>
      <c r="M330" s="23"/>
      <c r="N330" s="23"/>
      <c r="O330" s="23"/>
      <c r="P330" s="23"/>
      <c r="Q330" s="23"/>
      <c r="R330" s="5" t="s">
        <v>396</v>
      </c>
      <c r="S330" t="s">
        <v>69</v>
      </c>
    </row>
    <row r="331" spans="1:19" x14ac:dyDescent="0.25">
      <c r="B331" t="s">
        <v>216</v>
      </c>
      <c r="C331" s="21">
        <v>1</v>
      </c>
      <c r="D331" s="21">
        <v>2</v>
      </c>
      <c r="E331" s="21">
        <v>3</v>
      </c>
      <c r="F331" s="21">
        <v>4</v>
      </c>
      <c r="G331" s="21">
        <v>5</v>
      </c>
      <c r="H331" s="21">
        <v>6</v>
      </c>
      <c r="I331" s="21">
        <v>7</v>
      </c>
      <c r="J331" s="21">
        <v>8</v>
      </c>
      <c r="K331" s="21">
        <v>9</v>
      </c>
      <c r="L331" s="21">
        <v>10</v>
      </c>
      <c r="M331" s="21">
        <v>11</v>
      </c>
      <c r="N331" s="21">
        <v>12</v>
      </c>
      <c r="O331" s="21">
        <v>13</v>
      </c>
      <c r="P331" s="21">
        <v>14</v>
      </c>
      <c r="Q331" s="21">
        <v>15</v>
      </c>
      <c r="R331" s="5" t="s">
        <v>11</v>
      </c>
      <c r="S331" t="s">
        <v>126</v>
      </c>
    </row>
    <row r="332" spans="1:19" x14ac:dyDescent="0.25">
      <c r="A332" t="s">
        <v>853</v>
      </c>
      <c r="B332" t="s">
        <v>10</v>
      </c>
      <c r="C332" s="2">
        <v>0.31730000000000003</v>
      </c>
      <c r="D332" s="2">
        <v>0.34320000000000001</v>
      </c>
      <c r="E332" s="2">
        <v>0.36899999999999999</v>
      </c>
      <c r="F332" s="2">
        <v>0.40589999999999998</v>
      </c>
      <c r="G332" s="2">
        <v>0.43169999999999997</v>
      </c>
      <c r="H332" s="2">
        <v>0.46129999999999999</v>
      </c>
      <c r="I332" s="2">
        <v>0.50180000000000002</v>
      </c>
      <c r="J332" s="2">
        <v>0.54239999999999999</v>
      </c>
      <c r="K332" s="2">
        <v>0.58299999999999996</v>
      </c>
      <c r="L332" s="2">
        <v>0.62729999999999997</v>
      </c>
      <c r="M332" s="2">
        <v>0.67800000000000005</v>
      </c>
      <c r="N332" s="2">
        <v>0.73770000000000002</v>
      </c>
      <c r="O332" s="2">
        <v>0.7974</v>
      </c>
      <c r="P332" s="2">
        <v>0.85699999999999998</v>
      </c>
      <c r="Q332" s="2">
        <v>0.92210000000000003</v>
      </c>
      <c r="R332" t="s">
        <v>6</v>
      </c>
      <c r="S332" t="s">
        <v>127</v>
      </c>
    </row>
    <row r="333" spans="1:19" x14ac:dyDescent="0.25">
      <c r="B333" t="s">
        <v>9</v>
      </c>
      <c r="C333" s="2">
        <v>0.35599999999999998</v>
      </c>
      <c r="D333" s="2">
        <v>0.38500000000000001</v>
      </c>
      <c r="E333" s="2">
        <v>0.41399999999999998</v>
      </c>
      <c r="F333" s="2">
        <v>0.45540000000000003</v>
      </c>
      <c r="G333" s="2">
        <v>0.4844</v>
      </c>
      <c r="H333" s="2">
        <v>0.51749999999999996</v>
      </c>
      <c r="I333" s="2">
        <v>0.56299999999999994</v>
      </c>
      <c r="J333" s="2">
        <v>0.60860000000000003</v>
      </c>
      <c r="K333" s="2">
        <v>0.65410000000000001</v>
      </c>
      <c r="L333" s="2">
        <v>0.70379999999999998</v>
      </c>
      <c r="M333" s="2">
        <v>0.76070000000000004</v>
      </c>
      <c r="N333" s="2">
        <v>0.82769999999999999</v>
      </c>
      <c r="O333" s="2">
        <v>0.89459999999999995</v>
      </c>
      <c r="P333" s="2">
        <v>0.96160000000000001</v>
      </c>
      <c r="Q333" s="2">
        <v>1.0346</v>
      </c>
      <c r="R333" t="s">
        <v>6</v>
      </c>
      <c r="S333" t="s">
        <v>127</v>
      </c>
    </row>
    <row r="334" spans="1:19" x14ac:dyDescent="0.25">
      <c r="B334" t="s">
        <v>8</v>
      </c>
      <c r="C334" s="2">
        <v>0.45490000000000003</v>
      </c>
      <c r="D334" s="2">
        <v>0.49199999999999999</v>
      </c>
      <c r="E334" s="2">
        <v>0.52900000000000003</v>
      </c>
      <c r="F334" s="2">
        <v>0.58189999999999997</v>
      </c>
      <c r="G334" s="2">
        <v>0.61890000000000001</v>
      </c>
      <c r="H334" s="2">
        <v>0.6613</v>
      </c>
      <c r="I334" s="2">
        <v>0.71940000000000004</v>
      </c>
      <c r="J334" s="2">
        <v>0.77759999999999996</v>
      </c>
      <c r="K334" s="2">
        <v>0.83579999999999999</v>
      </c>
      <c r="L334" s="2">
        <v>0.89929999999999999</v>
      </c>
      <c r="M334" s="2">
        <v>0.97199999999999998</v>
      </c>
      <c r="N334" s="2">
        <v>1.0576000000000001</v>
      </c>
      <c r="O334" s="2">
        <v>1.1431</v>
      </c>
      <c r="P334" s="2">
        <v>1.2286999999999999</v>
      </c>
      <c r="Q334" s="2">
        <v>1.3220000000000001</v>
      </c>
      <c r="R334" t="s">
        <v>6</v>
      </c>
      <c r="S334" t="s">
        <v>127</v>
      </c>
    </row>
    <row r="335" spans="1:19" x14ac:dyDescent="0.25">
      <c r="B335" t="s">
        <v>13</v>
      </c>
      <c r="C335" s="2">
        <v>0.45490000000000003</v>
      </c>
      <c r="D335" s="2">
        <v>0.49199999999999999</v>
      </c>
      <c r="E335" s="2">
        <v>0.52900000000000003</v>
      </c>
      <c r="F335" s="2">
        <v>0.58189999999999997</v>
      </c>
      <c r="G335" s="2">
        <v>0.61890000000000001</v>
      </c>
      <c r="H335" s="2">
        <v>0.6613</v>
      </c>
      <c r="I335" s="2">
        <v>0.71940000000000004</v>
      </c>
      <c r="J335" s="2">
        <v>0.77759999999999996</v>
      </c>
      <c r="K335" s="2">
        <v>0.83579999999999999</v>
      </c>
      <c r="L335" s="2">
        <v>0.89929999999999999</v>
      </c>
      <c r="M335" s="2">
        <v>0.97199999999999998</v>
      </c>
      <c r="N335" s="2">
        <v>1.0576000000000001</v>
      </c>
      <c r="O335" s="2">
        <v>1.1431</v>
      </c>
      <c r="P335" s="2">
        <v>1.2286999999999999</v>
      </c>
      <c r="Q335" s="2">
        <v>1.3220000000000001</v>
      </c>
      <c r="R335" t="s">
        <v>6</v>
      </c>
      <c r="S335" t="s">
        <v>127</v>
      </c>
    </row>
    <row r="336" spans="1:19" x14ac:dyDescent="0.25">
      <c r="B336" t="s">
        <v>7</v>
      </c>
      <c r="C336" s="2">
        <v>0.48249999999999998</v>
      </c>
      <c r="D336" s="2">
        <v>0.52170000000000005</v>
      </c>
      <c r="E336" s="2">
        <v>0.56100000000000005</v>
      </c>
      <c r="F336" s="2">
        <v>0.61709999999999998</v>
      </c>
      <c r="G336" s="2">
        <v>0.65639999999999998</v>
      </c>
      <c r="H336" s="2">
        <v>0.70130000000000003</v>
      </c>
      <c r="I336" s="2">
        <v>0.76300000000000001</v>
      </c>
      <c r="J336" s="2">
        <v>0.82469999999999999</v>
      </c>
      <c r="K336" s="2">
        <v>0.88639999999999997</v>
      </c>
      <c r="L336" s="2">
        <v>0.95369999999999999</v>
      </c>
      <c r="M336" s="2">
        <v>1.0307999999999999</v>
      </c>
      <c r="N336" s="2">
        <v>1.1215999999999999</v>
      </c>
      <c r="O336" s="2">
        <v>1.2122999999999999</v>
      </c>
      <c r="P336" s="2">
        <v>1.3029999999999999</v>
      </c>
      <c r="Q336" s="2">
        <v>1.4018999999999999</v>
      </c>
      <c r="R336" t="s">
        <v>6</v>
      </c>
      <c r="S336" t="s">
        <v>127</v>
      </c>
    </row>
    <row r="337" spans="2:19" x14ac:dyDescent="0.25">
      <c r="B337" t="s">
        <v>217</v>
      </c>
      <c r="C337" s="2">
        <v>0.57620000000000005</v>
      </c>
      <c r="D337" s="2">
        <v>0.62309999999999999</v>
      </c>
      <c r="E337" s="2">
        <v>0.67</v>
      </c>
      <c r="F337" s="2">
        <v>0.73699999999999999</v>
      </c>
      <c r="G337" s="2">
        <v>0.78390000000000004</v>
      </c>
      <c r="H337" s="2">
        <v>0.83750000000000002</v>
      </c>
      <c r="I337" s="2">
        <v>0.91120000000000001</v>
      </c>
      <c r="J337" s="2">
        <v>0.9849</v>
      </c>
      <c r="K337" s="2">
        <v>1.0586</v>
      </c>
      <c r="L337" s="2">
        <v>1.139</v>
      </c>
      <c r="M337" s="2">
        <v>1.2311000000000001</v>
      </c>
      <c r="N337" s="2">
        <v>1.3394999999999999</v>
      </c>
      <c r="O337" s="2">
        <v>1.4478</v>
      </c>
      <c r="P337" s="2">
        <v>1.5561</v>
      </c>
      <c r="Q337" s="2">
        <v>1.6742999999999999</v>
      </c>
      <c r="R337" t="s">
        <v>6</v>
      </c>
      <c r="S337" t="s">
        <v>127</v>
      </c>
    </row>
    <row r="338" spans="2:19" x14ac:dyDescent="0.25">
      <c r="B338" t="s">
        <v>133</v>
      </c>
      <c r="C338" s="2">
        <v>0.43859999999999999</v>
      </c>
      <c r="D338" s="2">
        <v>0.4743</v>
      </c>
      <c r="E338" s="2">
        <v>0.51</v>
      </c>
      <c r="F338" s="2">
        <v>0.56100000000000005</v>
      </c>
      <c r="G338" s="2">
        <v>0.59670000000000001</v>
      </c>
      <c r="H338" s="2">
        <v>0.63749999999999996</v>
      </c>
      <c r="I338" s="2">
        <v>0.69359999999999999</v>
      </c>
      <c r="J338" s="2">
        <v>0.74970000000000003</v>
      </c>
      <c r="K338" s="2">
        <v>0.80579999999999996</v>
      </c>
      <c r="L338" s="2">
        <v>0.86699999999999999</v>
      </c>
      <c r="M338" s="2">
        <v>0.92820000000000003</v>
      </c>
      <c r="N338" s="2">
        <v>0.98939999999999995</v>
      </c>
      <c r="O338" s="2">
        <v>1.0506</v>
      </c>
      <c r="P338" s="2">
        <v>1.1117999999999999</v>
      </c>
      <c r="Q338" s="2">
        <v>1.173</v>
      </c>
      <c r="R338" t="s">
        <v>5</v>
      </c>
      <c r="S338" t="s">
        <v>127</v>
      </c>
    </row>
    <row r="339" spans="2:19" x14ac:dyDescent="0.25">
      <c r="B339" t="s">
        <v>218</v>
      </c>
      <c r="C339" s="2">
        <v>1.24</v>
      </c>
      <c r="D339" s="2">
        <v>1.333</v>
      </c>
      <c r="E339" s="2">
        <v>1.4259999999999999</v>
      </c>
      <c r="F339" s="2">
        <v>1.55</v>
      </c>
      <c r="G339" s="2">
        <v>1.643</v>
      </c>
      <c r="H339" s="2">
        <v>1.736</v>
      </c>
      <c r="I339" s="2">
        <v>1.86</v>
      </c>
      <c r="J339" s="2">
        <v>1.984</v>
      </c>
      <c r="K339" s="2">
        <v>2.1080000000000001</v>
      </c>
      <c r="L339" s="2">
        <v>2.2320000000000002</v>
      </c>
      <c r="M339" s="2">
        <v>2.3559999999999999</v>
      </c>
      <c r="N339" s="2">
        <v>2.48</v>
      </c>
      <c r="O339" s="2">
        <v>2.6349999999999998</v>
      </c>
      <c r="P339" s="2">
        <v>2.79</v>
      </c>
      <c r="Q339" s="2">
        <v>2.9449999999999998</v>
      </c>
      <c r="R339" t="s">
        <v>5</v>
      </c>
      <c r="S339" t="s">
        <v>127</v>
      </c>
    </row>
    <row r="340" spans="2:19" x14ac:dyDescent="0.25">
      <c r="B340" t="s">
        <v>219</v>
      </c>
      <c r="C340" s="2">
        <v>1.28</v>
      </c>
      <c r="D340" s="2">
        <v>1.3759999999999999</v>
      </c>
      <c r="E340" s="2">
        <v>1.472</v>
      </c>
      <c r="F340" s="2">
        <v>1.6</v>
      </c>
      <c r="G340" s="2">
        <v>1.696</v>
      </c>
      <c r="H340" s="2">
        <v>1.792</v>
      </c>
      <c r="I340" s="2">
        <v>1.92</v>
      </c>
      <c r="J340" s="2">
        <v>2.048</v>
      </c>
      <c r="K340" s="2">
        <v>2.1760000000000002</v>
      </c>
      <c r="L340" s="2">
        <v>2.3039999999999998</v>
      </c>
      <c r="M340" s="2">
        <v>2.4319999999999999</v>
      </c>
      <c r="N340" s="2">
        <v>2.56</v>
      </c>
      <c r="O340" s="2">
        <v>2.72</v>
      </c>
      <c r="P340" s="2">
        <v>2.88</v>
      </c>
      <c r="Q340" s="2">
        <v>3.04</v>
      </c>
      <c r="R340" t="s">
        <v>5</v>
      </c>
      <c r="S340" t="s">
        <v>127</v>
      </c>
    </row>
    <row r="341" spans="2:19" x14ac:dyDescent="0.25">
      <c r="B341" t="s">
        <v>220</v>
      </c>
      <c r="C341" s="2">
        <v>2.1760000000000002</v>
      </c>
      <c r="D341" s="2">
        <v>2.3391999999999999</v>
      </c>
      <c r="E341" s="2">
        <v>2.5024000000000002</v>
      </c>
      <c r="F341" s="2">
        <v>2.72</v>
      </c>
      <c r="G341" s="2">
        <v>2.8832</v>
      </c>
      <c r="H341" s="2">
        <v>3.0464000000000002</v>
      </c>
      <c r="I341" s="2">
        <v>3.2639999999999998</v>
      </c>
      <c r="J341" s="2">
        <v>3.4815999999999998</v>
      </c>
      <c r="K341" s="2">
        <v>3.6991999999999998</v>
      </c>
      <c r="L341" s="2">
        <v>3.9167999999999998</v>
      </c>
      <c r="M341" s="2">
        <v>4.1344000000000003</v>
      </c>
      <c r="N341" s="2">
        <v>4.3520000000000003</v>
      </c>
      <c r="O341" s="2">
        <v>4.6239999999999997</v>
      </c>
      <c r="P341" s="2">
        <v>4.8959999999999999</v>
      </c>
      <c r="Q341" s="2">
        <v>5.1680000000000001</v>
      </c>
      <c r="R341" t="s">
        <v>5</v>
      </c>
      <c r="S341" t="s">
        <v>127</v>
      </c>
    </row>
    <row r="342" spans="2:19" x14ac:dyDescent="0.25">
      <c r="B342" t="s">
        <v>155</v>
      </c>
      <c r="C342" s="2">
        <v>0.56830000000000003</v>
      </c>
      <c r="D342" s="2">
        <v>0.61450000000000005</v>
      </c>
      <c r="E342" s="2">
        <v>0.66080000000000005</v>
      </c>
      <c r="F342" s="2">
        <v>0.72689999999999999</v>
      </c>
      <c r="G342" s="2">
        <v>0.77310000000000001</v>
      </c>
      <c r="H342" s="2">
        <v>0.82599999999999996</v>
      </c>
      <c r="I342" s="2">
        <v>0.89870000000000005</v>
      </c>
      <c r="J342" s="2">
        <v>0.97140000000000004</v>
      </c>
      <c r="K342" s="2">
        <v>1.0441</v>
      </c>
      <c r="L342" s="2">
        <v>1.1234</v>
      </c>
      <c r="M342" s="2">
        <v>1.2027000000000001</v>
      </c>
      <c r="N342" s="2">
        <v>1.282</v>
      </c>
      <c r="O342" s="2">
        <v>1.3612</v>
      </c>
      <c r="P342" s="2">
        <v>1.4404999999999999</v>
      </c>
      <c r="Q342" s="2">
        <v>1.5198</v>
      </c>
      <c r="R342" t="s">
        <v>3</v>
      </c>
      <c r="S342" t="s">
        <v>127</v>
      </c>
    </row>
    <row r="343" spans="2:19" x14ac:dyDescent="0.25">
      <c r="B343" t="s">
        <v>135</v>
      </c>
      <c r="C343" s="2">
        <v>1.1363000000000001</v>
      </c>
      <c r="D343" s="2">
        <v>1.2287999999999999</v>
      </c>
      <c r="E343" s="2">
        <v>1.3212999999999999</v>
      </c>
      <c r="F343" s="2">
        <v>1.4535</v>
      </c>
      <c r="G343" s="2">
        <v>1.5459000000000001</v>
      </c>
      <c r="H343" s="2">
        <v>1.6516999999999999</v>
      </c>
      <c r="I343" s="2">
        <v>1.7969999999999999</v>
      </c>
      <c r="J343" s="2">
        <v>1.9422999999999999</v>
      </c>
      <c r="K343" s="2">
        <v>2.0876999999999999</v>
      </c>
      <c r="L343" s="2">
        <v>2.2462</v>
      </c>
      <c r="M343" s="2">
        <v>2.4047999999999998</v>
      </c>
      <c r="N343" s="2">
        <v>2.5634000000000001</v>
      </c>
      <c r="O343" s="2">
        <v>2.7219000000000002</v>
      </c>
      <c r="P343" s="2">
        <v>2.8805000000000001</v>
      </c>
      <c r="Q343" s="2">
        <v>3.0390000000000001</v>
      </c>
      <c r="R343" t="s">
        <v>3</v>
      </c>
      <c r="S343" t="s">
        <v>127</v>
      </c>
    </row>
    <row r="344" spans="2:19" x14ac:dyDescent="0.25">
      <c r="B344" t="s">
        <v>136</v>
      </c>
      <c r="C344" s="2">
        <v>1.4193</v>
      </c>
      <c r="D344" s="2">
        <v>1.5348999999999999</v>
      </c>
      <c r="E344" s="2">
        <v>1.6504000000000001</v>
      </c>
      <c r="F344" s="2">
        <v>1.8153999999999999</v>
      </c>
      <c r="G344" s="2">
        <v>1.931</v>
      </c>
      <c r="H344" s="2">
        <v>2.0630000000000002</v>
      </c>
      <c r="I344" s="2">
        <v>2.2444999999999999</v>
      </c>
      <c r="J344" s="2">
        <v>2.4260999999999999</v>
      </c>
      <c r="K344" s="2">
        <v>2.6076000000000001</v>
      </c>
      <c r="L344" s="2">
        <v>2.8056999999999999</v>
      </c>
      <c r="M344" s="2">
        <v>3.0036999999999998</v>
      </c>
      <c r="N344" s="2">
        <v>3.2018</v>
      </c>
      <c r="O344" s="2">
        <v>3.3997999999999999</v>
      </c>
      <c r="P344" s="2">
        <v>3.5979000000000001</v>
      </c>
      <c r="Q344" s="2">
        <v>3.7959000000000001</v>
      </c>
      <c r="R344" t="s">
        <v>3</v>
      </c>
      <c r="S344" t="s">
        <v>127</v>
      </c>
    </row>
    <row r="345" spans="2:19" x14ac:dyDescent="0.25">
      <c r="B345" t="s">
        <v>4</v>
      </c>
      <c r="C345" s="2">
        <v>1.32</v>
      </c>
      <c r="D345" s="2">
        <v>1.419</v>
      </c>
      <c r="E345" s="2">
        <v>1.518</v>
      </c>
      <c r="F345" s="2">
        <v>1.65</v>
      </c>
      <c r="G345" s="2">
        <v>1.7490000000000001</v>
      </c>
      <c r="H345" s="2">
        <v>1.8480000000000001</v>
      </c>
      <c r="I345" s="2">
        <v>1.98</v>
      </c>
      <c r="J345" s="2">
        <v>2.1120000000000001</v>
      </c>
      <c r="K345" s="2">
        <v>2.2440000000000002</v>
      </c>
      <c r="L345" s="2">
        <v>2.3759999999999999</v>
      </c>
      <c r="M345" s="2">
        <v>2.508</v>
      </c>
      <c r="N345" s="2">
        <v>2.64</v>
      </c>
      <c r="O345" s="2">
        <v>2.8050000000000002</v>
      </c>
      <c r="P345" s="2">
        <v>2.97</v>
      </c>
      <c r="Q345" s="2">
        <v>3.1349999999999998</v>
      </c>
      <c r="R345" t="s">
        <v>19</v>
      </c>
      <c r="S345" t="s">
        <v>127</v>
      </c>
    </row>
    <row r="346" spans="2:19" x14ac:dyDescent="0.25">
      <c r="B346" t="s">
        <v>221</v>
      </c>
      <c r="C346" s="2">
        <v>0.70269999999999999</v>
      </c>
      <c r="D346" s="2">
        <v>0.75539999999999996</v>
      </c>
      <c r="E346" s="2">
        <v>0.80810000000000004</v>
      </c>
      <c r="F346" s="2">
        <v>0.87839999999999996</v>
      </c>
      <c r="G346" s="2">
        <v>0.93110000000000004</v>
      </c>
      <c r="H346" s="2">
        <v>0.98380000000000001</v>
      </c>
      <c r="I346" s="2">
        <v>1.0541</v>
      </c>
      <c r="J346" s="2">
        <v>1.1244000000000001</v>
      </c>
      <c r="K346" s="2">
        <v>1.1946000000000001</v>
      </c>
      <c r="L346" s="2">
        <v>1.2648999999999999</v>
      </c>
      <c r="M346" s="2">
        <v>1.3351999999999999</v>
      </c>
      <c r="N346" s="2">
        <v>1.4054</v>
      </c>
      <c r="O346" s="2">
        <v>1.4933000000000001</v>
      </c>
      <c r="P346" s="2">
        <v>1.5810999999999999</v>
      </c>
      <c r="Q346" s="2">
        <v>1.669</v>
      </c>
      <c r="R346" t="s">
        <v>0</v>
      </c>
      <c r="S346" t="s">
        <v>127</v>
      </c>
    </row>
    <row r="347" spans="2:19" x14ac:dyDescent="0.25">
      <c r="B347" s="3" t="s">
        <v>771</v>
      </c>
      <c r="C347" s="23"/>
      <c r="D347" s="23"/>
      <c r="E347" s="23"/>
      <c r="F347" s="23"/>
      <c r="G347" s="23"/>
      <c r="H347" s="23"/>
      <c r="I347" s="23"/>
      <c r="J347" s="23"/>
      <c r="K347" s="23"/>
      <c r="L347" s="23"/>
      <c r="M347" s="23"/>
      <c r="N347" s="23"/>
      <c r="O347" s="23"/>
      <c r="P347" s="23"/>
      <c r="Q347" s="23"/>
      <c r="R347" s="5" t="s">
        <v>771</v>
      </c>
      <c r="S347" t="s">
        <v>772</v>
      </c>
    </row>
    <row r="348" spans="2:19" x14ac:dyDescent="0.25">
      <c r="B348" s="3" t="s">
        <v>390</v>
      </c>
      <c r="C348" s="23"/>
      <c r="D348" s="23"/>
      <c r="E348" s="23"/>
      <c r="F348" s="23"/>
      <c r="G348" s="23"/>
      <c r="H348" s="23"/>
      <c r="I348" s="23"/>
      <c r="J348" s="23"/>
      <c r="K348" s="23"/>
      <c r="L348" s="23"/>
      <c r="M348" s="23"/>
      <c r="N348" s="23"/>
      <c r="O348" s="23"/>
      <c r="P348" s="23"/>
      <c r="Q348" s="23"/>
      <c r="R348" s="5" t="s">
        <v>396</v>
      </c>
      <c r="S348" t="s">
        <v>69</v>
      </c>
    </row>
    <row r="349" spans="2:19" x14ac:dyDescent="0.25">
      <c r="B349" s="3" t="s">
        <v>392</v>
      </c>
      <c r="C349" s="23"/>
      <c r="D349" s="23"/>
      <c r="E349" s="23"/>
      <c r="F349" s="23"/>
      <c r="G349" s="23"/>
      <c r="H349" s="23"/>
      <c r="I349" s="23"/>
      <c r="J349" s="23"/>
      <c r="K349" s="23"/>
      <c r="L349" s="23"/>
      <c r="M349" s="23"/>
      <c r="N349" s="23"/>
      <c r="O349" s="23"/>
      <c r="P349" s="23"/>
      <c r="Q349" s="23"/>
      <c r="R349" s="5" t="s">
        <v>396</v>
      </c>
      <c r="S349" t="s">
        <v>69</v>
      </c>
    </row>
    <row r="350" spans="2:19" x14ac:dyDescent="0.25">
      <c r="B350" s="3" t="s">
        <v>393</v>
      </c>
      <c r="C350" s="23"/>
      <c r="D350" s="23"/>
      <c r="E350" s="23"/>
      <c r="F350" s="23"/>
      <c r="G350" s="23"/>
      <c r="H350" s="23"/>
      <c r="I350" s="23"/>
      <c r="J350" s="23"/>
      <c r="K350" s="23"/>
      <c r="L350" s="23"/>
      <c r="M350" s="23"/>
      <c r="N350" s="23"/>
      <c r="O350" s="23"/>
      <c r="P350" s="23"/>
      <c r="Q350" s="23"/>
      <c r="R350" s="5" t="s">
        <v>396</v>
      </c>
      <c r="S350" t="s">
        <v>69</v>
      </c>
    </row>
    <row r="351" spans="2:19" x14ac:dyDescent="0.25">
      <c r="B351" s="3" t="s">
        <v>389</v>
      </c>
      <c r="C351" s="23"/>
      <c r="D351" s="23"/>
      <c r="E351" s="23"/>
      <c r="F351" s="23"/>
      <c r="G351" s="23"/>
      <c r="H351" s="23"/>
      <c r="I351" s="23"/>
      <c r="J351" s="23"/>
      <c r="K351" s="23"/>
      <c r="L351" s="23"/>
      <c r="M351" s="23"/>
      <c r="N351" s="23"/>
      <c r="O351" s="23"/>
      <c r="P351" s="23"/>
      <c r="Q351" s="23"/>
      <c r="R351" s="5" t="s">
        <v>396</v>
      </c>
      <c r="S351" t="s">
        <v>69</v>
      </c>
    </row>
    <row r="352" spans="2:19" x14ac:dyDescent="0.25">
      <c r="B352" s="3" t="s">
        <v>391</v>
      </c>
      <c r="C352" s="23"/>
      <c r="D352" s="23"/>
      <c r="E352" s="23"/>
      <c r="F352" s="23"/>
      <c r="G352" s="23"/>
      <c r="H352" s="23"/>
      <c r="I352" s="23"/>
      <c r="J352" s="23"/>
      <c r="K352" s="23"/>
      <c r="L352" s="23"/>
      <c r="M352" s="23"/>
      <c r="N352" s="23"/>
      <c r="O352" s="23"/>
      <c r="P352" s="23"/>
      <c r="Q352" s="23"/>
      <c r="R352" s="5" t="s">
        <v>396</v>
      </c>
      <c r="S352" t="s">
        <v>69</v>
      </c>
    </row>
    <row r="353" spans="1:19" x14ac:dyDescent="0.25">
      <c r="B353" s="3" t="s">
        <v>394</v>
      </c>
      <c r="C353" s="23"/>
      <c r="D353" s="23"/>
      <c r="E353" s="23"/>
      <c r="F353" s="23"/>
      <c r="G353" s="23"/>
      <c r="H353" s="23"/>
      <c r="I353" s="23"/>
      <c r="J353" s="23"/>
      <c r="K353" s="23"/>
      <c r="L353" s="23"/>
      <c r="M353" s="23"/>
      <c r="N353" s="23"/>
      <c r="O353" s="23"/>
      <c r="P353" s="23"/>
      <c r="Q353" s="23"/>
      <c r="R353" s="5" t="s">
        <v>396</v>
      </c>
      <c r="S353" t="s">
        <v>69</v>
      </c>
    </row>
    <row r="354" spans="1:19" x14ac:dyDescent="0.25">
      <c r="B354" s="3" t="s">
        <v>395</v>
      </c>
      <c r="C354" s="23"/>
      <c r="D354" s="23"/>
      <c r="E354" s="23"/>
      <c r="F354" s="23"/>
      <c r="G354" s="23"/>
      <c r="H354" s="23"/>
      <c r="I354" s="23"/>
      <c r="J354" s="23"/>
      <c r="K354" s="23"/>
      <c r="L354" s="23"/>
      <c r="M354" s="23"/>
      <c r="N354" s="23"/>
      <c r="O354" s="23"/>
      <c r="P354" s="23"/>
      <c r="Q354" s="23"/>
      <c r="R354" s="5" t="s">
        <v>396</v>
      </c>
      <c r="S354" t="s">
        <v>69</v>
      </c>
    </row>
    <row r="355" spans="1:19" x14ac:dyDescent="0.25">
      <c r="A355" t="s">
        <v>854</v>
      </c>
      <c r="B355" s="3" t="s">
        <v>397</v>
      </c>
      <c r="C355" s="23"/>
      <c r="D355" s="23"/>
      <c r="E355" s="23"/>
      <c r="F355" s="23"/>
      <c r="G355" s="23"/>
      <c r="H355" s="23"/>
      <c r="I355" s="23"/>
      <c r="J355" s="23"/>
      <c r="K355" s="23"/>
      <c r="L355" s="23"/>
      <c r="M355" s="23"/>
      <c r="N355" s="23"/>
      <c r="O355" s="23"/>
      <c r="P355" s="23"/>
      <c r="Q355" s="23"/>
      <c r="R355" s="5" t="s">
        <v>396</v>
      </c>
      <c r="S355" t="s">
        <v>69</v>
      </c>
    </row>
    <row r="356" spans="1:19" x14ac:dyDescent="0.25">
      <c r="B356" t="s">
        <v>430</v>
      </c>
      <c r="C356" s="21">
        <v>1</v>
      </c>
      <c r="D356" s="21">
        <v>2</v>
      </c>
      <c r="E356" s="21">
        <v>3</v>
      </c>
      <c r="F356" s="21">
        <v>4</v>
      </c>
      <c r="G356" s="21">
        <v>5</v>
      </c>
      <c r="H356" s="21">
        <v>6</v>
      </c>
      <c r="I356" s="21">
        <v>7</v>
      </c>
      <c r="J356" s="21">
        <v>8</v>
      </c>
      <c r="K356" s="21">
        <v>9</v>
      </c>
      <c r="L356" s="21">
        <v>10</v>
      </c>
      <c r="M356" s="21">
        <v>11</v>
      </c>
      <c r="N356" s="21">
        <v>12</v>
      </c>
      <c r="O356" s="21">
        <v>13</v>
      </c>
      <c r="P356" s="21">
        <v>14</v>
      </c>
      <c r="Q356" s="21">
        <v>15</v>
      </c>
      <c r="R356" s="5" t="s">
        <v>11</v>
      </c>
      <c r="S356" t="s">
        <v>126</v>
      </c>
    </row>
    <row r="357" spans="1:19" x14ac:dyDescent="0.25">
      <c r="A357" t="s">
        <v>855</v>
      </c>
      <c r="B357" t="s">
        <v>10</v>
      </c>
      <c r="C357" s="2">
        <v>0.4446</v>
      </c>
      <c r="D357" s="2">
        <v>0.48080000000000001</v>
      </c>
      <c r="E357" s="2">
        <v>0.51700000000000002</v>
      </c>
      <c r="F357" s="2">
        <v>0.56869999999999998</v>
      </c>
      <c r="G357" s="2">
        <v>0.60489999999999999</v>
      </c>
      <c r="H357" s="2">
        <v>0.64629999999999999</v>
      </c>
      <c r="I357" s="2">
        <v>0.70309999999999995</v>
      </c>
      <c r="J357" s="2">
        <v>0.76</v>
      </c>
      <c r="K357" s="2">
        <v>0.81689999999999996</v>
      </c>
      <c r="L357" s="2">
        <v>0.87890000000000001</v>
      </c>
      <c r="M357" s="2">
        <v>0.94089999999999996</v>
      </c>
      <c r="N357" s="2">
        <v>1.0029999999999999</v>
      </c>
      <c r="O357" s="2">
        <v>1.0649999999999999</v>
      </c>
      <c r="P357" s="2">
        <v>1.1271</v>
      </c>
      <c r="Q357" s="2">
        <v>1.1891</v>
      </c>
      <c r="R357" t="s">
        <v>6</v>
      </c>
      <c r="S357" t="s">
        <v>127</v>
      </c>
    </row>
    <row r="358" spans="1:19" x14ac:dyDescent="0.25">
      <c r="B358" t="s">
        <v>9</v>
      </c>
      <c r="C358" s="2">
        <v>0.43430000000000002</v>
      </c>
      <c r="D358" s="2">
        <v>0.46970000000000001</v>
      </c>
      <c r="E358" s="2">
        <v>0.505</v>
      </c>
      <c r="F358" s="2">
        <v>0.55549999999999999</v>
      </c>
      <c r="G358" s="2">
        <v>0.59089999999999998</v>
      </c>
      <c r="H358" s="2">
        <v>0.63129999999999997</v>
      </c>
      <c r="I358" s="2">
        <v>0.68679999999999997</v>
      </c>
      <c r="J358" s="2">
        <v>0.74229999999999996</v>
      </c>
      <c r="K358" s="2">
        <v>0.79790000000000005</v>
      </c>
      <c r="L358" s="2">
        <v>0.85850000000000004</v>
      </c>
      <c r="M358" s="2">
        <v>0.91910000000000003</v>
      </c>
      <c r="N358" s="2">
        <v>0.97970000000000002</v>
      </c>
      <c r="O358" s="2">
        <v>1.0403</v>
      </c>
      <c r="P358" s="2">
        <v>1.1009</v>
      </c>
      <c r="Q358" s="2">
        <v>1.1615</v>
      </c>
      <c r="R358" t="s">
        <v>6</v>
      </c>
      <c r="S358" t="s">
        <v>127</v>
      </c>
    </row>
    <row r="359" spans="1:19" x14ac:dyDescent="0.25">
      <c r="B359" t="s">
        <v>8</v>
      </c>
      <c r="C359" s="2">
        <v>0.52980000000000005</v>
      </c>
      <c r="D359" s="2">
        <v>0.57289999999999996</v>
      </c>
      <c r="E359" s="2">
        <v>0.61599999999999999</v>
      </c>
      <c r="F359" s="2">
        <v>0.67759999999999998</v>
      </c>
      <c r="G359" s="2">
        <v>0.72070000000000001</v>
      </c>
      <c r="H359" s="2">
        <v>0.77</v>
      </c>
      <c r="I359" s="2">
        <v>0.83779999999999999</v>
      </c>
      <c r="J359" s="2">
        <v>0.90549999999999997</v>
      </c>
      <c r="K359" s="2">
        <v>0.97330000000000005</v>
      </c>
      <c r="L359" s="2">
        <v>1.0471999999999999</v>
      </c>
      <c r="M359" s="2">
        <v>1.1211</v>
      </c>
      <c r="N359" s="2">
        <v>1.1950000000000001</v>
      </c>
      <c r="O359" s="2">
        <v>1.2689999999999999</v>
      </c>
      <c r="P359" s="2">
        <v>1.3429</v>
      </c>
      <c r="Q359" s="2">
        <v>1.4168000000000001</v>
      </c>
      <c r="R359" t="s">
        <v>6</v>
      </c>
      <c r="S359" t="s">
        <v>127</v>
      </c>
    </row>
    <row r="360" spans="1:19" x14ac:dyDescent="0.25">
      <c r="B360" t="s">
        <v>13</v>
      </c>
      <c r="C360" s="2">
        <v>0.58309999999999995</v>
      </c>
      <c r="D360" s="2">
        <v>0.63049999999999995</v>
      </c>
      <c r="E360" s="2">
        <v>0.67800000000000005</v>
      </c>
      <c r="F360" s="2">
        <v>0.74580000000000002</v>
      </c>
      <c r="G360" s="2">
        <v>0.79330000000000001</v>
      </c>
      <c r="H360" s="2">
        <v>0.84750000000000003</v>
      </c>
      <c r="I360" s="2">
        <v>0.92210000000000003</v>
      </c>
      <c r="J360" s="2">
        <v>0.99670000000000003</v>
      </c>
      <c r="K360" s="2">
        <v>1.0711999999999999</v>
      </c>
      <c r="L360" s="2">
        <v>1.1526000000000001</v>
      </c>
      <c r="M360" s="2">
        <v>1.234</v>
      </c>
      <c r="N360" s="2">
        <v>1.3152999999999999</v>
      </c>
      <c r="O360" s="2">
        <v>1.3967000000000001</v>
      </c>
      <c r="P360" s="2">
        <v>1.478</v>
      </c>
      <c r="Q360" s="2">
        <v>1.5593999999999999</v>
      </c>
      <c r="R360" t="s">
        <v>6</v>
      </c>
      <c r="S360" t="s">
        <v>127</v>
      </c>
    </row>
    <row r="361" spans="1:19" x14ac:dyDescent="0.25">
      <c r="B361" t="s">
        <v>7</v>
      </c>
      <c r="C361" s="2">
        <v>0.70779999999999998</v>
      </c>
      <c r="D361" s="2">
        <v>0.76539999999999997</v>
      </c>
      <c r="E361" s="2">
        <v>0.82299999999999995</v>
      </c>
      <c r="F361" s="2">
        <v>0.90529999999999999</v>
      </c>
      <c r="G361" s="2">
        <v>0.96289999999999998</v>
      </c>
      <c r="H361" s="2">
        <v>1.0287999999999999</v>
      </c>
      <c r="I361" s="2">
        <v>1.1193</v>
      </c>
      <c r="J361" s="2">
        <v>1.2098</v>
      </c>
      <c r="K361" s="2">
        <v>1.3003</v>
      </c>
      <c r="L361" s="2">
        <v>1.3991</v>
      </c>
      <c r="M361" s="2">
        <v>1.4979</v>
      </c>
      <c r="N361" s="2">
        <v>1.5966</v>
      </c>
      <c r="O361" s="2">
        <v>1.6954</v>
      </c>
      <c r="P361" s="2">
        <v>1.7941</v>
      </c>
      <c r="Q361" s="2">
        <v>1.8929</v>
      </c>
      <c r="R361" t="s">
        <v>6</v>
      </c>
      <c r="S361" t="s">
        <v>127</v>
      </c>
    </row>
    <row r="362" spans="1:19" x14ac:dyDescent="0.25">
      <c r="B362" t="s">
        <v>227</v>
      </c>
      <c r="C362" s="2">
        <v>0.6</v>
      </c>
      <c r="D362" s="2">
        <v>0.6</v>
      </c>
      <c r="E362" s="2">
        <v>0.6</v>
      </c>
      <c r="F362" s="2">
        <v>0.6</v>
      </c>
      <c r="G362" s="2">
        <v>0.6</v>
      </c>
      <c r="H362" s="2">
        <v>0.6</v>
      </c>
      <c r="I362" s="2">
        <v>0.6</v>
      </c>
      <c r="J362" s="2">
        <v>0.6</v>
      </c>
      <c r="K362" s="2">
        <v>0.6</v>
      </c>
      <c r="L362" s="2">
        <v>0.6</v>
      </c>
      <c r="M362" s="2">
        <v>0.6</v>
      </c>
      <c r="N362" s="2">
        <v>0.6</v>
      </c>
      <c r="O362" s="2">
        <v>0.6</v>
      </c>
      <c r="P362" s="2">
        <v>0.6</v>
      </c>
      <c r="Q362" s="2">
        <v>0.6</v>
      </c>
      <c r="R362" t="s">
        <v>6</v>
      </c>
      <c r="S362" t="s">
        <v>127</v>
      </c>
    </row>
    <row r="363" spans="1:19" x14ac:dyDescent="0.25">
      <c r="B363" t="s">
        <v>140</v>
      </c>
      <c r="C363" s="2">
        <v>0.55900000000000005</v>
      </c>
      <c r="D363" s="2">
        <v>0.60450000000000004</v>
      </c>
      <c r="E363" s="2">
        <v>0.65</v>
      </c>
      <c r="F363" s="2">
        <v>0.71499999999999997</v>
      </c>
      <c r="G363" s="2">
        <v>0.76049999999999995</v>
      </c>
      <c r="H363" s="2">
        <v>0.8125</v>
      </c>
      <c r="I363" s="2">
        <v>0.88400000000000001</v>
      </c>
      <c r="J363" s="2">
        <v>0.95550000000000002</v>
      </c>
      <c r="K363" s="2">
        <v>1.0269999999999999</v>
      </c>
      <c r="L363" s="2">
        <v>1.105</v>
      </c>
      <c r="M363" s="2">
        <v>1.1830000000000001</v>
      </c>
      <c r="N363" s="2">
        <v>1.2609999999999999</v>
      </c>
      <c r="O363" s="2">
        <v>1.339</v>
      </c>
      <c r="P363" s="2">
        <v>1.417</v>
      </c>
      <c r="Q363" s="2">
        <v>1.4950000000000001</v>
      </c>
      <c r="R363" t="s">
        <v>5</v>
      </c>
      <c r="S363" t="s">
        <v>127</v>
      </c>
    </row>
    <row r="364" spans="1:19" x14ac:dyDescent="0.25">
      <c r="B364" t="s">
        <v>141</v>
      </c>
      <c r="C364" s="2">
        <v>0.60719999999999996</v>
      </c>
      <c r="D364" s="2">
        <v>0.65659999999999996</v>
      </c>
      <c r="E364" s="2">
        <v>0.70599999999999996</v>
      </c>
      <c r="F364" s="2">
        <v>0.77659999999999996</v>
      </c>
      <c r="G364" s="2">
        <v>0.82599999999999996</v>
      </c>
      <c r="H364" s="2">
        <v>0.88249999999999995</v>
      </c>
      <c r="I364" s="2">
        <v>0.96020000000000005</v>
      </c>
      <c r="J364" s="2">
        <v>1.0378000000000001</v>
      </c>
      <c r="K364" s="2">
        <v>1.1154999999999999</v>
      </c>
      <c r="L364" s="2">
        <v>1.2001999999999999</v>
      </c>
      <c r="M364" s="2">
        <v>1.2848999999999999</v>
      </c>
      <c r="N364" s="2">
        <v>1.3695999999999999</v>
      </c>
      <c r="O364" s="2">
        <v>1.4543999999999999</v>
      </c>
      <c r="P364" s="2">
        <v>1.5390999999999999</v>
      </c>
      <c r="Q364" s="2">
        <v>1.6237999999999999</v>
      </c>
      <c r="R364" t="s">
        <v>5</v>
      </c>
      <c r="S364" t="s">
        <v>127</v>
      </c>
    </row>
    <row r="365" spans="1:19" x14ac:dyDescent="0.25">
      <c r="B365" t="s">
        <v>155</v>
      </c>
      <c r="C365" s="2">
        <v>0.63929999999999998</v>
      </c>
      <c r="D365" s="2">
        <v>0.69140000000000001</v>
      </c>
      <c r="E365" s="2">
        <v>0.74339999999999995</v>
      </c>
      <c r="F365" s="2">
        <v>0.81769999999999998</v>
      </c>
      <c r="G365" s="2">
        <v>0.86980000000000002</v>
      </c>
      <c r="H365" s="2">
        <v>0.92930000000000001</v>
      </c>
      <c r="I365" s="2">
        <v>1.0109999999999999</v>
      </c>
      <c r="J365" s="2">
        <v>1.0928</v>
      </c>
      <c r="K365" s="2">
        <v>1.1746000000000001</v>
      </c>
      <c r="L365" s="2">
        <v>1.2638</v>
      </c>
      <c r="M365" s="2">
        <v>1.353</v>
      </c>
      <c r="N365" s="2">
        <v>1.4421999999999999</v>
      </c>
      <c r="O365" s="2">
        <v>1.5314000000000001</v>
      </c>
      <c r="P365" s="2">
        <v>1.6206</v>
      </c>
      <c r="Q365" s="2">
        <v>1.7098</v>
      </c>
      <c r="R365" t="s">
        <v>3</v>
      </c>
      <c r="S365" t="s">
        <v>127</v>
      </c>
    </row>
    <row r="366" spans="1:19" x14ac:dyDescent="0.25">
      <c r="B366" t="s">
        <v>135</v>
      </c>
      <c r="C366" s="2">
        <v>1.2784</v>
      </c>
      <c r="D366" s="2">
        <v>1.3824000000000001</v>
      </c>
      <c r="E366" s="2">
        <v>1.4864999999999999</v>
      </c>
      <c r="F366" s="2">
        <v>1.6351</v>
      </c>
      <c r="G366" s="2">
        <v>1.7392000000000001</v>
      </c>
      <c r="H366" s="2">
        <v>1.8581000000000001</v>
      </c>
      <c r="I366" s="2">
        <v>2.0215999999999998</v>
      </c>
      <c r="J366" s="2">
        <v>2.1850999999999998</v>
      </c>
      <c r="K366" s="2">
        <v>2.3485999999999998</v>
      </c>
      <c r="L366" s="2">
        <v>2.5270000000000001</v>
      </c>
      <c r="M366" s="2">
        <v>2.7054</v>
      </c>
      <c r="N366" s="2">
        <v>2.8837999999999999</v>
      </c>
      <c r="O366" s="2">
        <v>3.0621999999999998</v>
      </c>
      <c r="P366" s="2">
        <v>3.2404999999999999</v>
      </c>
      <c r="Q366" s="2">
        <v>3.4188999999999998</v>
      </c>
      <c r="R366" t="s">
        <v>3</v>
      </c>
      <c r="S366" t="s">
        <v>127</v>
      </c>
    </row>
    <row r="367" spans="1:19" x14ac:dyDescent="0.25">
      <c r="B367" t="s">
        <v>136</v>
      </c>
      <c r="C367" s="2">
        <v>1.5968</v>
      </c>
      <c r="D367" s="2">
        <v>1.7266999999999999</v>
      </c>
      <c r="E367" s="2">
        <v>1.8567</v>
      </c>
      <c r="F367" s="2">
        <v>2.0424000000000002</v>
      </c>
      <c r="G367" s="2">
        <v>2.1722999999999999</v>
      </c>
      <c r="H367" s="2">
        <v>2.3209</v>
      </c>
      <c r="I367" s="2">
        <v>2.5251000000000001</v>
      </c>
      <c r="J367" s="2">
        <v>2.7292999999999998</v>
      </c>
      <c r="K367" s="2">
        <v>2.9336000000000002</v>
      </c>
      <c r="L367" s="2">
        <v>3.1564000000000001</v>
      </c>
      <c r="M367" s="2">
        <v>3.3792</v>
      </c>
      <c r="N367" s="2">
        <v>3.6019999999999999</v>
      </c>
      <c r="O367" s="2">
        <v>3.8248000000000002</v>
      </c>
      <c r="P367" s="2">
        <v>4.0476000000000001</v>
      </c>
      <c r="Q367" s="2">
        <v>4.2704000000000004</v>
      </c>
      <c r="R367" t="s">
        <v>3</v>
      </c>
      <c r="S367" t="s">
        <v>127</v>
      </c>
    </row>
    <row r="368" spans="1:19" x14ac:dyDescent="0.25">
      <c r="B368" t="s">
        <v>4</v>
      </c>
      <c r="C368" s="2">
        <v>2.48</v>
      </c>
      <c r="D368" s="2">
        <v>2.6659999999999999</v>
      </c>
      <c r="E368" s="2">
        <v>2.8519999999999999</v>
      </c>
      <c r="F368" s="2">
        <v>3.1</v>
      </c>
      <c r="G368" s="2">
        <v>3.286</v>
      </c>
      <c r="H368" s="2">
        <v>3.472</v>
      </c>
      <c r="I368" s="2">
        <v>3.72</v>
      </c>
      <c r="J368" s="2">
        <v>3.968</v>
      </c>
      <c r="K368" s="2">
        <v>4.2160000000000002</v>
      </c>
      <c r="L368" s="2">
        <v>4.4640000000000004</v>
      </c>
      <c r="M368" s="2">
        <v>4.7119999999999997</v>
      </c>
      <c r="N368" s="2">
        <v>4.96</v>
      </c>
      <c r="O368" s="2">
        <v>5.27</v>
      </c>
      <c r="P368" s="2">
        <v>5.58</v>
      </c>
      <c r="Q368" s="2">
        <v>5.89</v>
      </c>
      <c r="R368" t="s">
        <v>19</v>
      </c>
      <c r="S368" t="s">
        <v>127</v>
      </c>
    </row>
    <row r="369" spans="1:19" x14ac:dyDescent="0.25">
      <c r="B369" t="s">
        <v>222</v>
      </c>
      <c r="C369" s="2">
        <v>1.48</v>
      </c>
      <c r="D369" s="2">
        <v>1.591</v>
      </c>
      <c r="E369" s="2">
        <v>1.702</v>
      </c>
      <c r="F369" s="2">
        <v>1.85</v>
      </c>
      <c r="G369" s="2">
        <v>1.9610000000000001</v>
      </c>
      <c r="H369" s="2">
        <v>2.0720000000000001</v>
      </c>
      <c r="I369" s="2">
        <v>2.2200000000000002</v>
      </c>
      <c r="J369" s="2">
        <v>2.3679999999999999</v>
      </c>
      <c r="K369" s="2">
        <v>2.516</v>
      </c>
      <c r="L369" s="2">
        <v>2.6640000000000001</v>
      </c>
      <c r="M369" s="2">
        <v>2.8119999999999998</v>
      </c>
      <c r="N369" s="2">
        <v>2.96</v>
      </c>
      <c r="O369" s="2">
        <v>3.145</v>
      </c>
      <c r="P369" s="2">
        <v>3.33</v>
      </c>
      <c r="Q369" s="2">
        <v>3.5150000000000001</v>
      </c>
      <c r="R369" t="s">
        <v>0</v>
      </c>
      <c r="S369" t="s">
        <v>127</v>
      </c>
    </row>
    <row r="370" spans="1:19" x14ac:dyDescent="0.25">
      <c r="B370" s="3" t="s">
        <v>771</v>
      </c>
      <c r="C370" s="23"/>
      <c r="D370" s="23"/>
      <c r="E370" s="23"/>
      <c r="F370" s="23"/>
      <c r="G370" s="23"/>
      <c r="H370" s="23"/>
      <c r="I370" s="23"/>
      <c r="J370" s="23"/>
      <c r="K370" s="23"/>
      <c r="L370" s="23"/>
      <c r="M370" s="23"/>
      <c r="N370" s="23"/>
      <c r="O370" s="23"/>
      <c r="P370" s="23"/>
      <c r="Q370" s="23"/>
      <c r="R370" s="5" t="s">
        <v>771</v>
      </c>
      <c r="S370" t="s">
        <v>772</v>
      </c>
    </row>
    <row r="371" spans="1:19" x14ac:dyDescent="0.25">
      <c r="B371" s="3" t="s">
        <v>390</v>
      </c>
      <c r="C371" s="23"/>
      <c r="D371" s="23"/>
      <c r="E371" s="23"/>
      <c r="F371" s="23"/>
      <c r="G371" s="23"/>
      <c r="H371" s="23"/>
      <c r="I371" s="23"/>
      <c r="J371" s="23"/>
      <c r="K371" s="23"/>
      <c r="L371" s="23"/>
      <c r="M371" s="23"/>
      <c r="N371" s="23"/>
      <c r="O371" s="23"/>
      <c r="P371" s="23"/>
      <c r="Q371" s="23"/>
      <c r="R371" s="5" t="s">
        <v>396</v>
      </c>
      <c r="S371" t="s">
        <v>69</v>
      </c>
    </row>
    <row r="372" spans="1:19" x14ac:dyDescent="0.25">
      <c r="B372" s="3" t="s">
        <v>392</v>
      </c>
      <c r="C372" s="23"/>
      <c r="D372" s="23"/>
      <c r="E372" s="23"/>
      <c r="F372" s="23"/>
      <c r="G372" s="23"/>
      <c r="H372" s="23"/>
      <c r="I372" s="23"/>
      <c r="J372" s="23"/>
      <c r="K372" s="23"/>
      <c r="L372" s="23"/>
      <c r="M372" s="23"/>
      <c r="N372" s="23"/>
      <c r="O372" s="23"/>
      <c r="P372" s="23"/>
      <c r="Q372" s="23"/>
      <c r="R372" s="5" t="s">
        <v>396</v>
      </c>
      <c r="S372" t="s">
        <v>69</v>
      </c>
    </row>
    <row r="373" spans="1:19" x14ac:dyDescent="0.25">
      <c r="B373" s="3" t="s">
        <v>393</v>
      </c>
      <c r="C373" s="23"/>
      <c r="D373" s="23"/>
      <c r="E373" s="23"/>
      <c r="F373" s="23"/>
      <c r="G373" s="23"/>
      <c r="H373" s="23"/>
      <c r="I373" s="23"/>
      <c r="J373" s="23"/>
      <c r="K373" s="23"/>
      <c r="L373" s="23"/>
      <c r="M373" s="23"/>
      <c r="N373" s="23"/>
      <c r="O373" s="23"/>
      <c r="P373" s="23"/>
      <c r="Q373" s="23"/>
      <c r="R373" s="5" t="s">
        <v>396</v>
      </c>
      <c r="S373" t="s">
        <v>69</v>
      </c>
    </row>
    <row r="374" spans="1:19" x14ac:dyDescent="0.25">
      <c r="B374" s="3" t="s">
        <v>389</v>
      </c>
      <c r="C374" s="23"/>
      <c r="D374" s="23"/>
      <c r="E374" s="23"/>
      <c r="F374" s="23"/>
      <c r="G374" s="23"/>
      <c r="H374" s="23"/>
      <c r="I374" s="23"/>
      <c r="J374" s="23"/>
      <c r="K374" s="23"/>
      <c r="L374" s="23"/>
      <c r="M374" s="23"/>
      <c r="N374" s="23"/>
      <c r="O374" s="23"/>
      <c r="P374" s="23"/>
      <c r="Q374" s="23"/>
      <c r="R374" s="5" t="s">
        <v>396</v>
      </c>
      <c r="S374" t="s">
        <v>69</v>
      </c>
    </row>
    <row r="375" spans="1:19" x14ac:dyDescent="0.25">
      <c r="B375" s="3" t="s">
        <v>391</v>
      </c>
      <c r="C375" s="23"/>
      <c r="D375" s="23"/>
      <c r="E375" s="23"/>
      <c r="F375" s="23"/>
      <c r="G375" s="23"/>
      <c r="H375" s="23"/>
      <c r="I375" s="23"/>
      <c r="J375" s="23"/>
      <c r="K375" s="23"/>
      <c r="L375" s="23"/>
      <c r="M375" s="23"/>
      <c r="N375" s="23"/>
      <c r="O375" s="23"/>
      <c r="P375" s="23"/>
      <c r="Q375" s="23"/>
      <c r="R375" s="5" t="s">
        <v>396</v>
      </c>
      <c r="S375" t="s">
        <v>69</v>
      </c>
    </row>
    <row r="376" spans="1:19" x14ac:dyDescent="0.25">
      <c r="B376" s="3" t="s">
        <v>394</v>
      </c>
      <c r="C376" s="23"/>
      <c r="D376" s="23"/>
      <c r="E376" s="23"/>
      <c r="F376" s="23"/>
      <c r="G376" s="23"/>
      <c r="H376" s="23"/>
      <c r="I376" s="23"/>
      <c r="J376" s="23"/>
      <c r="K376" s="23"/>
      <c r="L376" s="23"/>
      <c r="M376" s="23"/>
      <c r="N376" s="23"/>
      <c r="O376" s="23"/>
      <c r="P376" s="23"/>
      <c r="Q376" s="23"/>
      <c r="R376" s="5" t="s">
        <v>396</v>
      </c>
      <c r="S376" t="s">
        <v>69</v>
      </c>
    </row>
    <row r="377" spans="1:19" x14ac:dyDescent="0.25">
      <c r="B377" s="3" t="s">
        <v>395</v>
      </c>
      <c r="C377" s="23"/>
      <c r="D377" s="23"/>
      <c r="E377" s="23"/>
      <c r="F377" s="23"/>
      <c r="G377" s="23"/>
      <c r="H377" s="23"/>
      <c r="I377" s="23"/>
      <c r="J377" s="23"/>
      <c r="K377" s="23"/>
      <c r="L377" s="23"/>
      <c r="M377" s="23"/>
      <c r="N377" s="23"/>
      <c r="O377" s="23"/>
      <c r="P377" s="23"/>
      <c r="Q377" s="23"/>
      <c r="R377" s="5" t="s">
        <v>396</v>
      </c>
      <c r="S377" t="s">
        <v>69</v>
      </c>
    </row>
    <row r="378" spans="1:19" x14ac:dyDescent="0.25">
      <c r="A378" t="s">
        <v>856</v>
      </c>
      <c r="B378" s="3" t="s">
        <v>397</v>
      </c>
      <c r="C378" s="23"/>
      <c r="D378" s="23"/>
      <c r="E378" s="23"/>
      <c r="F378" s="23"/>
      <c r="G378" s="23"/>
      <c r="H378" s="23"/>
      <c r="I378" s="23"/>
      <c r="J378" s="23"/>
      <c r="K378" s="23"/>
      <c r="L378" s="23"/>
      <c r="M378" s="23"/>
      <c r="N378" s="23"/>
      <c r="O378" s="23"/>
      <c r="P378" s="23"/>
      <c r="Q378" s="23"/>
      <c r="R378" s="5" t="s">
        <v>396</v>
      </c>
      <c r="S378" t="s">
        <v>69</v>
      </c>
    </row>
    <row r="379" spans="1:19" x14ac:dyDescent="0.25">
      <c r="B379" t="s">
        <v>817</v>
      </c>
      <c r="C379" s="21">
        <v>1</v>
      </c>
      <c r="D379" s="21">
        <v>2</v>
      </c>
      <c r="E379" s="21">
        <v>3</v>
      </c>
      <c r="F379" s="21">
        <v>4</v>
      </c>
      <c r="G379" s="21">
        <v>5</v>
      </c>
      <c r="H379" s="21">
        <v>6</v>
      </c>
      <c r="I379" s="21">
        <v>7</v>
      </c>
      <c r="J379" s="21">
        <v>8</v>
      </c>
      <c r="K379" s="21">
        <v>9</v>
      </c>
      <c r="L379" s="21">
        <v>10</v>
      </c>
      <c r="M379" s="21">
        <v>11</v>
      </c>
      <c r="N379" s="21">
        <v>12</v>
      </c>
      <c r="O379" s="21">
        <v>13</v>
      </c>
      <c r="P379" s="21">
        <v>14</v>
      </c>
      <c r="Q379" s="21">
        <v>15</v>
      </c>
      <c r="R379" s="5" t="s">
        <v>11</v>
      </c>
      <c r="S379" t="s">
        <v>126</v>
      </c>
    </row>
    <row r="380" spans="1:19" x14ac:dyDescent="0.25">
      <c r="A380" t="s">
        <v>857</v>
      </c>
      <c r="B380" t="s">
        <v>10</v>
      </c>
      <c r="C380" s="2">
        <v>0.3775</v>
      </c>
      <c r="D380" s="2">
        <v>0.4083</v>
      </c>
      <c r="E380" s="2">
        <v>0.439</v>
      </c>
      <c r="F380" s="2">
        <v>0.4829</v>
      </c>
      <c r="G380" s="2">
        <v>0.51359999999999995</v>
      </c>
      <c r="H380" s="2">
        <v>0.54879999999999995</v>
      </c>
      <c r="I380" s="2">
        <v>0.59699999999999998</v>
      </c>
      <c r="J380" s="2">
        <v>0.64529999999999998</v>
      </c>
      <c r="K380" s="2">
        <v>0.69359999999999999</v>
      </c>
      <c r="L380" s="2">
        <v>0.74629999999999996</v>
      </c>
      <c r="M380" s="2">
        <v>0.79900000000000004</v>
      </c>
      <c r="N380" s="2">
        <v>0.85170000000000001</v>
      </c>
      <c r="O380" s="2">
        <v>0.90429999999999999</v>
      </c>
      <c r="P380" s="2">
        <v>0.95699999999999996</v>
      </c>
      <c r="Q380" s="2">
        <v>1.0097</v>
      </c>
      <c r="R380" s="5" t="s">
        <v>6</v>
      </c>
      <c r="S380" t="s">
        <v>127</v>
      </c>
    </row>
    <row r="381" spans="1:19" x14ac:dyDescent="0.25">
      <c r="B381" t="s">
        <v>9</v>
      </c>
      <c r="C381" s="2">
        <v>0.3715</v>
      </c>
      <c r="D381" s="2">
        <v>0.40179999999999999</v>
      </c>
      <c r="E381" s="2">
        <v>0.432</v>
      </c>
      <c r="F381" s="2">
        <v>0.47520000000000001</v>
      </c>
      <c r="G381" s="2">
        <v>0.50539999999999996</v>
      </c>
      <c r="H381" s="2">
        <v>0.54</v>
      </c>
      <c r="I381" s="2">
        <v>0.58750000000000002</v>
      </c>
      <c r="J381" s="2">
        <v>0.63500000000000001</v>
      </c>
      <c r="K381" s="2">
        <v>0.68259999999999998</v>
      </c>
      <c r="L381" s="2">
        <v>0.73440000000000005</v>
      </c>
      <c r="M381" s="2">
        <v>0.78620000000000001</v>
      </c>
      <c r="N381" s="2">
        <v>0.83809999999999996</v>
      </c>
      <c r="O381" s="2">
        <v>0.88990000000000002</v>
      </c>
      <c r="P381" s="2">
        <v>0.94179999999999997</v>
      </c>
      <c r="Q381" s="2">
        <v>0.99360000000000004</v>
      </c>
      <c r="R381" s="5" t="s">
        <v>6</v>
      </c>
      <c r="S381" t="s">
        <v>127</v>
      </c>
    </row>
    <row r="382" spans="1:19" x14ac:dyDescent="0.25">
      <c r="B382" t="s">
        <v>8</v>
      </c>
      <c r="C382" s="2">
        <v>0.4945</v>
      </c>
      <c r="D382" s="2">
        <v>0.53480000000000005</v>
      </c>
      <c r="E382" s="2">
        <v>0.57499999999999996</v>
      </c>
      <c r="F382" s="2">
        <v>0.63249999999999995</v>
      </c>
      <c r="G382" s="2">
        <v>0.67279999999999995</v>
      </c>
      <c r="H382" s="2">
        <v>0.71879999999999999</v>
      </c>
      <c r="I382" s="2">
        <v>0.78200000000000003</v>
      </c>
      <c r="J382" s="2">
        <v>0.84530000000000005</v>
      </c>
      <c r="K382" s="2">
        <v>0.90849999999999997</v>
      </c>
      <c r="L382" s="2">
        <v>0.97750000000000004</v>
      </c>
      <c r="M382" s="2">
        <v>1.0465</v>
      </c>
      <c r="N382" s="2">
        <v>1.1154999999999999</v>
      </c>
      <c r="O382" s="2">
        <v>1.1845000000000001</v>
      </c>
      <c r="P382" s="2">
        <v>1.2535000000000001</v>
      </c>
      <c r="Q382" s="2">
        <v>1.3225</v>
      </c>
      <c r="R382" s="5" t="s">
        <v>6</v>
      </c>
      <c r="S382" t="s">
        <v>127</v>
      </c>
    </row>
    <row r="383" spans="1:19" x14ac:dyDescent="0.25">
      <c r="B383" t="s">
        <v>13</v>
      </c>
      <c r="C383" s="2">
        <v>0.59</v>
      </c>
      <c r="D383" s="2">
        <v>0.63800000000000001</v>
      </c>
      <c r="E383" s="2">
        <v>0.68600000000000005</v>
      </c>
      <c r="F383" s="2">
        <v>0.75460000000000005</v>
      </c>
      <c r="G383" s="2">
        <v>0.80259999999999998</v>
      </c>
      <c r="H383" s="2">
        <v>0.85750000000000004</v>
      </c>
      <c r="I383" s="2">
        <v>0.93300000000000005</v>
      </c>
      <c r="J383" s="2">
        <v>1.0084</v>
      </c>
      <c r="K383" s="2">
        <v>1.0839000000000001</v>
      </c>
      <c r="L383" s="2">
        <v>1.1661999999999999</v>
      </c>
      <c r="M383" s="2">
        <v>1.2484999999999999</v>
      </c>
      <c r="N383" s="2">
        <v>1.3308</v>
      </c>
      <c r="O383" s="2">
        <v>1.4132</v>
      </c>
      <c r="P383" s="2">
        <v>1.4955000000000001</v>
      </c>
      <c r="Q383" s="2">
        <v>1.5778000000000001</v>
      </c>
      <c r="R383" s="5" t="s">
        <v>6</v>
      </c>
      <c r="S383" t="s">
        <v>127</v>
      </c>
    </row>
    <row r="384" spans="1:19" x14ac:dyDescent="0.25">
      <c r="B384" t="s">
        <v>133</v>
      </c>
      <c r="C384" s="2">
        <v>0.43859999999999999</v>
      </c>
      <c r="D384" s="2">
        <v>0.4743</v>
      </c>
      <c r="E384" s="2">
        <v>0.51</v>
      </c>
      <c r="F384" s="2">
        <v>0.56100000000000005</v>
      </c>
      <c r="G384" s="2">
        <v>0.59670000000000001</v>
      </c>
      <c r="H384" s="2">
        <v>0.63749999999999996</v>
      </c>
      <c r="I384" s="2">
        <v>0.69359999999999999</v>
      </c>
      <c r="J384" s="2">
        <v>0.74970000000000003</v>
      </c>
      <c r="K384" s="2">
        <v>0.80579999999999996</v>
      </c>
      <c r="L384" s="2">
        <v>0.86699999999999999</v>
      </c>
      <c r="M384" s="2">
        <v>0.92820000000000003</v>
      </c>
      <c r="N384" s="2">
        <v>0.98939999999999995</v>
      </c>
      <c r="O384" s="2">
        <v>1.0506</v>
      </c>
      <c r="P384" s="2">
        <v>1.1117999999999999</v>
      </c>
      <c r="Q384" s="2">
        <v>1.173</v>
      </c>
      <c r="R384" s="5" t="s">
        <v>5</v>
      </c>
      <c r="S384" t="s">
        <v>127</v>
      </c>
    </row>
    <row r="385" spans="2:20" x14ac:dyDescent="0.25">
      <c r="B385" t="s">
        <v>134</v>
      </c>
      <c r="C385" s="2">
        <v>1.24</v>
      </c>
      <c r="D385" s="2">
        <v>1.333</v>
      </c>
      <c r="E385" s="2">
        <v>1.4259999999999999</v>
      </c>
      <c r="F385" s="2">
        <v>1.55</v>
      </c>
      <c r="G385" s="2">
        <v>1.643</v>
      </c>
      <c r="H385" s="2">
        <v>1.736</v>
      </c>
      <c r="I385" s="2">
        <v>1.86</v>
      </c>
      <c r="J385" s="2">
        <v>1.984</v>
      </c>
      <c r="K385" s="2">
        <v>2.1080000000000001</v>
      </c>
      <c r="L385" s="2">
        <v>2.2320000000000002</v>
      </c>
      <c r="M385" s="2">
        <v>2.3559999999999999</v>
      </c>
      <c r="N385" s="2">
        <v>2.48</v>
      </c>
      <c r="O385" s="2">
        <v>2.6349999999999998</v>
      </c>
      <c r="P385" s="2">
        <v>2.79</v>
      </c>
      <c r="Q385" s="2">
        <v>2.9449999999999998</v>
      </c>
      <c r="R385" s="5" t="s">
        <v>5</v>
      </c>
      <c r="S385" t="s">
        <v>127</v>
      </c>
    </row>
    <row r="386" spans="2:20" x14ac:dyDescent="0.25">
      <c r="B386" t="s">
        <v>155</v>
      </c>
      <c r="C386" s="2">
        <v>0.56830000000000003</v>
      </c>
      <c r="D386" s="2">
        <v>0.61450000000000005</v>
      </c>
      <c r="E386" s="2">
        <v>0.66080000000000005</v>
      </c>
      <c r="F386" s="2">
        <v>0.72689999999999999</v>
      </c>
      <c r="G386" s="2">
        <v>0.77310000000000001</v>
      </c>
      <c r="H386" s="2">
        <v>0.82599999999999996</v>
      </c>
      <c r="I386" s="2">
        <v>0.89870000000000005</v>
      </c>
      <c r="J386" s="2">
        <v>0.97140000000000004</v>
      </c>
      <c r="K386" s="2">
        <v>1.0441</v>
      </c>
      <c r="L386" s="2">
        <v>1.1234</v>
      </c>
      <c r="M386" s="2">
        <v>1.2027000000000001</v>
      </c>
      <c r="N386" s="2">
        <v>1.282</v>
      </c>
      <c r="O386" s="2">
        <v>1.3612</v>
      </c>
      <c r="P386" s="2">
        <v>1.4404999999999999</v>
      </c>
      <c r="Q386" s="2">
        <v>1.5198</v>
      </c>
      <c r="R386" s="5" t="s">
        <v>3</v>
      </c>
      <c r="S386" t="s">
        <v>127</v>
      </c>
    </row>
    <row r="387" spans="2:20" x14ac:dyDescent="0.25">
      <c r="B387" t="s">
        <v>135</v>
      </c>
      <c r="C387" s="2">
        <v>1.1363000000000001</v>
      </c>
      <c r="D387" s="2">
        <v>1.2287999999999999</v>
      </c>
      <c r="E387" s="2">
        <v>1.3212999999999999</v>
      </c>
      <c r="F387" s="2">
        <v>1.4535</v>
      </c>
      <c r="G387" s="2">
        <v>1.5459000000000001</v>
      </c>
      <c r="H387" s="2">
        <v>1.6516999999999999</v>
      </c>
      <c r="I387" s="2">
        <v>1.7969999999999999</v>
      </c>
      <c r="J387" s="2">
        <v>1.9422999999999999</v>
      </c>
      <c r="K387" s="2">
        <v>2.0876999999999999</v>
      </c>
      <c r="L387" s="2">
        <v>2.2462</v>
      </c>
      <c r="M387" s="2">
        <v>2.4047999999999998</v>
      </c>
      <c r="N387" s="2">
        <v>2.5634000000000001</v>
      </c>
      <c r="O387" s="2">
        <v>2.7219000000000002</v>
      </c>
      <c r="P387" s="2">
        <v>2.8805000000000001</v>
      </c>
      <c r="Q387" s="2">
        <v>3.0390000000000001</v>
      </c>
      <c r="R387" s="5" t="s">
        <v>3</v>
      </c>
      <c r="S387" t="s">
        <v>127</v>
      </c>
    </row>
    <row r="388" spans="2:20" x14ac:dyDescent="0.25">
      <c r="B388" t="s">
        <v>136</v>
      </c>
      <c r="C388" s="2">
        <v>1.4193</v>
      </c>
      <c r="D388" s="2">
        <v>1.5348999999999999</v>
      </c>
      <c r="E388" s="2">
        <v>1.6504000000000001</v>
      </c>
      <c r="F388" s="2">
        <v>1.8153999999999999</v>
      </c>
      <c r="G388" s="2">
        <v>1.931</v>
      </c>
      <c r="H388" s="2">
        <v>2.0630000000000002</v>
      </c>
      <c r="I388" s="2">
        <v>2.2444999999999999</v>
      </c>
      <c r="J388" s="2">
        <v>2.4260999999999999</v>
      </c>
      <c r="K388" s="2">
        <v>2.6076000000000001</v>
      </c>
      <c r="L388" s="2">
        <v>2.8056999999999999</v>
      </c>
      <c r="M388" s="2">
        <v>3.0036999999999998</v>
      </c>
      <c r="N388" s="2">
        <v>3.2018</v>
      </c>
      <c r="O388" s="2">
        <v>3.3997999999999999</v>
      </c>
      <c r="P388" s="2">
        <v>3.5979000000000001</v>
      </c>
      <c r="Q388" s="2">
        <v>3.7959000000000001</v>
      </c>
      <c r="R388" s="5" t="s">
        <v>3</v>
      </c>
      <c r="S388" t="s">
        <v>127</v>
      </c>
    </row>
    <row r="389" spans="2:20" x14ac:dyDescent="0.25">
      <c r="B389" t="s">
        <v>4</v>
      </c>
      <c r="C389" s="2">
        <v>1.0720000000000001</v>
      </c>
      <c r="D389" s="2">
        <v>1.1524000000000001</v>
      </c>
      <c r="E389" s="2">
        <v>1.2327999999999999</v>
      </c>
      <c r="F389" s="2">
        <v>1.34</v>
      </c>
      <c r="G389" s="2">
        <v>1.4204000000000001</v>
      </c>
      <c r="H389" s="2">
        <v>1.5007999999999999</v>
      </c>
      <c r="I389" s="2">
        <v>1.6080000000000001</v>
      </c>
      <c r="J389" s="2">
        <v>1.7152000000000001</v>
      </c>
      <c r="K389" s="2">
        <v>1.8224</v>
      </c>
      <c r="L389" s="2">
        <v>1.9296</v>
      </c>
      <c r="M389" s="2">
        <v>2.0367999999999999</v>
      </c>
      <c r="N389" s="2">
        <v>2.1440000000000001</v>
      </c>
      <c r="O389" s="2">
        <v>2.278</v>
      </c>
      <c r="P389" s="2">
        <v>2.4119999999999999</v>
      </c>
      <c r="Q389" s="2">
        <v>2.5459999999999998</v>
      </c>
      <c r="R389" t="s">
        <v>19</v>
      </c>
      <c r="S389" t="s">
        <v>127</v>
      </c>
    </row>
    <row r="390" spans="2:20" x14ac:dyDescent="0.25">
      <c r="B390" t="s">
        <v>173</v>
      </c>
      <c r="C390" s="2">
        <v>0.98219999999999996</v>
      </c>
      <c r="D390" s="2">
        <v>1.0558000000000001</v>
      </c>
      <c r="E390" s="2">
        <v>1.1294999999999999</v>
      </c>
      <c r="F390" s="2">
        <v>1.2277</v>
      </c>
      <c r="G390" s="2">
        <v>1.3013999999999999</v>
      </c>
      <c r="H390" s="2">
        <v>1.375</v>
      </c>
      <c r="I390" s="2">
        <v>1.4732000000000001</v>
      </c>
      <c r="J390" s="2">
        <v>1.5714999999999999</v>
      </c>
      <c r="K390" s="2">
        <v>1.6697</v>
      </c>
      <c r="L390" s="2">
        <v>1.7679</v>
      </c>
      <c r="M390" s="2">
        <v>1.8661000000000001</v>
      </c>
      <c r="N390" s="2">
        <v>1.9642999999999999</v>
      </c>
      <c r="O390" s="2">
        <v>2.0871</v>
      </c>
      <c r="P390" s="2">
        <v>2.2099000000000002</v>
      </c>
      <c r="Q390" s="2">
        <v>2.3325999999999998</v>
      </c>
      <c r="R390" s="5" t="s">
        <v>0</v>
      </c>
      <c r="S390" t="s">
        <v>130</v>
      </c>
    </row>
    <row r="391" spans="2:20" x14ac:dyDescent="0.25">
      <c r="B391" t="s">
        <v>818</v>
      </c>
      <c r="C391" s="2">
        <v>0.61299999999999999</v>
      </c>
      <c r="D391" s="2">
        <v>0.65900000000000003</v>
      </c>
      <c r="E391" s="2">
        <v>0.70499999999999996</v>
      </c>
      <c r="F391" s="2">
        <v>0.76629999999999998</v>
      </c>
      <c r="G391" s="2">
        <v>0.81220000000000003</v>
      </c>
      <c r="H391" s="2">
        <v>0.85819999999999996</v>
      </c>
      <c r="I391" s="2">
        <v>0.91949999999999998</v>
      </c>
      <c r="J391" s="2">
        <v>0.98080000000000001</v>
      </c>
      <c r="K391" s="2">
        <v>1.0421</v>
      </c>
      <c r="L391" s="2">
        <v>1.1033999999999999</v>
      </c>
      <c r="M391" s="2">
        <v>1.1647000000000001</v>
      </c>
      <c r="N391" s="2">
        <v>1.226</v>
      </c>
      <c r="O391" s="2">
        <v>1.3026</v>
      </c>
      <c r="P391" s="2">
        <v>1.3793</v>
      </c>
      <c r="Q391" s="2">
        <v>1.4559</v>
      </c>
      <c r="R391" s="5" t="s">
        <v>0</v>
      </c>
      <c r="S391" t="s">
        <v>130</v>
      </c>
    </row>
    <row r="392" spans="2:20" x14ac:dyDescent="0.25">
      <c r="B392" t="s">
        <v>823</v>
      </c>
      <c r="C392" s="2">
        <v>1.56</v>
      </c>
      <c r="D392" s="2">
        <v>1.56</v>
      </c>
      <c r="E392" s="2">
        <v>1.56</v>
      </c>
      <c r="F392" s="2">
        <v>1.56</v>
      </c>
      <c r="G392" s="2">
        <v>1.56</v>
      </c>
      <c r="H392" s="2">
        <v>1.56</v>
      </c>
      <c r="I392" s="2">
        <v>1.56</v>
      </c>
      <c r="J392" s="2">
        <v>1.56</v>
      </c>
      <c r="K392" s="2">
        <v>1.56</v>
      </c>
      <c r="L392" s="2">
        <v>1.56</v>
      </c>
      <c r="M392" s="2">
        <v>1.56</v>
      </c>
      <c r="N392" s="2">
        <v>1.56</v>
      </c>
      <c r="O392" s="2">
        <v>1.56</v>
      </c>
      <c r="P392" s="2">
        <v>1.56</v>
      </c>
      <c r="Q392" s="2">
        <v>1.56</v>
      </c>
      <c r="R392" s="5" t="s">
        <v>19</v>
      </c>
      <c r="S392" t="s">
        <v>130</v>
      </c>
    </row>
    <row r="393" spans="2:20" x14ac:dyDescent="0.25">
      <c r="B393" t="s">
        <v>374</v>
      </c>
      <c r="C393" s="2">
        <v>0.156</v>
      </c>
      <c r="D393" s="2">
        <v>0.156</v>
      </c>
      <c r="E393" s="2">
        <v>0.156</v>
      </c>
      <c r="F393" s="2">
        <v>0.156</v>
      </c>
      <c r="G393" s="2">
        <v>0.156</v>
      </c>
      <c r="H393" s="2">
        <v>0.156</v>
      </c>
      <c r="I393" s="2">
        <v>0.156</v>
      </c>
      <c r="J393" s="2">
        <v>0.156</v>
      </c>
      <c r="K393" s="2">
        <v>0.156</v>
      </c>
      <c r="L393" s="2">
        <v>0.156</v>
      </c>
      <c r="M393" s="2">
        <v>0.156</v>
      </c>
      <c r="N393" s="2">
        <v>0.156</v>
      </c>
      <c r="O393" s="2">
        <v>0.156</v>
      </c>
      <c r="P393" s="2">
        <v>0.156</v>
      </c>
      <c r="Q393" s="2">
        <v>0.156</v>
      </c>
      <c r="R393" s="5" t="s">
        <v>0</v>
      </c>
      <c r="S393" t="s">
        <v>130</v>
      </c>
    </row>
    <row r="394" spans="2:20" x14ac:dyDescent="0.25">
      <c r="B394" t="s">
        <v>927</v>
      </c>
      <c r="C394" s="2">
        <v>0.5</v>
      </c>
      <c r="D394" s="2">
        <v>0.5</v>
      </c>
      <c r="E394" s="2">
        <v>0.5</v>
      </c>
      <c r="F394" s="2">
        <v>0.5</v>
      </c>
      <c r="G394" s="2">
        <v>0.5</v>
      </c>
      <c r="H394" s="2">
        <v>0.5</v>
      </c>
      <c r="I394" s="2">
        <v>0.5</v>
      </c>
      <c r="J394" s="2">
        <v>0.5</v>
      </c>
      <c r="K394" s="2">
        <v>0.5</v>
      </c>
      <c r="L394" s="2">
        <v>0.5</v>
      </c>
      <c r="M394" s="2">
        <v>0.5</v>
      </c>
      <c r="N394" s="2">
        <v>0.5</v>
      </c>
      <c r="O394" s="2">
        <v>0.5</v>
      </c>
      <c r="P394" s="2">
        <v>0.5</v>
      </c>
      <c r="Q394" s="2">
        <v>0.5</v>
      </c>
      <c r="R394" s="5" t="s">
        <v>249</v>
      </c>
      <c r="S394" t="s">
        <v>130</v>
      </c>
      <c r="T394" t="s">
        <v>955</v>
      </c>
    </row>
    <row r="395" spans="2:20" x14ac:dyDescent="0.25">
      <c r="B395" s="3" t="s">
        <v>771</v>
      </c>
      <c r="C395" s="23"/>
      <c r="D395" s="23"/>
      <c r="E395" s="23"/>
      <c r="F395" s="23"/>
      <c r="G395" s="23"/>
      <c r="H395" s="23"/>
      <c r="I395" s="23"/>
      <c r="J395" s="23"/>
      <c r="K395" s="23"/>
      <c r="L395" s="23"/>
      <c r="M395" s="23"/>
      <c r="N395" s="23"/>
      <c r="O395" s="23"/>
      <c r="P395" s="23"/>
      <c r="Q395" s="23"/>
      <c r="R395" s="5" t="s">
        <v>771</v>
      </c>
      <c r="S395" t="s">
        <v>772</v>
      </c>
    </row>
    <row r="396" spans="2:20" x14ac:dyDescent="0.25">
      <c r="B396" s="3" t="s">
        <v>390</v>
      </c>
      <c r="C396" s="23"/>
      <c r="D396" s="23"/>
      <c r="E396" s="23"/>
      <c r="F396" s="23"/>
      <c r="G396" s="23"/>
      <c r="H396" s="23"/>
      <c r="I396" s="23"/>
      <c r="J396" s="23"/>
      <c r="K396" s="23"/>
      <c r="L396" s="23"/>
      <c r="M396" s="23"/>
      <c r="N396" s="23"/>
      <c r="O396" s="23"/>
      <c r="P396" s="23"/>
      <c r="Q396" s="23"/>
      <c r="R396" s="5" t="s">
        <v>396</v>
      </c>
      <c r="S396" t="s">
        <v>69</v>
      </c>
    </row>
    <row r="397" spans="2:20" x14ac:dyDescent="0.25">
      <c r="B397" s="3" t="s">
        <v>392</v>
      </c>
      <c r="C397" s="23"/>
      <c r="D397" s="23"/>
      <c r="E397" s="23"/>
      <c r="F397" s="23"/>
      <c r="G397" s="23"/>
      <c r="H397" s="23"/>
      <c r="I397" s="23"/>
      <c r="J397" s="23"/>
      <c r="K397" s="23"/>
      <c r="L397" s="23"/>
      <c r="M397" s="23"/>
      <c r="N397" s="23"/>
      <c r="O397" s="23"/>
      <c r="P397" s="23"/>
      <c r="Q397" s="23"/>
      <c r="R397" s="5" t="s">
        <v>396</v>
      </c>
      <c r="S397" t="s">
        <v>69</v>
      </c>
    </row>
    <row r="398" spans="2:20" x14ac:dyDescent="0.25">
      <c r="B398" s="3" t="s">
        <v>393</v>
      </c>
      <c r="C398" s="23"/>
      <c r="D398" s="23"/>
      <c r="E398" s="23"/>
      <c r="F398" s="23"/>
      <c r="G398" s="23"/>
      <c r="H398" s="23"/>
      <c r="I398" s="23"/>
      <c r="J398" s="23"/>
      <c r="K398" s="23"/>
      <c r="L398" s="23"/>
      <c r="M398" s="23"/>
      <c r="N398" s="23"/>
      <c r="O398" s="23"/>
      <c r="P398" s="23"/>
      <c r="Q398" s="23"/>
      <c r="R398" s="5" t="s">
        <v>396</v>
      </c>
      <c r="S398" t="s">
        <v>69</v>
      </c>
    </row>
    <row r="399" spans="2:20" x14ac:dyDescent="0.25">
      <c r="B399" s="3" t="s">
        <v>389</v>
      </c>
      <c r="C399" s="23"/>
      <c r="D399" s="23"/>
      <c r="E399" s="23"/>
      <c r="F399" s="23"/>
      <c r="G399" s="23"/>
      <c r="H399" s="23"/>
      <c r="I399" s="23"/>
      <c r="J399" s="23"/>
      <c r="K399" s="23"/>
      <c r="L399" s="23"/>
      <c r="M399" s="23"/>
      <c r="N399" s="23"/>
      <c r="O399" s="23"/>
      <c r="P399" s="23"/>
      <c r="Q399" s="23"/>
      <c r="R399" s="5" t="s">
        <v>396</v>
      </c>
      <c r="S399" t="s">
        <v>69</v>
      </c>
    </row>
    <row r="400" spans="2:20" x14ac:dyDescent="0.25">
      <c r="B400" s="3" t="s">
        <v>391</v>
      </c>
      <c r="C400" s="23"/>
      <c r="D400" s="23"/>
      <c r="E400" s="23"/>
      <c r="F400" s="23"/>
      <c r="G400" s="23"/>
      <c r="H400" s="23"/>
      <c r="I400" s="23"/>
      <c r="J400" s="23"/>
      <c r="K400" s="23"/>
      <c r="L400" s="23"/>
      <c r="M400" s="23"/>
      <c r="N400" s="23"/>
      <c r="O400" s="23"/>
      <c r="P400" s="23"/>
      <c r="Q400" s="23"/>
      <c r="R400" s="5" t="s">
        <v>396</v>
      </c>
      <c r="S400" t="s">
        <v>69</v>
      </c>
    </row>
    <row r="401" spans="1:19" x14ac:dyDescent="0.25">
      <c r="B401" s="3" t="s">
        <v>394</v>
      </c>
      <c r="C401" s="23"/>
      <c r="D401" s="23"/>
      <c r="E401" s="23"/>
      <c r="F401" s="23"/>
      <c r="G401" s="23"/>
      <c r="H401" s="23"/>
      <c r="I401" s="23"/>
      <c r="J401" s="23"/>
      <c r="K401" s="23"/>
      <c r="L401" s="23"/>
      <c r="M401" s="23"/>
      <c r="N401" s="23"/>
      <c r="O401" s="23"/>
      <c r="P401" s="23"/>
      <c r="Q401" s="23"/>
      <c r="R401" s="5" t="s">
        <v>396</v>
      </c>
      <c r="S401" t="s">
        <v>69</v>
      </c>
    </row>
    <row r="402" spans="1:19" x14ac:dyDescent="0.25">
      <c r="B402" s="3" t="s">
        <v>395</v>
      </c>
      <c r="C402" s="23"/>
      <c r="D402" s="23"/>
      <c r="E402" s="23"/>
      <c r="F402" s="23"/>
      <c r="G402" s="23"/>
      <c r="H402" s="23"/>
      <c r="I402" s="23"/>
      <c r="J402" s="23"/>
      <c r="K402" s="23"/>
      <c r="L402" s="23"/>
      <c r="M402" s="23"/>
      <c r="N402" s="23"/>
      <c r="O402" s="23"/>
      <c r="P402" s="23"/>
      <c r="Q402" s="23"/>
      <c r="R402" s="5" t="s">
        <v>396</v>
      </c>
      <c r="S402" t="s">
        <v>69</v>
      </c>
    </row>
    <row r="403" spans="1:19" x14ac:dyDescent="0.25">
      <c r="A403" t="s">
        <v>858</v>
      </c>
      <c r="B403" s="3" t="s">
        <v>397</v>
      </c>
      <c r="C403" s="23"/>
      <c r="D403" s="23"/>
      <c r="E403" s="23"/>
      <c r="F403" s="23"/>
      <c r="G403" s="23"/>
      <c r="H403" s="23"/>
      <c r="I403" s="23"/>
      <c r="J403" s="23"/>
      <c r="K403" s="23"/>
      <c r="L403" s="23"/>
      <c r="M403" s="23"/>
      <c r="N403" s="23"/>
      <c r="O403" s="23"/>
      <c r="P403" s="23"/>
      <c r="Q403" s="23"/>
      <c r="R403" s="5" t="s">
        <v>396</v>
      </c>
      <c r="S403" t="s">
        <v>69</v>
      </c>
    </row>
    <row r="404" spans="1:19" x14ac:dyDescent="0.25">
      <c r="B404" t="s">
        <v>756</v>
      </c>
      <c r="C404" s="21">
        <v>1</v>
      </c>
      <c r="D404" s="21">
        <v>2</v>
      </c>
      <c r="E404" s="21">
        <v>3</v>
      </c>
      <c r="F404" s="21">
        <v>4</v>
      </c>
      <c r="G404" s="21">
        <v>5</v>
      </c>
      <c r="H404" s="21">
        <v>6</v>
      </c>
      <c r="I404" s="21">
        <v>7</v>
      </c>
      <c r="J404" s="21">
        <v>8</v>
      </c>
      <c r="K404" s="21">
        <v>9</v>
      </c>
      <c r="L404" s="21">
        <v>10</v>
      </c>
      <c r="M404" s="21">
        <v>11</v>
      </c>
      <c r="N404" s="21">
        <v>12</v>
      </c>
      <c r="O404" s="21">
        <v>13</v>
      </c>
      <c r="P404" s="21">
        <v>14</v>
      </c>
      <c r="Q404" s="21">
        <v>15</v>
      </c>
      <c r="R404" s="5" t="s">
        <v>11</v>
      </c>
      <c r="S404" t="s">
        <v>126</v>
      </c>
    </row>
    <row r="405" spans="1:19" x14ac:dyDescent="0.25">
      <c r="A405" t="s">
        <v>859</v>
      </c>
      <c r="B405" t="s">
        <v>10</v>
      </c>
      <c r="C405" s="2">
        <v>0.46889999999999998</v>
      </c>
      <c r="D405" s="2">
        <v>0.50080000000000002</v>
      </c>
      <c r="E405" s="2">
        <v>0.53280000000000005</v>
      </c>
      <c r="F405" s="2">
        <v>0.57540000000000002</v>
      </c>
      <c r="G405" s="2">
        <v>0.60740000000000005</v>
      </c>
      <c r="H405" s="2">
        <v>0.64470000000000005</v>
      </c>
      <c r="I405" s="2">
        <v>0.69259999999999999</v>
      </c>
      <c r="J405" s="2">
        <v>0.74060000000000004</v>
      </c>
      <c r="K405" s="2">
        <v>0.78849999999999998</v>
      </c>
      <c r="L405" s="2">
        <v>0.83650000000000002</v>
      </c>
      <c r="M405" s="2">
        <v>0.88439999999999996</v>
      </c>
      <c r="N405" s="2">
        <v>0.93240000000000001</v>
      </c>
      <c r="O405" s="2">
        <v>0.98040000000000005</v>
      </c>
      <c r="P405" s="2">
        <v>1.0283</v>
      </c>
      <c r="Q405" s="2">
        <v>1.0763</v>
      </c>
      <c r="R405" t="s">
        <v>6</v>
      </c>
      <c r="S405" t="s">
        <v>127</v>
      </c>
    </row>
    <row r="406" spans="1:19" x14ac:dyDescent="0.25">
      <c r="B406" t="s">
        <v>9</v>
      </c>
      <c r="C406" s="2">
        <v>0.48249999999999998</v>
      </c>
      <c r="D406" s="2">
        <v>0.51539999999999997</v>
      </c>
      <c r="E406" s="2">
        <v>0.54830000000000001</v>
      </c>
      <c r="F406" s="2">
        <v>0.59219999999999995</v>
      </c>
      <c r="G406" s="2">
        <v>0.62509999999999999</v>
      </c>
      <c r="H406" s="2">
        <v>0.66349999999999998</v>
      </c>
      <c r="I406" s="2">
        <v>0.71279999999999999</v>
      </c>
      <c r="J406" s="2">
        <v>0.76219999999999999</v>
      </c>
      <c r="K406" s="2">
        <v>0.8115</v>
      </c>
      <c r="L406" s="2">
        <v>0.8609</v>
      </c>
      <c r="M406" s="2">
        <v>0.91020000000000001</v>
      </c>
      <c r="N406" s="2">
        <v>0.95960000000000001</v>
      </c>
      <c r="O406" s="2">
        <v>1.0088999999999999</v>
      </c>
      <c r="P406" s="2">
        <v>1.0583</v>
      </c>
      <c r="Q406" s="2">
        <v>1.1075999999999999</v>
      </c>
      <c r="R406" t="s">
        <v>6</v>
      </c>
      <c r="S406" t="s">
        <v>127</v>
      </c>
    </row>
    <row r="407" spans="1:19" x14ac:dyDescent="0.25">
      <c r="B407" t="s">
        <v>8</v>
      </c>
      <c r="C407" s="2">
        <v>0.61050000000000004</v>
      </c>
      <c r="D407" s="2">
        <v>0.65210000000000001</v>
      </c>
      <c r="E407" s="2">
        <v>0.69379999999999997</v>
      </c>
      <c r="F407" s="2">
        <v>0.74929999999999997</v>
      </c>
      <c r="G407" s="2">
        <v>0.79090000000000005</v>
      </c>
      <c r="H407" s="2">
        <v>0.83940000000000003</v>
      </c>
      <c r="I407" s="2">
        <v>0.90190000000000003</v>
      </c>
      <c r="J407" s="2">
        <v>0.96430000000000005</v>
      </c>
      <c r="K407" s="2">
        <v>1.0267999999999999</v>
      </c>
      <c r="L407" s="2">
        <v>1.0891999999999999</v>
      </c>
      <c r="M407" s="2">
        <v>1.1516</v>
      </c>
      <c r="N407" s="2">
        <v>1.2141</v>
      </c>
      <c r="O407" s="2">
        <v>1.2765</v>
      </c>
      <c r="P407" s="2">
        <v>1.3389</v>
      </c>
      <c r="Q407" s="2">
        <v>1.4014</v>
      </c>
      <c r="R407" t="s">
        <v>6</v>
      </c>
      <c r="S407" t="s">
        <v>127</v>
      </c>
    </row>
    <row r="408" spans="1:19" x14ac:dyDescent="0.25">
      <c r="B408" t="s">
        <v>13</v>
      </c>
      <c r="C408" s="2">
        <v>0.65639999999999998</v>
      </c>
      <c r="D408" s="2">
        <v>0.70120000000000005</v>
      </c>
      <c r="E408" s="2">
        <v>0.74590000000000001</v>
      </c>
      <c r="F408" s="2">
        <v>0.80559999999999998</v>
      </c>
      <c r="G408" s="2">
        <v>0.85029999999999994</v>
      </c>
      <c r="H408" s="2">
        <v>0.90259999999999996</v>
      </c>
      <c r="I408" s="2">
        <v>0.96970000000000001</v>
      </c>
      <c r="J408" s="2">
        <v>1.0367999999999999</v>
      </c>
      <c r="K408" s="2">
        <v>1.1040000000000001</v>
      </c>
      <c r="L408" s="2">
        <v>1.1711</v>
      </c>
      <c r="M408" s="2">
        <v>1.2382</v>
      </c>
      <c r="N408" s="2">
        <v>1.3053999999999999</v>
      </c>
      <c r="O408" s="2">
        <v>1.3725000000000001</v>
      </c>
      <c r="P408" s="2">
        <v>1.4396</v>
      </c>
      <c r="Q408" s="2">
        <v>1.5067999999999999</v>
      </c>
      <c r="R408" t="s">
        <v>6</v>
      </c>
      <c r="S408" t="s">
        <v>127</v>
      </c>
    </row>
    <row r="409" spans="1:19" x14ac:dyDescent="0.25">
      <c r="B409" t="s">
        <v>195</v>
      </c>
      <c r="C409" s="2">
        <v>0.3327</v>
      </c>
      <c r="D409" s="2">
        <v>0.35539999999999999</v>
      </c>
      <c r="E409" s="2">
        <v>0.37809999999999999</v>
      </c>
      <c r="F409" s="2">
        <v>0.40839999999999999</v>
      </c>
      <c r="G409" s="2">
        <v>0.43099999999999999</v>
      </c>
      <c r="H409" s="2">
        <v>0.45750000000000002</v>
      </c>
      <c r="I409" s="2">
        <v>0.49149999999999999</v>
      </c>
      <c r="J409" s="2">
        <v>0.52559999999999996</v>
      </c>
      <c r="K409" s="2">
        <v>0.55959999999999999</v>
      </c>
      <c r="L409" s="2">
        <v>0.59360000000000002</v>
      </c>
      <c r="M409" s="2">
        <v>0.62770000000000004</v>
      </c>
      <c r="N409" s="2">
        <v>0.66169999999999995</v>
      </c>
      <c r="O409" s="2">
        <v>0.69569999999999999</v>
      </c>
      <c r="P409" s="2">
        <v>0.7298</v>
      </c>
      <c r="Q409" s="2">
        <v>0.76380000000000003</v>
      </c>
      <c r="R409" t="s">
        <v>6</v>
      </c>
      <c r="S409" t="s">
        <v>127</v>
      </c>
    </row>
    <row r="410" spans="1:19" x14ac:dyDescent="0.25">
      <c r="B410" t="s">
        <v>196</v>
      </c>
      <c r="C410" s="2">
        <v>0.35199999999999998</v>
      </c>
      <c r="D410" s="2">
        <v>0.376</v>
      </c>
      <c r="E410" s="2">
        <v>0.4</v>
      </c>
      <c r="F410" s="2">
        <v>0.432</v>
      </c>
      <c r="G410" s="2">
        <v>0.45600000000000002</v>
      </c>
      <c r="H410" s="2">
        <v>0.48399999999999999</v>
      </c>
      <c r="I410" s="2">
        <v>0.52</v>
      </c>
      <c r="J410" s="2">
        <v>0.55600000000000005</v>
      </c>
      <c r="K410" s="2">
        <v>0.59199999999999997</v>
      </c>
      <c r="L410" s="2">
        <v>0.628</v>
      </c>
      <c r="M410" s="2">
        <v>0.66400000000000003</v>
      </c>
      <c r="N410" s="2">
        <v>0.7</v>
      </c>
      <c r="O410" s="2">
        <v>0.73599999999999999</v>
      </c>
      <c r="P410" s="2">
        <v>0.77200000000000002</v>
      </c>
      <c r="Q410" s="2">
        <v>0.80800000000000005</v>
      </c>
      <c r="R410" t="s">
        <v>6</v>
      </c>
      <c r="S410" t="s">
        <v>127</v>
      </c>
    </row>
    <row r="411" spans="1:19" x14ac:dyDescent="0.25">
      <c r="B411" t="s">
        <v>217</v>
      </c>
      <c r="C411" s="2">
        <v>0.85960000000000003</v>
      </c>
      <c r="D411" s="2">
        <v>0.91820000000000002</v>
      </c>
      <c r="E411" s="2">
        <v>0.9768</v>
      </c>
      <c r="F411" s="2">
        <v>1.0548999999999999</v>
      </c>
      <c r="G411" s="2">
        <v>1.1135999999999999</v>
      </c>
      <c r="H411" s="2">
        <v>1.1819</v>
      </c>
      <c r="I411" s="2">
        <v>1.2698</v>
      </c>
      <c r="J411" s="2">
        <v>1.3577999999999999</v>
      </c>
      <c r="K411" s="2">
        <v>1.4457</v>
      </c>
      <c r="L411" s="2">
        <v>1.5336000000000001</v>
      </c>
      <c r="M411" s="2">
        <v>1.6214999999999999</v>
      </c>
      <c r="N411" s="2">
        <v>1.7094</v>
      </c>
      <c r="O411" s="2">
        <v>1.7972999999999999</v>
      </c>
      <c r="P411" s="2">
        <v>1.8852</v>
      </c>
      <c r="Q411" s="2">
        <v>1.9731000000000001</v>
      </c>
      <c r="R411" t="s">
        <v>6</v>
      </c>
      <c r="S411" t="s">
        <v>127</v>
      </c>
    </row>
    <row r="412" spans="1:19" x14ac:dyDescent="0.25">
      <c r="B412" t="s">
        <v>21</v>
      </c>
      <c r="C412" s="2">
        <v>1.3595999999999999</v>
      </c>
      <c r="D412" s="2">
        <v>1.4522999999999999</v>
      </c>
      <c r="E412" s="2">
        <v>1.5449999999999999</v>
      </c>
      <c r="F412" s="2">
        <v>1.6686000000000001</v>
      </c>
      <c r="G412" s="2">
        <v>1.7613000000000001</v>
      </c>
      <c r="H412" s="2">
        <v>1.8694999999999999</v>
      </c>
      <c r="I412" s="2">
        <v>2.0085000000000002</v>
      </c>
      <c r="J412" s="2">
        <v>2.1476000000000002</v>
      </c>
      <c r="K412" s="2">
        <v>2.2866</v>
      </c>
      <c r="L412" s="2">
        <v>2.4257</v>
      </c>
      <c r="M412" s="2">
        <v>2.5647000000000002</v>
      </c>
      <c r="N412" s="2">
        <v>2.7038000000000002</v>
      </c>
      <c r="O412" s="2">
        <v>2.8428</v>
      </c>
      <c r="P412" s="2">
        <v>2.9819</v>
      </c>
      <c r="Q412" s="2">
        <v>3.1208999999999998</v>
      </c>
      <c r="R412" t="s">
        <v>5</v>
      </c>
      <c r="S412" t="s">
        <v>127</v>
      </c>
    </row>
    <row r="413" spans="1:19" x14ac:dyDescent="0.25">
      <c r="B413" t="s">
        <v>155</v>
      </c>
      <c r="C413" s="2">
        <v>0.6542</v>
      </c>
      <c r="D413" s="2">
        <v>0.69879999999999998</v>
      </c>
      <c r="E413" s="2">
        <v>0.74339999999999995</v>
      </c>
      <c r="F413" s="2">
        <v>0.80289999999999995</v>
      </c>
      <c r="G413" s="2">
        <v>0.84750000000000003</v>
      </c>
      <c r="H413" s="2">
        <v>0.89949999999999997</v>
      </c>
      <c r="I413" s="2">
        <v>0.96640000000000004</v>
      </c>
      <c r="J413" s="2">
        <v>1.0333000000000001</v>
      </c>
      <c r="K413" s="2">
        <v>1.1002000000000001</v>
      </c>
      <c r="L413" s="2">
        <v>1.1671</v>
      </c>
      <c r="M413" s="2">
        <v>1.234</v>
      </c>
      <c r="N413" s="2">
        <v>1.3009999999999999</v>
      </c>
      <c r="O413" s="2">
        <v>1.3678999999999999</v>
      </c>
      <c r="P413" s="2">
        <v>1.4348000000000001</v>
      </c>
      <c r="Q413" s="2">
        <v>1.5017</v>
      </c>
      <c r="R413" t="s">
        <v>3</v>
      </c>
      <c r="S413" t="s">
        <v>127</v>
      </c>
    </row>
    <row r="414" spans="1:19" x14ac:dyDescent="0.25">
      <c r="B414" t="s">
        <v>135</v>
      </c>
      <c r="C414" s="2">
        <v>1.3081</v>
      </c>
      <c r="D414" s="2">
        <v>1.3973</v>
      </c>
      <c r="E414" s="2">
        <v>1.4864999999999999</v>
      </c>
      <c r="F414" s="2">
        <v>1.6053999999999999</v>
      </c>
      <c r="G414" s="2">
        <v>1.6946000000000001</v>
      </c>
      <c r="H414" s="2">
        <v>1.7986</v>
      </c>
      <c r="I414" s="2">
        <v>1.9323999999999999</v>
      </c>
      <c r="J414" s="2">
        <v>2.0661999999999998</v>
      </c>
      <c r="K414" s="2">
        <v>2.2000000000000002</v>
      </c>
      <c r="L414" s="2">
        <v>2.3338000000000001</v>
      </c>
      <c r="M414" s="2">
        <v>2.4676</v>
      </c>
      <c r="N414" s="2">
        <v>2.6013000000000002</v>
      </c>
      <c r="O414" s="2">
        <v>2.7351000000000001</v>
      </c>
      <c r="P414" s="2">
        <v>2.8689</v>
      </c>
      <c r="Q414" s="2">
        <v>3.0026999999999999</v>
      </c>
      <c r="R414" t="s">
        <v>3</v>
      </c>
      <c r="S414" t="s">
        <v>127</v>
      </c>
    </row>
    <row r="415" spans="1:19" x14ac:dyDescent="0.25">
      <c r="B415" t="s">
        <v>136</v>
      </c>
      <c r="C415" s="2">
        <v>1.6338999999999999</v>
      </c>
      <c r="D415" s="2">
        <v>1.7453000000000001</v>
      </c>
      <c r="E415" s="2">
        <v>1.8567</v>
      </c>
      <c r="F415" s="2">
        <v>2.0051999999999999</v>
      </c>
      <c r="G415" s="2">
        <v>2.1166</v>
      </c>
      <c r="H415" s="2">
        <v>2.2465999999999999</v>
      </c>
      <c r="I415" s="2">
        <v>2.4137</v>
      </c>
      <c r="J415" s="2">
        <v>2.5808</v>
      </c>
      <c r="K415" s="2">
        <v>2.7479</v>
      </c>
      <c r="L415" s="2">
        <v>2.915</v>
      </c>
      <c r="M415" s="2">
        <v>3.0821000000000001</v>
      </c>
      <c r="N415" s="2">
        <v>3.2492000000000001</v>
      </c>
      <c r="O415" s="2">
        <v>3.4163000000000001</v>
      </c>
      <c r="P415" s="2">
        <v>3.5834000000000001</v>
      </c>
      <c r="Q415" s="2">
        <v>3.7505000000000002</v>
      </c>
      <c r="R415" t="s">
        <v>3</v>
      </c>
      <c r="S415" t="s">
        <v>127</v>
      </c>
    </row>
    <row r="416" spans="1:19" x14ac:dyDescent="0.25">
      <c r="B416" t="s">
        <v>223</v>
      </c>
      <c r="C416" s="2">
        <v>0.64</v>
      </c>
      <c r="D416" s="2">
        <v>0.68799999999999994</v>
      </c>
      <c r="E416" s="2">
        <v>0.73599999999999999</v>
      </c>
      <c r="F416" s="2">
        <v>0.8</v>
      </c>
      <c r="G416" s="2">
        <v>0.84799999999999998</v>
      </c>
      <c r="H416" s="2">
        <v>0.89600000000000002</v>
      </c>
      <c r="I416" s="2">
        <v>0.96</v>
      </c>
      <c r="J416" s="2">
        <v>1.024</v>
      </c>
      <c r="K416" s="2">
        <v>1.0880000000000001</v>
      </c>
      <c r="L416" s="2">
        <v>1.1519999999999999</v>
      </c>
      <c r="M416" s="2">
        <v>1.216</v>
      </c>
      <c r="N416" s="2">
        <v>1.28</v>
      </c>
      <c r="O416" s="2">
        <v>1.36</v>
      </c>
      <c r="P416" s="2">
        <v>1.44</v>
      </c>
      <c r="Q416" s="2">
        <v>1.52</v>
      </c>
      <c r="R416" t="s">
        <v>19</v>
      </c>
      <c r="S416" t="s">
        <v>127</v>
      </c>
    </row>
    <row r="417" spans="1:20" x14ac:dyDescent="0.25">
      <c r="B417" t="s">
        <v>225</v>
      </c>
      <c r="C417" s="2">
        <v>0.1</v>
      </c>
      <c r="D417" s="2">
        <v>0.1</v>
      </c>
      <c r="E417" s="2">
        <v>0.1</v>
      </c>
      <c r="F417" s="2">
        <v>0.1</v>
      </c>
      <c r="G417" s="2">
        <v>0.1</v>
      </c>
      <c r="H417" s="2">
        <v>0.1</v>
      </c>
      <c r="I417" s="2">
        <v>0.1</v>
      </c>
      <c r="J417" s="2">
        <v>0.1</v>
      </c>
      <c r="K417" s="2">
        <v>0.1</v>
      </c>
      <c r="L417" s="2">
        <v>0.1</v>
      </c>
      <c r="M417" s="2">
        <v>0.1</v>
      </c>
      <c r="N417" s="2">
        <v>0.1</v>
      </c>
      <c r="O417" s="2">
        <v>0.1</v>
      </c>
      <c r="P417" s="2">
        <v>0.1</v>
      </c>
      <c r="Q417" s="2">
        <v>0.1</v>
      </c>
      <c r="R417" s="2" t="s">
        <v>19</v>
      </c>
      <c r="S417" t="s">
        <v>226</v>
      </c>
    </row>
    <row r="418" spans="1:20" x14ac:dyDescent="0.25">
      <c r="B418" t="s">
        <v>173</v>
      </c>
      <c r="C418" s="2">
        <v>3.0327000000000002</v>
      </c>
      <c r="D418" s="2">
        <v>3.2143000000000002</v>
      </c>
      <c r="E418" s="2">
        <v>3.3959000000000001</v>
      </c>
      <c r="F418" s="2">
        <v>3.6320000000000001</v>
      </c>
      <c r="G418" s="2">
        <v>3.8136000000000001</v>
      </c>
      <c r="H418" s="2">
        <v>3.9952000000000001</v>
      </c>
      <c r="I418" s="2">
        <v>4.2313000000000001</v>
      </c>
      <c r="J418" s="2">
        <v>4.4673999999999996</v>
      </c>
      <c r="K418" s="2">
        <v>4.7034000000000002</v>
      </c>
      <c r="L418" s="2">
        <v>4.9394999999999998</v>
      </c>
      <c r="M418" s="2">
        <v>5.1756000000000002</v>
      </c>
      <c r="N418" s="2">
        <v>5.4116999999999997</v>
      </c>
      <c r="O418" s="2">
        <v>5.6478000000000002</v>
      </c>
      <c r="P418" s="2">
        <v>5.8837999999999999</v>
      </c>
      <c r="Q418" s="2">
        <v>6.1199000000000003</v>
      </c>
      <c r="R418" t="s">
        <v>0</v>
      </c>
      <c r="S418" t="s">
        <v>127</v>
      </c>
    </row>
    <row r="419" spans="1:20" x14ac:dyDescent="0.25">
      <c r="B419" t="s">
        <v>224</v>
      </c>
      <c r="C419" s="2">
        <v>3.7909000000000002</v>
      </c>
      <c r="D419" s="2">
        <v>4.0179</v>
      </c>
      <c r="E419" s="2">
        <v>4.2449000000000003</v>
      </c>
      <c r="F419" s="2">
        <v>4.54</v>
      </c>
      <c r="G419" s="2">
        <v>4.7670000000000003</v>
      </c>
      <c r="H419" s="2">
        <v>4.9939999999999998</v>
      </c>
      <c r="I419" s="2">
        <v>5.2891000000000004</v>
      </c>
      <c r="J419" s="2">
        <v>5.5842000000000001</v>
      </c>
      <c r="K419" s="2">
        <v>5.8792999999999997</v>
      </c>
      <c r="L419" s="2">
        <v>6.1744000000000003</v>
      </c>
      <c r="M419" s="2">
        <v>6.4695</v>
      </c>
      <c r="N419" s="2">
        <v>6.7645999999999997</v>
      </c>
      <c r="O419" s="2">
        <v>7.0597000000000003</v>
      </c>
      <c r="P419" s="2">
        <v>7.3548</v>
      </c>
      <c r="Q419" s="2">
        <v>7.6498999999999997</v>
      </c>
      <c r="R419" t="s">
        <v>0</v>
      </c>
      <c r="S419" t="s">
        <v>127</v>
      </c>
    </row>
    <row r="420" spans="1:20" x14ac:dyDescent="0.25">
      <c r="B420" t="s">
        <v>928</v>
      </c>
      <c r="C420" s="2">
        <v>6.2600000000000003E-2</v>
      </c>
      <c r="D420" s="2">
        <v>6.6400000000000001E-2</v>
      </c>
      <c r="E420" s="2">
        <v>7.0099999999999996E-2</v>
      </c>
      <c r="F420" s="2">
        <v>7.4999999999999997E-2</v>
      </c>
      <c r="G420" s="2">
        <v>7.8799999999999995E-2</v>
      </c>
      <c r="H420" s="2">
        <v>8.2500000000000004E-2</v>
      </c>
      <c r="I420" s="2">
        <v>8.7400000000000005E-2</v>
      </c>
      <c r="J420" s="2">
        <v>9.2299999999999993E-2</v>
      </c>
      <c r="K420" s="2">
        <v>9.7100000000000006E-2</v>
      </c>
      <c r="L420" s="2">
        <v>0.10199999999999999</v>
      </c>
      <c r="M420" s="2">
        <v>0.1069</v>
      </c>
      <c r="N420" s="2">
        <v>0.1118</v>
      </c>
      <c r="O420" s="2">
        <v>0.1166</v>
      </c>
      <c r="P420" s="2">
        <v>0.1215</v>
      </c>
      <c r="Q420" s="2">
        <v>0.12640000000000001</v>
      </c>
      <c r="R420" t="s">
        <v>0</v>
      </c>
      <c r="S420" t="s">
        <v>226</v>
      </c>
      <c r="T420" t="s">
        <v>955</v>
      </c>
    </row>
    <row r="421" spans="1:20" x14ac:dyDescent="0.25">
      <c r="B421" t="s">
        <v>929</v>
      </c>
      <c r="C421" s="2">
        <v>8.3500000000000005E-2</v>
      </c>
      <c r="D421" s="2">
        <v>8.8499999999999995E-2</v>
      </c>
      <c r="E421" s="2">
        <v>9.35E-2</v>
      </c>
      <c r="F421" s="2">
        <v>0.1</v>
      </c>
      <c r="G421" s="2">
        <v>0.105</v>
      </c>
      <c r="H421" s="2">
        <v>0.11</v>
      </c>
      <c r="I421" s="2">
        <v>0.11650000000000001</v>
      </c>
      <c r="J421" s="2">
        <v>0.123</v>
      </c>
      <c r="K421" s="2">
        <v>0.1295</v>
      </c>
      <c r="L421" s="2">
        <v>0.13600000000000001</v>
      </c>
      <c r="M421" s="2">
        <v>0.14249999999999999</v>
      </c>
      <c r="N421" s="2">
        <v>0.14899999999999999</v>
      </c>
      <c r="O421" s="2">
        <v>0.1555</v>
      </c>
      <c r="P421" s="2">
        <v>0.16200000000000001</v>
      </c>
      <c r="Q421" s="2">
        <v>0.16850000000000001</v>
      </c>
      <c r="R421" t="s">
        <v>0</v>
      </c>
      <c r="S421" t="s">
        <v>226</v>
      </c>
      <c r="T421" t="s">
        <v>955</v>
      </c>
    </row>
    <row r="422" spans="1:20" x14ac:dyDescent="0.25">
      <c r="B422" s="3" t="s">
        <v>771</v>
      </c>
      <c r="C422" s="23"/>
      <c r="D422" s="23"/>
      <c r="E422" s="23"/>
      <c r="F422" s="23"/>
      <c r="G422" s="23"/>
      <c r="H422" s="23"/>
      <c r="I422" s="23"/>
      <c r="J422" s="23"/>
      <c r="K422" s="23"/>
      <c r="L422" s="23"/>
      <c r="M422" s="23"/>
      <c r="N422" s="23"/>
      <c r="O422" s="23"/>
      <c r="P422" s="23"/>
      <c r="Q422" s="23"/>
      <c r="R422" s="5" t="s">
        <v>771</v>
      </c>
      <c r="S422" t="s">
        <v>772</v>
      </c>
    </row>
    <row r="423" spans="1:20" x14ac:dyDescent="0.25">
      <c r="B423" s="3" t="s">
        <v>390</v>
      </c>
      <c r="C423" s="23"/>
      <c r="D423" s="23"/>
      <c r="E423" s="23"/>
      <c r="F423" s="23"/>
      <c r="G423" s="23"/>
      <c r="H423" s="23"/>
      <c r="I423" s="23"/>
      <c r="J423" s="23"/>
      <c r="K423" s="23"/>
      <c r="L423" s="23"/>
      <c r="M423" s="23"/>
      <c r="N423" s="23"/>
      <c r="O423" s="23"/>
      <c r="P423" s="23"/>
      <c r="Q423" s="23"/>
      <c r="R423" s="5" t="s">
        <v>396</v>
      </c>
      <c r="S423" t="s">
        <v>69</v>
      </c>
    </row>
    <row r="424" spans="1:20" x14ac:dyDescent="0.25">
      <c r="B424" s="3" t="s">
        <v>392</v>
      </c>
      <c r="C424" s="23"/>
      <c r="D424" s="23"/>
      <c r="E424" s="23"/>
      <c r="F424" s="23"/>
      <c r="G424" s="23"/>
      <c r="H424" s="23"/>
      <c r="I424" s="23"/>
      <c r="J424" s="23"/>
      <c r="K424" s="23"/>
      <c r="L424" s="23"/>
      <c r="M424" s="23"/>
      <c r="N424" s="23"/>
      <c r="O424" s="23"/>
      <c r="P424" s="23"/>
      <c r="Q424" s="23"/>
      <c r="R424" s="5" t="s">
        <v>396</v>
      </c>
      <c r="S424" t="s">
        <v>69</v>
      </c>
    </row>
    <row r="425" spans="1:20" x14ac:dyDescent="0.25">
      <c r="B425" s="3" t="s">
        <v>393</v>
      </c>
      <c r="C425" s="23"/>
      <c r="D425" s="23"/>
      <c r="E425" s="23"/>
      <c r="F425" s="23"/>
      <c r="G425" s="23"/>
      <c r="H425" s="23"/>
      <c r="I425" s="23"/>
      <c r="J425" s="23"/>
      <c r="K425" s="23"/>
      <c r="L425" s="23"/>
      <c r="M425" s="23"/>
      <c r="N425" s="23"/>
      <c r="O425" s="23"/>
      <c r="P425" s="23"/>
      <c r="Q425" s="23"/>
      <c r="R425" s="5" t="s">
        <v>396</v>
      </c>
      <c r="S425" t="s">
        <v>69</v>
      </c>
    </row>
    <row r="426" spans="1:20" x14ac:dyDescent="0.25">
      <c r="B426" s="3" t="s">
        <v>389</v>
      </c>
      <c r="C426" s="23"/>
      <c r="D426" s="23"/>
      <c r="E426" s="23"/>
      <c r="F426" s="23"/>
      <c r="G426" s="23"/>
      <c r="H426" s="23"/>
      <c r="I426" s="23"/>
      <c r="J426" s="23"/>
      <c r="K426" s="23"/>
      <c r="L426" s="23"/>
      <c r="M426" s="23"/>
      <c r="N426" s="23"/>
      <c r="O426" s="23"/>
      <c r="P426" s="23"/>
      <c r="Q426" s="23"/>
      <c r="R426" s="5" t="s">
        <v>396</v>
      </c>
      <c r="S426" t="s">
        <v>69</v>
      </c>
    </row>
    <row r="427" spans="1:20" x14ac:dyDescent="0.25">
      <c r="B427" s="3" t="s">
        <v>391</v>
      </c>
      <c r="C427" s="23"/>
      <c r="D427" s="23"/>
      <c r="E427" s="23"/>
      <c r="F427" s="23"/>
      <c r="G427" s="23"/>
      <c r="H427" s="23"/>
      <c r="I427" s="23"/>
      <c r="J427" s="23"/>
      <c r="K427" s="23"/>
      <c r="L427" s="23"/>
      <c r="M427" s="23"/>
      <c r="N427" s="23"/>
      <c r="O427" s="23"/>
      <c r="P427" s="23"/>
      <c r="Q427" s="23"/>
      <c r="R427" s="5" t="s">
        <v>396</v>
      </c>
      <c r="S427" t="s">
        <v>69</v>
      </c>
    </row>
    <row r="428" spans="1:20" x14ac:dyDescent="0.25">
      <c r="B428" s="3" t="s">
        <v>394</v>
      </c>
      <c r="C428" s="23"/>
      <c r="D428" s="23"/>
      <c r="E428" s="23"/>
      <c r="F428" s="23"/>
      <c r="G428" s="23"/>
      <c r="H428" s="23"/>
      <c r="I428" s="23"/>
      <c r="J428" s="23"/>
      <c r="K428" s="23"/>
      <c r="L428" s="23"/>
      <c r="M428" s="23"/>
      <c r="N428" s="23"/>
      <c r="O428" s="23"/>
      <c r="P428" s="23"/>
      <c r="Q428" s="23"/>
      <c r="R428" s="5" t="s">
        <v>396</v>
      </c>
      <c r="S428" t="s">
        <v>69</v>
      </c>
    </row>
    <row r="429" spans="1:20" x14ac:dyDescent="0.25">
      <c r="B429" s="3" t="s">
        <v>395</v>
      </c>
      <c r="C429" s="23"/>
      <c r="D429" s="23"/>
      <c r="E429" s="23"/>
      <c r="F429" s="23"/>
      <c r="G429" s="23"/>
      <c r="H429" s="23"/>
      <c r="I429" s="23"/>
      <c r="J429" s="23"/>
      <c r="K429" s="23"/>
      <c r="L429" s="23"/>
      <c r="M429" s="23"/>
      <c r="N429" s="23"/>
      <c r="O429" s="23"/>
      <c r="P429" s="23"/>
      <c r="Q429" s="23"/>
      <c r="R429" s="5" t="s">
        <v>396</v>
      </c>
      <c r="S429" t="s">
        <v>69</v>
      </c>
    </row>
    <row r="430" spans="1:20" x14ac:dyDescent="0.25">
      <c r="A430" t="s">
        <v>860</v>
      </c>
      <c r="B430" s="3" t="s">
        <v>397</v>
      </c>
      <c r="C430" s="23"/>
      <c r="D430" s="23"/>
      <c r="E430" s="23"/>
      <c r="F430" s="23"/>
      <c r="G430" s="23"/>
      <c r="H430" s="23"/>
      <c r="I430" s="23"/>
      <c r="J430" s="23"/>
      <c r="K430" s="23"/>
      <c r="L430" s="23"/>
      <c r="M430" s="23"/>
      <c r="N430" s="23"/>
      <c r="O430" s="23"/>
      <c r="P430" s="23"/>
      <c r="Q430" s="23"/>
      <c r="R430" s="5" t="s">
        <v>396</v>
      </c>
      <c r="S430" t="s">
        <v>69</v>
      </c>
    </row>
    <row r="431" spans="1:20" x14ac:dyDescent="0.25">
      <c r="B431" s="3" t="s">
        <v>434</v>
      </c>
      <c r="C431" s="27">
        <v>1</v>
      </c>
      <c r="D431" s="27">
        <v>2</v>
      </c>
      <c r="E431" s="27">
        <v>3</v>
      </c>
      <c r="F431" s="27">
        <v>4</v>
      </c>
      <c r="G431" s="27">
        <v>5</v>
      </c>
      <c r="H431" s="27">
        <v>6</v>
      </c>
      <c r="I431" s="27">
        <v>7</v>
      </c>
      <c r="J431" s="27">
        <v>8</v>
      </c>
      <c r="K431" s="27">
        <v>9</v>
      </c>
      <c r="L431" s="27">
        <v>10</v>
      </c>
      <c r="M431" s="27">
        <v>11</v>
      </c>
      <c r="N431" s="27">
        <v>12</v>
      </c>
      <c r="O431" s="27">
        <v>13</v>
      </c>
      <c r="P431" s="27">
        <v>14</v>
      </c>
      <c r="Q431" s="27">
        <v>15</v>
      </c>
      <c r="R431" s="5" t="s">
        <v>11</v>
      </c>
      <c r="S431" t="s">
        <v>126</v>
      </c>
    </row>
    <row r="432" spans="1:20" x14ac:dyDescent="0.25">
      <c r="A432" t="s">
        <v>861</v>
      </c>
      <c r="B432" s="3" t="s">
        <v>10</v>
      </c>
      <c r="C432" s="23">
        <v>0.7923</v>
      </c>
      <c r="D432" s="23">
        <v>0.85680000000000001</v>
      </c>
      <c r="E432" s="23">
        <v>0.92130000000000001</v>
      </c>
      <c r="F432" s="23">
        <v>1.0134000000000001</v>
      </c>
      <c r="G432" s="23">
        <v>1.0779000000000001</v>
      </c>
      <c r="H432" s="23">
        <v>1.1516</v>
      </c>
      <c r="I432" s="23">
        <v>1.2529999999999999</v>
      </c>
      <c r="J432" s="23">
        <v>1.3543000000000001</v>
      </c>
      <c r="K432" s="23">
        <v>1.4557</v>
      </c>
      <c r="L432" s="23">
        <v>1.5662</v>
      </c>
      <c r="M432" s="23">
        <v>1.6929000000000001</v>
      </c>
      <c r="N432" s="23">
        <v>1.8419000000000001</v>
      </c>
      <c r="O432" s="23">
        <v>1.9907999999999999</v>
      </c>
      <c r="P432" s="23">
        <v>2.1398000000000001</v>
      </c>
      <c r="Q432" s="23">
        <v>2.3022999999999998</v>
      </c>
      <c r="R432" s="5" t="s">
        <v>6</v>
      </c>
      <c r="S432" t="s">
        <v>127</v>
      </c>
    </row>
    <row r="433" spans="2:19" x14ac:dyDescent="0.25">
      <c r="B433" s="3" t="s">
        <v>9</v>
      </c>
      <c r="C433" s="23">
        <v>0.76370000000000005</v>
      </c>
      <c r="D433" s="23">
        <v>0.82579999999999998</v>
      </c>
      <c r="E433" s="23">
        <v>0.88800000000000001</v>
      </c>
      <c r="F433" s="23">
        <v>0.9768</v>
      </c>
      <c r="G433" s="23">
        <v>1.0389999999999999</v>
      </c>
      <c r="H433" s="23">
        <v>1.1100000000000001</v>
      </c>
      <c r="I433" s="23">
        <v>1.2077</v>
      </c>
      <c r="J433" s="23">
        <v>1.3053999999999999</v>
      </c>
      <c r="K433" s="23">
        <v>1.403</v>
      </c>
      <c r="L433" s="23">
        <v>1.5096000000000001</v>
      </c>
      <c r="M433" s="23">
        <v>1.6316999999999999</v>
      </c>
      <c r="N433" s="23">
        <v>1.7753000000000001</v>
      </c>
      <c r="O433" s="23">
        <v>1.9189000000000001</v>
      </c>
      <c r="P433" s="23">
        <v>2.0625</v>
      </c>
      <c r="Q433" s="23">
        <v>2.2191000000000001</v>
      </c>
      <c r="R433" s="5" t="s">
        <v>6</v>
      </c>
      <c r="S433" t="s">
        <v>127</v>
      </c>
    </row>
    <row r="434" spans="2:19" x14ac:dyDescent="0.25">
      <c r="B434" s="3" t="s">
        <v>8</v>
      </c>
      <c r="C434" s="23">
        <v>0.91639999999999999</v>
      </c>
      <c r="D434" s="23">
        <v>0.99099999999999999</v>
      </c>
      <c r="E434" s="23">
        <v>1.0656000000000001</v>
      </c>
      <c r="F434" s="23">
        <v>1.1721999999999999</v>
      </c>
      <c r="G434" s="23">
        <v>1.2467999999999999</v>
      </c>
      <c r="H434" s="23">
        <v>1.3320000000000001</v>
      </c>
      <c r="I434" s="23">
        <v>1.4492</v>
      </c>
      <c r="J434" s="23">
        <v>1.5664</v>
      </c>
      <c r="K434" s="23">
        <v>1.6836</v>
      </c>
      <c r="L434" s="23">
        <v>1.8115000000000001</v>
      </c>
      <c r="M434" s="23">
        <v>1.958</v>
      </c>
      <c r="N434" s="23">
        <v>2.1303000000000001</v>
      </c>
      <c r="O434" s="23">
        <v>2.3027000000000002</v>
      </c>
      <c r="P434" s="23">
        <v>2.4750000000000001</v>
      </c>
      <c r="Q434" s="23">
        <v>2.6629</v>
      </c>
      <c r="R434" s="5" t="s">
        <v>6</v>
      </c>
      <c r="S434" t="s">
        <v>127</v>
      </c>
    </row>
    <row r="435" spans="2:19" x14ac:dyDescent="0.25">
      <c r="B435" s="3" t="s">
        <v>13</v>
      </c>
      <c r="C435" s="23">
        <v>1.1721999999999999</v>
      </c>
      <c r="D435" s="23">
        <v>1.2677</v>
      </c>
      <c r="E435" s="23">
        <v>1.3631</v>
      </c>
      <c r="F435" s="23">
        <v>1.4994000000000001</v>
      </c>
      <c r="G435" s="23">
        <v>1.5948</v>
      </c>
      <c r="H435" s="23">
        <v>1.7039</v>
      </c>
      <c r="I435" s="23">
        <v>1.8537999999999999</v>
      </c>
      <c r="J435" s="23">
        <v>2.0036999999999998</v>
      </c>
      <c r="K435" s="23">
        <v>2.1537000000000002</v>
      </c>
      <c r="L435" s="23">
        <v>2.3172000000000001</v>
      </c>
      <c r="M435" s="23">
        <v>2.5047000000000001</v>
      </c>
      <c r="N435" s="23">
        <v>2.7250999999999999</v>
      </c>
      <c r="O435" s="23">
        <v>2.9455</v>
      </c>
      <c r="P435" s="23">
        <v>3.1659000000000002</v>
      </c>
      <c r="Q435" s="23">
        <v>3.4062999999999999</v>
      </c>
      <c r="R435" s="5" t="s">
        <v>6</v>
      </c>
      <c r="S435" t="s">
        <v>127</v>
      </c>
    </row>
    <row r="436" spans="2:19" x14ac:dyDescent="0.25">
      <c r="B436" s="3" t="s">
        <v>819</v>
      </c>
      <c r="C436" s="23">
        <v>0.91159999999999997</v>
      </c>
      <c r="D436" s="23">
        <v>0.98580000000000001</v>
      </c>
      <c r="E436" s="23">
        <v>1.06</v>
      </c>
      <c r="F436" s="23">
        <v>1.1659999999999999</v>
      </c>
      <c r="G436" s="23">
        <v>1.2402</v>
      </c>
      <c r="H436" s="23">
        <v>1.325</v>
      </c>
      <c r="I436" s="23">
        <v>1.4416</v>
      </c>
      <c r="J436" s="23">
        <v>1.5582</v>
      </c>
      <c r="K436" s="23">
        <v>1.6748000000000001</v>
      </c>
      <c r="L436" s="23">
        <v>1.802</v>
      </c>
      <c r="M436" s="23">
        <v>1.9478</v>
      </c>
      <c r="N436" s="23">
        <v>2.1192000000000002</v>
      </c>
      <c r="O436" s="23">
        <v>2.2906</v>
      </c>
      <c r="P436" s="23">
        <v>2.4620000000000002</v>
      </c>
      <c r="Q436" s="23">
        <v>2.6488999999999998</v>
      </c>
      <c r="R436" s="5" t="s">
        <v>5</v>
      </c>
      <c r="S436" t="s">
        <v>127</v>
      </c>
    </row>
    <row r="437" spans="2:19" x14ac:dyDescent="0.25">
      <c r="B437" s="3" t="s">
        <v>820</v>
      </c>
      <c r="C437" s="23">
        <v>1.9092</v>
      </c>
      <c r="D437" s="23">
        <v>2.0646</v>
      </c>
      <c r="E437" s="23">
        <v>2.2200000000000002</v>
      </c>
      <c r="F437" s="23">
        <v>2.4420000000000002</v>
      </c>
      <c r="G437" s="23">
        <v>2.5973999999999999</v>
      </c>
      <c r="H437" s="23">
        <v>2.7749999999999999</v>
      </c>
      <c r="I437" s="23">
        <v>3.0192000000000001</v>
      </c>
      <c r="J437" s="23">
        <v>3.2633999999999999</v>
      </c>
      <c r="K437" s="23">
        <v>3.5076000000000001</v>
      </c>
      <c r="L437" s="23">
        <v>3.774</v>
      </c>
      <c r="M437" s="23">
        <v>4.0792999999999999</v>
      </c>
      <c r="N437" s="23">
        <v>4.4382000000000001</v>
      </c>
      <c r="O437" s="23">
        <v>4.7972000000000001</v>
      </c>
      <c r="P437" s="23">
        <v>5.1562000000000001</v>
      </c>
      <c r="Q437" s="23">
        <v>5.5477999999999996</v>
      </c>
      <c r="R437" s="5" t="s">
        <v>5</v>
      </c>
      <c r="S437" t="s">
        <v>127</v>
      </c>
    </row>
    <row r="438" spans="2:19" x14ac:dyDescent="0.25">
      <c r="B438" s="3" t="s">
        <v>821</v>
      </c>
      <c r="C438" s="23">
        <v>0.90469999999999995</v>
      </c>
      <c r="D438" s="23">
        <v>0.97840000000000005</v>
      </c>
      <c r="E438" s="23">
        <v>1.052</v>
      </c>
      <c r="F438" s="23">
        <v>1.1572</v>
      </c>
      <c r="G438" s="23">
        <v>1.2307999999999999</v>
      </c>
      <c r="H438" s="23">
        <v>1.3149999999999999</v>
      </c>
      <c r="I438" s="23">
        <v>1.4307000000000001</v>
      </c>
      <c r="J438" s="23">
        <v>1.5464</v>
      </c>
      <c r="K438" s="23">
        <v>1.6621999999999999</v>
      </c>
      <c r="L438" s="23">
        <v>1.7884</v>
      </c>
      <c r="M438" s="23">
        <v>1.9331</v>
      </c>
      <c r="N438" s="23">
        <v>2.1032000000000002</v>
      </c>
      <c r="O438" s="23">
        <v>2.2732999999999999</v>
      </c>
      <c r="P438" s="23">
        <v>2.4434</v>
      </c>
      <c r="Q438" s="23">
        <v>2.6288999999999998</v>
      </c>
      <c r="R438" s="5" t="s">
        <v>5</v>
      </c>
      <c r="S438" t="s">
        <v>127</v>
      </c>
    </row>
    <row r="439" spans="2:19" x14ac:dyDescent="0.25">
      <c r="B439" s="3" t="s">
        <v>155</v>
      </c>
      <c r="C439" s="23">
        <v>0.81830000000000003</v>
      </c>
      <c r="D439" s="23">
        <v>0.88490000000000002</v>
      </c>
      <c r="E439" s="23">
        <v>0.9516</v>
      </c>
      <c r="F439" s="23">
        <v>1.0467</v>
      </c>
      <c r="G439" s="23">
        <v>1.1133</v>
      </c>
      <c r="H439" s="23">
        <v>1.1894</v>
      </c>
      <c r="I439" s="23">
        <v>1.2941</v>
      </c>
      <c r="J439" s="23">
        <v>1.3988</v>
      </c>
      <c r="K439" s="23">
        <v>1.5035000000000001</v>
      </c>
      <c r="L439" s="23">
        <v>1.6175999999999999</v>
      </c>
      <c r="M439" s="23">
        <v>1.7318</v>
      </c>
      <c r="N439" s="23">
        <v>1.8460000000000001</v>
      </c>
      <c r="O439" s="23">
        <v>1.9601999999999999</v>
      </c>
      <c r="P439" s="23">
        <v>2.0743999999999998</v>
      </c>
      <c r="Q439" s="23">
        <v>2.1886000000000001</v>
      </c>
      <c r="R439" s="5" t="s">
        <v>3</v>
      </c>
      <c r="S439" t="s">
        <v>127</v>
      </c>
    </row>
    <row r="440" spans="2:19" x14ac:dyDescent="0.25">
      <c r="B440" s="3" t="s">
        <v>135</v>
      </c>
      <c r="C440" s="23">
        <v>1.6363000000000001</v>
      </c>
      <c r="D440" s="23">
        <v>1.7695000000000001</v>
      </c>
      <c r="E440" s="23">
        <v>1.9027000000000001</v>
      </c>
      <c r="F440" s="23">
        <v>2.093</v>
      </c>
      <c r="G440" s="23">
        <v>2.2262</v>
      </c>
      <c r="H440" s="23">
        <v>2.3784000000000001</v>
      </c>
      <c r="I440" s="23">
        <v>2.5876999999999999</v>
      </c>
      <c r="J440" s="23">
        <v>2.7970000000000002</v>
      </c>
      <c r="K440" s="23">
        <v>3.0063</v>
      </c>
      <c r="L440" s="23">
        <v>3.2345999999999999</v>
      </c>
      <c r="M440" s="23">
        <v>3.4628999999999999</v>
      </c>
      <c r="N440" s="23">
        <v>3.6911999999999998</v>
      </c>
      <c r="O440" s="23">
        <v>3.9196</v>
      </c>
      <c r="P440" s="23">
        <v>4.1478999999999999</v>
      </c>
      <c r="Q440" s="23">
        <v>4.3761999999999999</v>
      </c>
      <c r="R440" s="5" t="s">
        <v>3</v>
      </c>
      <c r="S440" t="s">
        <v>127</v>
      </c>
    </row>
    <row r="441" spans="2:19" x14ac:dyDescent="0.25">
      <c r="B441" s="3" t="s">
        <v>136</v>
      </c>
      <c r="C441" s="23">
        <v>2.0438999999999998</v>
      </c>
      <c r="D441" s="23">
        <v>2.2101999999999999</v>
      </c>
      <c r="E441" s="23">
        <v>2.3765999999999998</v>
      </c>
      <c r="F441" s="23">
        <v>2.6141999999999999</v>
      </c>
      <c r="G441" s="23">
        <v>2.7806000000000002</v>
      </c>
      <c r="H441" s="23">
        <v>2.9706999999999999</v>
      </c>
      <c r="I441" s="23">
        <v>3.2321</v>
      </c>
      <c r="J441" s="23">
        <v>3.4935999999999998</v>
      </c>
      <c r="K441" s="23">
        <v>3.7549999999999999</v>
      </c>
      <c r="L441" s="23">
        <v>4.0401999999999996</v>
      </c>
      <c r="M441" s="23">
        <v>4.3254000000000001</v>
      </c>
      <c r="N441" s="23">
        <v>4.6105999999999998</v>
      </c>
      <c r="O441" s="23">
        <v>4.8956999999999997</v>
      </c>
      <c r="P441" s="23">
        <v>5.1809000000000003</v>
      </c>
      <c r="Q441" s="23">
        <v>5.4661</v>
      </c>
      <c r="R441" s="5" t="s">
        <v>3</v>
      </c>
      <c r="S441" t="s">
        <v>127</v>
      </c>
    </row>
    <row r="442" spans="2:19" x14ac:dyDescent="0.25">
      <c r="B442" s="3" t="s">
        <v>4</v>
      </c>
      <c r="C442" s="23">
        <v>3.0720000000000001</v>
      </c>
      <c r="D442" s="23">
        <v>3.3024</v>
      </c>
      <c r="E442" s="23">
        <v>3.5327999999999999</v>
      </c>
      <c r="F442" s="23">
        <v>3.84</v>
      </c>
      <c r="G442" s="23">
        <v>4.0704000000000002</v>
      </c>
      <c r="H442" s="23">
        <v>4.3007999999999997</v>
      </c>
      <c r="I442" s="23">
        <v>4.6079999999999997</v>
      </c>
      <c r="J442" s="23">
        <v>4.9151999999999996</v>
      </c>
      <c r="K442" s="23">
        <v>5.2224000000000004</v>
      </c>
      <c r="L442" s="23">
        <v>5.5296000000000003</v>
      </c>
      <c r="M442" s="23">
        <v>5.8368000000000002</v>
      </c>
      <c r="N442" s="23">
        <v>6.1440000000000001</v>
      </c>
      <c r="O442" s="23">
        <v>6.5279999999999996</v>
      </c>
      <c r="P442" s="23">
        <v>6.9119999999999999</v>
      </c>
      <c r="Q442" s="23">
        <v>7.2960000000000003</v>
      </c>
      <c r="R442" s="5" t="s">
        <v>19</v>
      </c>
      <c r="S442" t="s">
        <v>127</v>
      </c>
    </row>
    <row r="443" spans="2:19" x14ac:dyDescent="0.25">
      <c r="B443" s="3" t="s">
        <v>822</v>
      </c>
      <c r="C443" s="23">
        <v>0.35</v>
      </c>
      <c r="D443" s="23">
        <v>0.35</v>
      </c>
      <c r="E443" s="23">
        <v>0.35</v>
      </c>
      <c r="F443" s="23">
        <v>0.35</v>
      </c>
      <c r="G443" s="23">
        <v>0.35</v>
      </c>
      <c r="H443" s="23">
        <v>0.35</v>
      </c>
      <c r="I443" s="23">
        <v>0.35</v>
      </c>
      <c r="J443" s="23">
        <v>0.35</v>
      </c>
      <c r="K443" s="23">
        <v>0.35</v>
      </c>
      <c r="L443" s="23">
        <v>0.35</v>
      </c>
      <c r="M443" s="23">
        <v>0.35</v>
      </c>
      <c r="N443" s="23">
        <v>0.35</v>
      </c>
      <c r="O443" s="23">
        <v>0.35</v>
      </c>
      <c r="P443" s="23">
        <v>0.35</v>
      </c>
      <c r="Q443" s="23">
        <v>0.35</v>
      </c>
      <c r="R443" s="5" t="s">
        <v>5</v>
      </c>
      <c r="S443" t="s">
        <v>130</v>
      </c>
    </row>
    <row r="444" spans="2:19" x14ac:dyDescent="0.25">
      <c r="B444" s="3" t="s">
        <v>771</v>
      </c>
      <c r="C444" s="23"/>
      <c r="D444" s="23"/>
      <c r="E444" s="23"/>
      <c r="F444" s="23"/>
      <c r="G444" s="23"/>
      <c r="H444" s="23"/>
      <c r="I444" s="23"/>
      <c r="J444" s="23"/>
      <c r="K444" s="23"/>
      <c r="L444" s="23"/>
      <c r="M444" s="23"/>
      <c r="N444" s="23"/>
      <c r="O444" s="23"/>
      <c r="P444" s="23"/>
      <c r="Q444" s="23"/>
      <c r="R444" s="5" t="s">
        <v>771</v>
      </c>
      <c r="S444" t="s">
        <v>772</v>
      </c>
    </row>
    <row r="445" spans="2:19" x14ac:dyDescent="0.25">
      <c r="B445" s="3" t="s">
        <v>390</v>
      </c>
      <c r="C445" s="23"/>
      <c r="D445" s="23"/>
      <c r="E445" s="23"/>
      <c r="F445" s="23"/>
      <c r="G445" s="23"/>
      <c r="H445" s="23"/>
      <c r="I445" s="23"/>
      <c r="J445" s="23"/>
      <c r="K445" s="23"/>
      <c r="L445" s="23"/>
      <c r="M445" s="23"/>
      <c r="N445" s="23"/>
      <c r="O445" s="23"/>
      <c r="P445" s="23"/>
      <c r="Q445" s="23"/>
      <c r="R445" s="5" t="s">
        <v>396</v>
      </c>
      <c r="S445" t="s">
        <v>69</v>
      </c>
    </row>
    <row r="446" spans="2:19" x14ac:dyDescent="0.25">
      <c r="B446" s="3" t="s">
        <v>392</v>
      </c>
      <c r="C446" s="23"/>
      <c r="D446" s="23"/>
      <c r="E446" s="23"/>
      <c r="F446" s="23"/>
      <c r="G446" s="23"/>
      <c r="H446" s="23"/>
      <c r="I446" s="23"/>
      <c r="J446" s="23"/>
      <c r="K446" s="23"/>
      <c r="L446" s="23"/>
      <c r="M446" s="23"/>
      <c r="N446" s="23"/>
      <c r="O446" s="23"/>
      <c r="P446" s="23"/>
      <c r="Q446" s="23"/>
      <c r="R446" s="5" t="s">
        <v>396</v>
      </c>
      <c r="S446" t="s">
        <v>69</v>
      </c>
    </row>
    <row r="447" spans="2:19" x14ac:dyDescent="0.25">
      <c r="B447" s="3" t="s">
        <v>393</v>
      </c>
      <c r="C447" s="23"/>
      <c r="D447" s="23"/>
      <c r="E447" s="23"/>
      <c r="F447" s="23"/>
      <c r="G447" s="23"/>
      <c r="H447" s="23"/>
      <c r="I447" s="23"/>
      <c r="J447" s="23"/>
      <c r="K447" s="23"/>
      <c r="L447" s="23"/>
      <c r="M447" s="23"/>
      <c r="N447" s="23"/>
      <c r="O447" s="23"/>
      <c r="P447" s="23"/>
      <c r="Q447" s="23"/>
      <c r="R447" s="5" t="s">
        <v>396</v>
      </c>
      <c r="S447" t="s">
        <v>69</v>
      </c>
    </row>
    <row r="448" spans="2:19" x14ac:dyDescent="0.25">
      <c r="B448" s="3" t="s">
        <v>389</v>
      </c>
      <c r="C448" s="23"/>
      <c r="D448" s="23"/>
      <c r="E448" s="23"/>
      <c r="F448" s="23"/>
      <c r="G448" s="23"/>
      <c r="H448" s="23"/>
      <c r="I448" s="23"/>
      <c r="J448" s="23"/>
      <c r="K448" s="23"/>
      <c r="L448" s="23"/>
      <c r="M448" s="23"/>
      <c r="N448" s="23"/>
      <c r="O448" s="23"/>
      <c r="P448" s="23"/>
      <c r="Q448" s="23"/>
      <c r="R448" s="5" t="s">
        <v>396</v>
      </c>
      <c r="S448" t="s">
        <v>69</v>
      </c>
    </row>
    <row r="449" spans="1:22" x14ac:dyDescent="0.25">
      <c r="B449" s="3" t="s">
        <v>391</v>
      </c>
      <c r="C449" s="23"/>
      <c r="D449" s="23"/>
      <c r="E449" s="23"/>
      <c r="F449" s="23"/>
      <c r="G449" s="23"/>
      <c r="H449" s="23"/>
      <c r="I449" s="23"/>
      <c r="J449" s="23"/>
      <c r="K449" s="23"/>
      <c r="L449" s="23"/>
      <c r="M449" s="23"/>
      <c r="N449" s="23"/>
      <c r="O449" s="23"/>
      <c r="P449" s="23"/>
      <c r="Q449" s="23"/>
      <c r="R449" s="5" t="s">
        <v>396</v>
      </c>
      <c r="S449" t="s">
        <v>69</v>
      </c>
    </row>
    <row r="450" spans="1:22" x14ac:dyDescent="0.25">
      <c r="B450" s="3" t="s">
        <v>394</v>
      </c>
      <c r="C450" s="23"/>
      <c r="D450" s="23"/>
      <c r="E450" s="23"/>
      <c r="F450" s="23"/>
      <c r="G450" s="23"/>
      <c r="H450" s="23"/>
      <c r="I450" s="23"/>
      <c r="J450" s="23"/>
      <c r="K450" s="23"/>
      <c r="L450" s="23"/>
      <c r="M450" s="23"/>
      <c r="N450" s="23"/>
      <c r="O450" s="23"/>
      <c r="P450" s="23"/>
      <c r="Q450" s="23"/>
      <c r="R450" s="5" t="s">
        <v>396</v>
      </c>
      <c r="S450" t="s">
        <v>69</v>
      </c>
    </row>
    <row r="451" spans="1:22" x14ac:dyDescent="0.25">
      <c r="B451" s="3" t="s">
        <v>395</v>
      </c>
      <c r="C451" s="23"/>
      <c r="D451" s="23"/>
      <c r="E451" s="23"/>
      <c r="F451" s="23"/>
      <c r="G451" s="23"/>
      <c r="H451" s="23"/>
      <c r="I451" s="23"/>
      <c r="J451" s="23"/>
      <c r="K451" s="23"/>
      <c r="L451" s="23"/>
      <c r="M451" s="23"/>
      <c r="N451" s="23"/>
      <c r="O451" s="23"/>
      <c r="P451" s="23"/>
      <c r="Q451" s="23"/>
      <c r="R451" s="5" t="s">
        <v>396</v>
      </c>
      <c r="S451" t="s">
        <v>69</v>
      </c>
    </row>
    <row r="452" spans="1:22" x14ac:dyDescent="0.25">
      <c r="A452" t="s">
        <v>862</v>
      </c>
      <c r="B452" s="3" t="s">
        <v>397</v>
      </c>
      <c r="C452" s="23"/>
      <c r="D452" s="23"/>
      <c r="E452" s="23"/>
      <c r="F452" s="23"/>
      <c r="G452" s="23"/>
      <c r="H452" s="23"/>
      <c r="I452" s="23"/>
      <c r="J452" s="23"/>
      <c r="K452" s="23"/>
      <c r="L452" s="23"/>
      <c r="M452" s="23"/>
      <c r="N452" s="23"/>
      <c r="O452" s="23"/>
      <c r="P452" s="23"/>
      <c r="Q452" s="23"/>
      <c r="R452" s="5" t="s">
        <v>396</v>
      </c>
      <c r="S452" t="s">
        <v>69</v>
      </c>
    </row>
    <row r="453" spans="1:22" x14ac:dyDescent="0.25">
      <c r="B453" t="s">
        <v>228</v>
      </c>
      <c r="C453" s="21">
        <v>1</v>
      </c>
      <c r="D453" s="21">
        <v>2</v>
      </c>
      <c r="E453" s="21">
        <v>3</v>
      </c>
      <c r="F453" s="21">
        <v>4</v>
      </c>
      <c r="G453" s="21">
        <v>5</v>
      </c>
      <c r="H453" s="21">
        <v>6</v>
      </c>
      <c r="I453" s="21">
        <v>7</v>
      </c>
      <c r="J453" s="21">
        <v>8</v>
      </c>
      <c r="K453" s="21">
        <v>9</v>
      </c>
      <c r="L453" s="21">
        <v>10</v>
      </c>
      <c r="M453" s="21">
        <v>11</v>
      </c>
      <c r="N453" s="21">
        <v>12</v>
      </c>
      <c r="O453" s="21">
        <v>13</v>
      </c>
      <c r="P453" s="21">
        <v>14</v>
      </c>
      <c r="Q453" s="21">
        <v>15</v>
      </c>
      <c r="R453" s="5" t="s">
        <v>11</v>
      </c>
      <c r="S453" t="s">
        <v>126</v>
      </c>
    </row>
    <row r="454" spans="1:22" x14ac:dyDescent="0.25">
      <c r="A454" t="s">
        <v>863</v>
      </c>
      <c r="B454" t="s">
        <v>10</v>
      </c>
      <c r="C454" s="2">
        <v>0.48330000000000001</v>
      </c>
      <c r="D454" s="2">
        <v>0.52270000000000005</v>
      </c>
      <c r="E454" s="2">
        <v>0.56200000000000006</v>
      </c>
      <c r="F454" s="2">
        <v>0.61819999999999997</v>
      </c>
      <c r="G454" s="2">
        <v>0.65749999999999997</v>
      </c>
      <c r="H454" s="2">
        <v>0.70250000000000001</v>
      </c>
      <c r="I454" s="2">
        <v>0.76429999999999998</v>
      </c>
      <c r="J454" s="2">
        <v>0.82609999999999995</v>
      </c>
      <c r="K454" s="2">
        <v>0.88800000000000001</v>
      </c>
      <c r="L454" s="2">
        <v>0.95540000000000003</v>
      </c>
      <c r="M454" s="2">
        <v>1.0327</v>
      </c>
      <c r="N454" s="2">
        <v>1.1235999999999999</v>
      </c>
      <c r="O454" s="2">
        <v>1.2143999999999999</v>
      </c>
      <c r="P454" s="2">
        <v>1.3052999999999999</v>
      </c>
      <c r="Q454" s="2">
        <v>1.4044000000000001</v>
      </c>
      <c r="R454" t="s">
        <v>6</v>
      </c>
      <c r="S454" t="s">
        <v>127</v>
      </c>
    </row>
    <row r="455" spans="1:22" x14ac:dyDescent="0.25">
      <c r="B455" t="s">
        <v>9</v>
      </c>
      <c r="C455" s="2">
        <v>0.45579999999999998</v>
      </c>
      <c r="D455" s="2">
        <v>0.4929</v>
      </c>
      <c r="E455" s="2">
        <v>0.53</v>
      </c>
      <c r="F455" s="2">
        <v>0.58299999999999996</v>
      </c>
      <c r="G455" s="2">
        <v>0.62009999999999998</v>
      </c>
      <c r="H455" s="2">
        <v>0.66249999999999998</v>
      </c>
      <c r="I455" s="2">
        <v>0.7208</v>
      </c>
      <c r="J455" s="2">
        <v>0.77910000000000001</v>
      </c>
      <c r="K455" s="2">
        <v>0.83740000000000003</v>
      </c>
      <c r="L455" s="2">
        <v>0.90100000000000002</v>
      </c>
      <c r="M455" s="2">
        <v>0.97389999999999999</v>
      </c>
      <c r="N455" s="2">
        <v>1.0596000000000001</v>
      </c>
      <c r="O455" s="2">
        <v>1.1453</v>
      </c>
      <c r="P455" s="2">
        <v>1.2310000000000001</v>
      </c>
      <c r="Q455" s="2">
        <v>1.3245</v>
      </c>
      <c r="R455" t="s">
        <v>6</v>
      </c>
      <c r="S455" t="s">
        <v>127</v>
      </c>
    </row>
    <row r="456" spans="1:22" x14ac:dyDescent="0.25">
      <c r="B456" t="s">
        <v>8</v>
      </c>
      <c r="C456" s="2">
        <v>0.60289999999999999</v>
      </c>
      <c r="D456" s="2">
        <v>0.65190000000000003</v>
      </c>
      <c r="E456" s="2">
        <v>0.70099999999999996</v>
      </c>
      <c r="F456" s="2">
        <v>0.77110000000000001</v>
      </c>
      <c r="G456" s="2">
        <v>0.82020000000000004</v>
      </c>
      <c r="H456" s="2">
        <v>0.87629999999999997</v>
      </c>
      <c r="I456" s="2">
        <v>0.95340000000000003</v>
      </c>
      <c r="J456" s="2">
        <v>1.0305</v>
      </c>
      <c r="K456" s="2">
        <v>1.1075999999999999</v>
      </c>
      <c r="L456" s="2">
        <v>1.1917</v>
      </c>
      <c r="M456" s="2">
        <v>1.2881</v>
      </c>
      <c r="N456" s="2">
        <v>1.4014</v>
      </c>
      <c r="O456" s="2">
        <v>1.5147999999999999</v>
      </c>
      <c r="P456" s="2">
        <v>1.6281000000000001</v>
      </c>
      <c r="Q456" s="2">
        <v>1.7518</v>
      </c>
      <c r="R456" t="s">
        <v>6</v>
      </c>
      <c r="S456" t="s">
        <v>127</v>
      </c>
    </row>
    <row r="457" spans="1:22" x14ac:dyDescent="0.25">
      <c r="B457" t="s">
        <v>13</v>
      </c>
      <c r="C457" s="2">
        <v>0.65880000000000005</v>
      </c>
      <c r="D457" s="2">
        <v>0.71240000000000003</v>
      </c>
      <c r="E457" s="2">
        <v>0.76600000000000001</v>
      </c>
      <c r="F457" s="2">
        <v>0.84260000000000002</v>
      </c>
      <c r="G457" s="2">
        <v>0.8962</v>
      </c>
      <c r="H457" s="2">
        <v>0.95750000000000002</v>
      </c>
      <c r="I457" s="2">
        <v>1.0418000000000001</v>
      </c>
      <c r="J457" s="2">
        <v>1.1259999999999999</v>
      </c>
      <c r="K457" s="2">
        <v>1.2102999999999999</v>
      </c>
      <c r="L457" s="2">
        <v>1.3022</v>
      </c>
      <c r="M457" s="2">
        <v>1.4075</v>
      </c>
      <c r="N457" s="2">
        <v>1.5314000000000001</v>
      </c>
      <c r="O457" s="2">
        <v>1.6552</v>
      </c>
      <c r="P457" s="2">
        <v>1.7790999999999999</v>
      </c>
      <c r="Q457" s="2">
        <v>1.9141999999999999</v>
      </c>
      <c r="R457" t="s">
        <v>6</v>
      </c>
      <c r="S457" t="s">
        <v>127</v>
      </c>
    </row>
    <row r="458" spans="1:22" x14ac:dyDescent="0.25">
      <c r="B458" t="s">
        <v>7</v>
      </c>
      <c r="C458" s="2">
        <v>0.79210000000000003</v>
      </c>
      <c r="D458" s="2">
        <v>0.85650000000000004</v>
      </c>
      <c r="E458" s="2">
        <v>0.92100000000000004</v>
      </c>
      <c r="F458" s="2">
        <v>1.0130999999999999</v>
      </c>
      <c r="G458" s="2">
        <v>1.0775999999999999</v>
      </c>
      <c r="H458" s="2">
        <v>1.1513</v>
      </c>
      <c r="I458" s="2">
        <v>1.2525999999999999</v>
      </c>
      <c r="J458" s="2">
        <v>1.3539000000000001</v>
      </c>
      <c r="K458" s="2">
        <v>1.4552</v>
      </c>
      <c r="L458" s="2">
        <v>1.5657000000000001</v>
      </c>
      <c r="M458" s="2">
        <v>1.6922999999999999</v>
      </c>
      <c r="N458" s="2">
        <v>1.8412999999999999</v>
      </c>
      <c r="O458" s="2">
        <v>1.9902</v>
      </c>
      <c r="P458" s="2">
        <v>2.1391</v>
      </c>
      <c r="Q458" s="2">
        <v>2.3016000000000001</v>
      </c>
      <c r="R458" t="s">
        <v>6</v>
      </c>
      <c r="S458" t="s">
        <v>127</v>
      </c>
    </row>
    <row r="459" spans="1:22" x14ac:dyDescent="0.25">
      <c r="B459" t="s">
        <v>14</v>
      </c>
      <c r="C459" s="2">
        <v>1.6202000000000001</v>
      </c>
      <c r="D459" s="2">
        <v>1.7521</v>
      </c>
      <c r="E459" s="2">
        <v>1.8839999999999999</v>
      </c>
      <c r="F459" s="2">
        <v>2.0724</v>
      </c>
      <c r="G459" s="2">
        <v>2.2042999999999999</v>
      </c>
      <c r="H459" s="2">
        <v>2.355</v>
      </c>
      <c r="I459" s="2">
        <v>2.5621999999999998</v>
      </c>
      <c r="J459" s="2">
        <v>2.7694999999999999</v>
      </c>
      <c r="K459" s="2">
        <v>2.9767000000000001</v>
      </c>
      <c r="L459" s="2">
        <v>3.2027999999999999</v>
      </c>
      <c r="M459" s="2">
        <v>3.4619</v>
      </c>
      <c r="N459" s="2">
        <v>3.7665000000000002</v>
      </c>
      <c r="O459" s="2">
        <v>4.0711000000000004</v>
      </c>
      <c r="P459" s="2">
        <v>4.3757999999999999</v>
      </c>
      <c r="Q459" s="2">
        <v>4.7081</v>
      </c>
      <c r="R459" t="s">
        <v>5</v>
      </c>
      <c r="S459" t="s">
        <v>127</v>
      </c>
    </row>
    <row r="460" spans="1:22" x14ac:dyDescent="0.25">
      <c r="B460" t="s">
        <v>155</v>
      </c>
      <c r="C460" s="2">
        <v>0.63929999999999998</v>
      </c>
      <c r="D460" s="2">
        <v>0.69140000000000001</v>
      </c>
      <c r="E460" s="2">
        <v>0.74339999999999995</v>
      </c>
      <c r="F460" s="2">
        <v>0.81769999999999998</v>
      </c>
      <c r="G460" s="2">
        <v>0.86980000000000002</v>
      </c>
      <c r="H460" s="2">
        <v>0.92930000000000001</v>
      </c>
      <c r="I460" s="2">
        <v>1.0109999999999999</v>
      </c>
      <c r="J460" s="2">
        <v>1.0928</v>
      </c>
      <c r="K460" s="2">
        <v>1.1746000000000001</v>
      </c>
      <c r="L460" s="2">
        <v>1.2638</v>
      </c>
      <c r="M460" s="2">
        <v>1.353</v>
      </c>
      <c r="N460" s="2">
        <v>1.4421999999999999</v>
      </c>
      <c r="O460" s="2">
        <v>1.5314000000000001</v>
      </c>
      <c r="P460" s="2">
        <v>1.6206</v>
      </c>
      <c r="Q460" s="2">
        <v>1.7098</v>
      </c>
      <c r="R460" t="s">
        <v>3</v>
      </c>
      <c r="S460" t="s">
        <v>127</v>
      </c>
    </row>
    <row r="461" spans="1:22" x14ac:dyDescent="0.25">
      <c r="B461" t="s">
        <v>135</v>
      </c>
      <c r="C461" s="2">
        <v>1.2784</v>
      </c>
      <c r="D461" s="2">
        <v>1.3824000000000001</v>
      </c>
      <c r="E461" s="2">
        <v>1.4864999999999999</v>
      </c>
      <c r="F461" s="2">
        <v>1.6351</v>
      </c>
      <c r="G461" s="2">
        <v>1.7392000000000001</v>
      </c>
      <c r="H461" s="2">
        <v>1.8581000000000001</v>
      </c>
      <c r="I461" s="2">
        <v>2.0215999999999998</v>
      </c>
      <c r="J461" s="2">
        <v>2.1850999999999998</v>
      </c>
      <c r="K461" s="2">
        <v>2.3485999999999998</v>
      </c>
      <c r="L461" s="2">
        <v>2.5270000000000001</v>
      </c>
      <c r="M461" s="2">
        <v>2.7054</v>
      </c>
      <c r="N461" s="2">
        <v>2.8837999999999999</v>
      </c>
      <c r="O461" s="2">
        <v>3.0621999999999998</v>
      </c>
      <c r="P461" s="2">
        <v>3.2404999999999999</v>
      </c>
      <c r="Q461" s="2">
        <v>3.4188999999999998</v>
      </c>
      <c r="R461" t="s">
        <v>3</v>
      </c>
      <c r="S461" t="s">
        <v>127</v>
      </c>
    </row>
    <row r="462" spans="1:22" x14ac:dyDescent="0.25">
      <c r="B462" t="s">
        <v>136</v>
      </c>
      <c r="C462" s="2">
        <v>1.5968</v>
      </c>
      <c r="D462" s="2">
        <v>1.7266999999999999</v>
      </c>
      <c r="E462" s="2">
        <v>1.8567</v>
      </c>
      <c r="F462" s="2">
        <v>2.0424000000000002</v>
      </c>
      <c r="G462" s="2">
        <v>2.1722999999999999</v>
      </c>
      <c r="H462" s="2">
        <v>2.3209</v>
      </c>
      <c r="I462" s="2">
        <v>2.5251000000000001</v>
      </c>
      <c r="J462" s="2">
        <v>2.7292999999999998</v>
      </c>
      <c r="K462" s="2">
        <v>2.9336000000000002</v>
      </c>
      <c r="L462" s="2">
        <v>3.1564000000000001</v>
      </c>
      <c r="M462" s="2">
        <v>3.3792</v>
      </c>
      <c r="N462" s="2">
        <v>3.6019999999999999</v>
      </c>
      <c r="O462" s="2">
        <v>3.8248000000000002</v>
      </c>
      <c r="P462" s="2">
        <v>4.0476000000000001</v>
      </c>
      <c r="Q462" s="2">
        <v>4.2704000000000004</v>
      </c>
      <c r="R462" t="s">
        <v>3</v>
      </c>
      <c r="S462" t="s">
        <v>127</v>
      </c>
    </row>
    <row r="463" spans="1:22" x14ac:dyDescent="0.25">
      <c r="B463" t="s">
        <v>4</v>
      </c>
      <c r="C463" s="2">
        <v>2.92</v>
      </c>
      <c r="D463" s="2">
        <v>3.1389999999999998</v>
      </c>
      <c r="E463" s="2">
        <v>3.3580000000000001</v>
      </c>
      <c r="F463" s="2">
        <v>3.65</v>
      </c>
      <c r="G463" s="2">
        <v>3.8690000000000002</v>
      </c>
      <c r="H463" s="2">
        <v>4.0880000000000001</v>
      </c>
      <c r="I463" s="2">
        <v>4.38</v>
      </c>
      <c r="J463" s="2">
        <v>4.6719999999999997</v>
      </c>
      <c r="K463" s="2">
        <v>4.9640000000000004</v>
      </c>
      <c r="L463" s="2">
        <v>5.2560000000000002</v>
      </c>
      <c r="M463" s="2">
        <v>5.548</v>
      </c>
      <c r="N463" s="2">
        <v>5.84</v>
      </c>
      <c r="O463" s="2">
        <v>6.2050000000000001</v>
      </c>
      <c r="P463" s="2">
        <v>6.57</v>
      </c>
      <c r="Q463" s="2">
        <v>6.9349999999999996</v>
      </c>
      <c r="R463" t="s">
        <v>19</v>
      </c>
      <c r="S463" t="s">
        <v>127</v>
      </c>
      <c r="V463" s="30"/>
    </row>
    <row r="464" spans="1:22" x14ac:dyDescent="0.25">
      <c r="B464" t="s">
        <v>930</v>
      </c>
      <c r="C464" s="2">
        <v>2.512</v>
      </c>
      <c r="D464" s="2">
        <v>2.7004000000000001</v>
      </c>
      <c r="E464" s="2">
        <v>2.8887999999999998</v>
      </c>
      <c r="F464" s="2">
        <v>3.14</v>
      </c>
      <c r="G464" s="2">
        <v>3.3283999999999998</v>
      </c>
      <c r="H464" s="2">
        <v>3.5167999999999999</v>
      </c>
      <c r="I464" s="2">
        <v>3.7679999999999998</v>
      </c>
      <c r="J464" s="2">
        <v>4.0191999999999997</v>
      </c>
      <c r="K464" s="2">
        <v>4.2704000000000004</v>
      </c>
      <c r="L464" s="2">
        <v>4.5216000000000003</v>
      </c>
      <c r="M464" s="2">
        <v>4.7728000000000002</v>
      </c>
      <c r="N464" s="2">
        <v>5.024</v>
      </c>
      <c r="O464" s="2">
        <v>5.3380000000000001</v>
      </c>
      <c r="P464" s="2">
        <v>5.6520000000000001</v>
      </c>
      <c r="Q464" s="2">
        <v>5.9660000000000002</v>
      </c>
      <c r="R464" t="s">
        <v>0</v>
      </c>
      <c r="S464" t="s">
        <v>127</v>
      </c>
      <c r="T464" t="s">
        <v>955</v>
      </c>
      <c r="V464" s="30"/>
    </row>
    <row r="465" spans="1:22" x14ac:dyDescent="0.25">
      <c r="B465" t="s">
        <v>931</v>
      </c>
      <c r="C465">
        <v>1540</v>
      </c>
      <c r="D465">
        <v>1694</v>
      </c>
      <c r="E465">
        <v>1861</v>
      </c>
      <c r="F465">
        <v>2041</v>
      </c>
      <c r="G465">
        <v>2234</v>
      </c>
      <c r="H465">
        <v>2439</v>
      </c>
      <c r="I465">
        <v>2657</v>
      </c>
      <c r="J465">
        <v>2888</v>
      </c>
      <c r="K465">
        <v>3132</v>
      </c>
      <c r="L465">
        <v>3389</v>
      </c>
      <c r="M465">
        <v>3659</v>
      </c>
      <c r="N465">
        <v>3941</v>
      </c>
      <c r="O465">
        <v>4236</v>
      </c>
      <c r="P465">
        <v>4544</v>
      </c>
      <c r="Q465">
        <v>4865</v>
      </c>
      <c r="R465" t="s">
        <v>0</v>
      </c>
      <c r="S465" t="s">
        <v>226</v>
      </c>
      <c r="T465" t="s">
        <v>956</v>
      </c>
      <c r="V465" s="30"/>
    </row>
    <row r="466" spans="1:22" x14ac:dyDescent="0.25">
      <c r="B466" t="s">
        <v>916</v>
      </c>
      <c r="C466" s="2">
        <v>0.25119999999999998</v>
      </c>
      <c r="D466" s="2">
        <v>0.27</v>
      </c>
      <c r="E466" s="2">
        <v>0.28889999999999999</v>
      </c>
      <c r="F466" s="2">
        <v>0.314</v>
      </c>
      <c r="G466" s="2">
        <v>0.33279999999999998</v>
      </c>
      <c r="H466" s="2">
        <v>0.35170000000000001</v>
      </c>
      <c r="I466" s="2">
        <v>0.37680000000000002</v>
      </c>
      <c r="J466" s="2">
        <v>0.40189999999999998</v>
      </c>
      <c r="K466" s="2">
        <v>0.42699999999999999</v>
      </c>
      <c r="L466" s="2">
        <v>0.45219999999999999</v>
      </c>
      <c r="M466" s="2">
        <v>0.4773</v>
      </c>
      <c r="N466" s="2">
        <v>0.50239999999999996</v>
      </c>
      <c r="O466" s="2">
        <v>0.53380000000000005</v>
      </c>
      <c r="P466" s="2">
        <v>0.56520000000000004</v>
      </c>
      <c r="Q466" s="2">
        <v>0.59660000000000002</v>
      </c>
      <c r="R466" t="s">
        <v>0</v>
      </c>
      <c r="S466" t="s">
        <v>127</v>
      </c>
      <c r="T466" t="s">
        <v>955</v>
      </c>
      <c r="V466" s="30"/>
    </row>
    <row r="467" spans="1:22" x14ac:dyDescent="0.25">
      <c r="B467" t="s">
        <v>915</v>
      </c>
      <c r="C467">
        <v>154</v>
      </c>
      <c r="D467">
        <v>169</v>
      </c>
      <c r="E467">
        <v>186</v>
      </c>
      <c r="F467">
        <v>204</v>
      </c>
      <c r="G467">
        <v>223</v>
      </c>
      <c r="H467">
        <v>244</v>
      </c>
      <c r="I467">
        <v>266</v>
      </c>
      <c r="J467">
        <v>289</v>
      </c>
      <c r="K467">
        <v>313</v>
      </c>
      <c r="L467">
        <v>339</v>
      </c>
      <c r="M467">
        <v>366</v>
      </c>
      <c r="N467">
        <v>394</v>
      </c>
      <c r="O467">
        <v>424</v>
      </c>
      <c r="P467">
        <v>454</v>
      </c>
      <c r="Q467">
        <v>487</v>
      </c>
      <c r="R467" t="s">
        <v>0</v>
      </c>
      <c r="S467" t="s">
        <v>226</v>
      </c>
      <c r="T467" t="s">
        <v>956</v>
      </c>
      <c r="V467" s="30"/>
    </row>
    <row r="468" spans="1:22" x14ac:dyDescent="0.25">
      <c r="B468" t="s">
        <v>131</v>
      </c>
      <c r="C468" s="2">
        <v>4.2480000000000002</v>
      </c>
      <c r="D468" s="2">
        <v>4.5666000000000002</v>
      </c>
      <c r="E468" s="2">
        <v>4.8852000000000002</v>
      </c>
      <c r="F468" s="2">
        <v>5.31</v>
      </c>
      <c r="G468" s="2">
        <v>5.6285999999999996</v>
      </c>
      <c r="H468" s="2">
        <v>5.9471999999999996</v>
      </c>
      <c r="I468" s="2">
        <v>6.3719999999999999</v>
      </c>
      <c r="J468" s="2">
        <v>6.7968000000000002</v>
      </c>
      <c r="K468" s="2">
        <v>7.2215999999999996</v>
      </c>
      <c r="L468" s="2">
        <v>7.6463999999999999</v>
      </c>
      <c r="M468" s="2">
        <v>8.0711999999999993</v>
      </c>
      <c r="N468" s="2">
        <v>8.4960000000000004</v>
      </c>
      <c r="O468" s="2">
        <v>9.0269999999999992</v>
      </c>
      <c r="P468" s="2">
        <v>9.5579999999999998</v>
      </c>
      <c r="Q468" s="2">
        <v>10.089</v>
      </c>
      <c r="R468" t="s">
        <v>0</v>
      </c>
      <c r="S468" t="s">
        <v>127</v>
      </c>
    </row>
    <row r="469" spans="1:22" x14ac:dyDescent="0.25">
      <c r="B469" t="s">
        <v>229</v>
      </c>
      <c r="C469" s="2">
        <v>0.78400000000000003</v>
      </c>
      <c r="D469" s="2">
        <v>0.84279999999999999</v>
      </c>
      <c r="E469" s="2">
        <v>0.90159999999999996</v>
      </c>
      <c r="F469" s="2">
        <v>0.98</v>
      </c>
      <c r="G469" s="2">
        <v>1.0387999999999999</v>
      </c>
      <c r="H469" s="2">
        <v>1.0975999999999999</v>
      </c>
      <c r="I469" s="2">
        <v>1.1759999999999999</v>
      </c>
      <c r="J469" s="2">
        <v>1.2544</v>
      </c>
      <c r="K469" s="2">
        <v>1.3328</v>
      </c>
      <c r="L469" s="2">
        <v>1.4112</v>
      </c>
      <c r="M469" s="2">
        <v>1.4896</v>
      </c>
      <c r="N469" s="2">
        <v>1.5680000000000001</v>
      </c>
      <c r="O469" s="2">
        <v>1.6659999999999999</v>
      </c>
      <c r="P469" s="2">
        <v>1.764</v>
      </c>
      <c r="Q469" s="2">
        <v>1.8620000000000001</v>
      </c>
      <c r="R469" t="s">
        <v>0</v>
      </c>
      <c r="S469" t="s">
        <v>127</v>
      </c>
    </row>
    <row r="470" spans="1:22" x14ac:dyDescent="0.25">
      <c r="B470" s="3" t="s">
        <v>771</v>
      </c>
      <c r="C470" s="23"/>
      <c r="D470" s="23"/>
      <c r="E470" s="23"/>
      <c r="F470" s="23"/>
      <c r="G470" s="23"/>
      <c r="H470" s="23"/>
      <c r="I470" s="23"/>
      <c r="J470" s="23"/>
      <c r="K470" s="23"/>
      <c r="L470" s="23"/>
      <c r="M470" s="23"/>
      <c r="N470" s="23"/>
      <c r="O470" s="23"/>
      <c r="P470" s="23"/>
      <c r="Q470" s="23"/>
      <c r="R470" s="5" t="s">
        <v>771</v>
      </c>
      <c r="S470" t="s">
        <v>772</v>
      </c>
    </row>
    <row r="471" spans="1:22" x14ac:dyDescent="0.25">
      <c r="B471" s="3" t="s">
        <v>390</v>
      </c>
      <c r="C471" s="23"/>
      <c r="D471" s="23"/>
      <c r="E471" s="23"/>
      <c r="F471" s="23"/>
      <c r="G471" s="23"/>
      <c r="H471" s="23"/>
      <c r="I471" s="23"/>
      <c r="J471" s="23"/>
      <c r="K471" s="23"/>
      <c r="L471" s="23"/>
      <c r="M471" s="23"/>
      <c r="N471" s="23"/>
      <c r="O471" s="23"/>
      <c r="P471" s="23"/>
      <c r="Q471" s="23"/>
      <c r="R471" s="5" t="s">
        <v>396</v>
      </c>
      <c r="S471" t="s">
        <v>69</v>
      </c>
    </row>
    <row r="472" spans="1:22" x14ac:dyDescent="0.25">
      <c r="B472" s="3" t="s">
        <v>392</v>
      </c>
      <c r="C472" s="23"/>
      <c r="D472" s="23"/>
      <c r="E472" s="23"/>
      <c r="F472" s="23"/>
      <c r="G472" s="23"/>
      <c r="H472" s="23"/>
      <c r="I472" s="23"/>
      <c r="J472" s="23"/>
      <c r="K472" s="23"/>
      <c r="L472" s="23"/>
      <c r="M472" s="23"/>
      <c r="N472" s="23"/>
      <c r="O472" s="23"/>
      <c r="P472" s="23"/>
      <c r="Q472" s="23"/>
      <c r="R472" s="5" t="s">
        <v>396</v>
      </c>
      <c r="S472" t="s">
        <v>69</v>
      </c>
    </row>
    <row r="473" spans="1:22" x14ac:dyDescent="0.25">
      <c r="B473" s="3" t="s">
        <v>393</v>
      </c>
      <c r="C473" s="23"/>
      <c r="D473" s="23"/>
      <c r="E473" s="23"/>
      <c r="F473" s="23"/>
      <c r="G473" s="23"/>
      <c r="H473" s="23"/>
      <c r="I473" s="23"/>
      <c r="J473" s="23"/>
      <c r="K473" s="23"/>
      <c r="L473" s="23"/>
      <c r="M473" s="23"/>
      <c r="N473" s="23"/>
      <c r="O473" s="23"/>
      <c r="P473" s="23"/>
      <c r="Q473" s="23"/>
      <c r="R473" s="5" t="s">
        <v>396</v>
      </c>
      <c r="S473" t="s">
        <v>69</v>
      </c>
    </row>
    <row r="474" spans="1:22" x14ac:dyDescent="0.25">
      <c r="B474" s="3" t="s">
        <v>389</v>
      </c>
      <c r="C474" s="23"/>
      <c r="D474" s="23"/>
      <c r="E474" s="23"/>
      <c r="F474" s="23"/>
      <c r="G474" s="23"/>
      <c r="H474" s="23"/>
      <c r="I474" s="23"/>
      <c r="J474" s="23"/>
      <c r="K474" s="23"/>
      <c r="L474" s="23"/>
      <c r="M474" s="23"/>
      <c r="N474" s="23"/>
      <c r="O474" s="23"/>
      <c r="P474" s="23"/>
      <c r="Q474" s="23"/>
      <c r="R474" s="5" t="s">
        <v>396</v>
      </c>
      <c r="S474" t="s">
        <v>69</v>
      </c>
    </row>
    <row r="475" spans="1:22" x14ac:dyDescent="0.25">
      <c r="B475" s="3" t="s">
        <v>391</v>
      </c>
      <c r="C475" s="23"/>
      <c r="D475" s="23"/>
      <c r="E475" s="23"/>
      <c r="F475" s="23"/>
      <c r="G475" s="23"/>
      <c r="H475" s="23"/>
      <c r="I475" s="23"/>
      <c r="J475" s="23"/>
      <c r="K475" s="23"/>
      <c r="L475" s="23"/>
      <c r="M475" s="23"/>
      <c r="N475" s="23"/>
      <c r="O475" s="23"/>
      <c r="P475" s="23"/>
      <c r="Q475" s="23"/>
      <c r="R475" s="5" t="s">
        <v>396</v>
      </c>
      <c r="S475" t="s">
        <v>69</v>
      </c>
    </row>
    <row r="476" spans="1:22" x14ac:dyDescent="0.25">
      <c r="B476" s="3" t="s">
        <v>394</v>
      </c>
      <c r="C476" s="23"/>
      <c r="D476" s="23"/>
      <c r="E476" s="23"/>
      <c r="F476" s="23"/>
      <c r="G476" s="23"/>
      <c r="H476" s="23"/>
      <c r="I476" s="23"/>
      <c r="J476" s="23"/>
      <c r="K476" s="23"/>
      <c r="L476" s="23"/>
      <c r="M476" s="23"/>
      <c r="N476" s="23"/>
      <c r="O476" s="23"/>
      <c r="P476" s="23"/>
      <c r="Q476" s="23"/>
      <c r="R476" s="5" t="s">
        <v>396</v>
      </c>
      <c r="S476" t="s">
        <v>69</v>
      </c>
    </row>
    <row r="477" spans="1:22" x14ac:dyDescent="0.25">
      <c r="B477" s="3" t="s">
        <v>395</v>
      </c>
      <c r="C477" s="23"/>
      <c r="D477" s="23"/>
      <c r="E477" s="23"/>
      <c r="F477" s="23"/>
      <c r="G477" s="23"/>
      <c r="H477" s="23"/>
      <c r="I477" s="23"/>
      <c r="J477" s="23"/>
      <c r="K477" s="23"/>
      <c r="L477" s="23"/>
      <c r="M477" s="23"/>
      <c r="N477" s="23"/>
      <c r="O477" s="23"/>
      <c r="P477" s="23"/>
      <c r="Q477" s="23"/>
      <c r="R477" s="5" t="s">
        <v>396</v>
      </c>
      <c r="S477" t="s">
        <v>69</v>
      </c>
    </row>
    <row r="478" spans="1:22" x14ac:dyDescent="0.25">
      <c r="A478" t="s">
        <v>864</v>
      </c>
      <c r="B478" s="3" t="s">
        <v>397</v>
      </c>
      <c r="C478" s="23"/>
      <c r="D478" s="23"/>
      <c r="E478" s="23"/>
      <c r="F478" s="23"/>
      <c r="G478" s="23"/>
      <c r="H478" s="23"/>
      <c r="I478" s="23"/>
      <c r="J478" s="23"/>
      <c r="K478" s="23"/>
      <c r="L478" s="23"/>
      <c r="M478" s="23"/>
      <c r="N478" s="23"/>
      <c r="O478" s="23"/>
      <c r="P478" s="23"/>
      <c r="Q478" s="23"/>
      <c r="R478" s="5" t="s">
        <v>396</v>
      </c>
      <c r="S478" t="s">
        <v>69</v>
      </c>
    </row>
    <row r="479" spans="1:22" x14ac:dyDescent="0.25">
      <c r="B479" t="s">
        <v>230</v>
      </c>
      <c r="C479" s="21">
        <v>1</v>
      </c>
      <c r="D479" s="21">
        <v>2</v>
      </c>
      <c r="E479" s="21">
        <v>3</v>
      </c>
      <c r="F479" s="21">
        <v>4</v>
      </c>
      <c r="G479" s="21">
        <v>5</v>
      </c>
      <c r="H479" s="21">
        <v>6</v>
      </c>
      <c r="I479" s="21">
        <v>7</v>
      </c>
      <c r="J479" s="21">
        <v>8</v>
      </c>
      <c r="K479" s="21">
        <v>9</v>
      </c>
      <c r="L479" s="21">
        <v>10</v>
      </c>
      <c r="M479" s="21">
        <v>11</v>
      </c>
      <c r="N479" s="21">
        <v>12</v>
      </c>
      <c r="O479" s="21">
        <v>13</v>
      </c>
      <c r="P479" s="21">
        <v>14</v>
      </c>
      <c r="Q479" s="21">
        <v>15</v>
      </c>
      <c r="R479" s="5" t="s">
        <v>11</v>
      </c>
      <c r="S479" t="s">
        <v>126</v>
      </c>
    </row>
    <row r="480" spans="1:22" x14ac:dyDescent="0.25">
      <c r="A480" t="s">
        <v>865</v>
      </c>
      <c r="B480" t="s">
        <v>10</v>
      </c>
      <c r="C480" s="2">
        <v>0.53749999999999998</v>
      </c>
      <c r="D480" s="2">
        <v>0.58130000000000004</v>
      </c>
      <c r="E480" s="2">
        <v>0.625</v>
      </c>
      <c r="F480" s="2">
        <v>0.6875</v>
      </c>
      <c r="G480" s="2">
        <v>0.73129999999999995</v>
      </c>
      <c r="H480" s="2">
        <v>0.78129999999999999</v>
      </c>
      <c r="I480" s="2">
        <v>0.85</v>
      </c>
      <c r="J480" s="2">
        <v>0.91879999999999995</v>
      </c>
      <c r="K480" s="2">
        <v>0.98750000000000004</v>
      </c>
      <c r="L480" s="2">
        <v>1.0625</v>
      </c>
      <c r="M480" s="2">
        <v>1.1484000000000001</v>
      </c>
      <c r="N480" s="2">
        <v>1.2495000000000001</v>
      </c>
      <c r="O480" s="2">
        <v>1.3506</v>
      </c>
      <c r="P480" s="2">
        <v>1.4516</v>
      </c>
      <c r="Q480" s="2">
        <v>1.5619000000000001</v>
      </c>
      <c r="R480" t="s">
        <v>6</v>
      </c>
      <c r="S480" t="s">
        <v>127</v>
      </c>
    </row>
    <row r="481" spans="2:20" x14ac:dyDescent="0.25">
      <c r="B481" t="s">
        <v>9</v>
      </c>
      <c r="C481" s="2">
        <v>0.51690000000000003</v>
      </c>
      <c r="D481" s="2">
        <v>0.55889999999999995</v>
      </c>
      <c r="E481" s="2">
        <v>0.60099999999999998</v>
      </c>
      <c r="F481" s="2">
        <v>0.66110000000000002</v>
      </c>
      <c r="G481" s="2">
        <v>0.70320000000000005</v>
      </c>
      <c r="H481" s="2">
        <v>0.75129999999999997</v>
      </c>
      <c r="I481" s="2">
        <v>0.81740000000000002</v>
      </c>
      <c r="J481" s="2">
        <v>0.88349999999999995</v>
      </c>
      <c r="K481" s="2">
        <v>0.9496</v>
      </c>
      <c r="L481" s="2">
        <v>1.0217000000000001</v>
      </c>
      <c r="M481" s="2">
        <v>1.1043000000000001</v>
      </c>
      <c r="N481" s="2">
        <v>1.2015</v>
      </c>
      <c r="O481" s="2">
        <v>1.2987</v>
      </c>
      <c r="P481" s="2">
        <v>1.3958999999999999</v>
      </c>
      <c r="Q481" s="2">
        <v>1.5019</v>
      </c>
      <c r="R481" t="s">
        <v>6</v>
      </c>
      <c r="S481" t="s">
        <v>127</v>
      </c>
    </row>
    <row r="482" spans="2:20" x14ac:dyDescent="0.25">
      <c r="B482" t="s">
        <v>8</v>
      </c>
      <c r="C482" s="2">
        <v>0.65269999999999995</v>
      </c>
      <c r="D482" s="2">
        <v>0.70589999999999997</v>
      </c>
      <c r="E482" s="2">
        <v>0.75900000000000001</v>
      </c>
      <c r="F482" s="2">
        <v>0.83489999999999998</v>
      </c>
      <c r="G482" s="2">
        <v>0.88800000000000001</v>
      </c>
      <c r="H482" s="2">
        <v>0.94879999999999998</v>
      </c>
      <c r="I482" s="2">
        <v>1.0322</v>
      </c>
      <c r="J482" s="2">
        <v>1.1156999999999999</v>
      </c>
      <c r="K482" s="2">
        <v>1.1992</v>
      </c>
      <c r="L482" s="2">
        <v>1.2903</v>
      </c>
      <c r="M482" s="2">
        <v>1.3947000000000001</v>
      </c>
      <c r="N482" s="2">
        <v>1.5174000000000001</v>
      </c>
      <c r="O482" s="2">
        <v>1.6400999999999999</v>
      </c>
      <c r="P482" s="2">
        <v>1.7628999999999999</v>
      </c>
      <c r="Q482" s="2">
        <v>1.8967000000000001</v>
      </c>
      <c r="R482" t="s">
        <v>6</v>
      </c>
      <c r="S482" t="s">
        <v>127</v>
      </c>
    </row>
    <row r="483" spans="2:20" x14ac:dyDescent="0.25">
      <c r="B483" t="s">
        <v>13</v>
      </c>
      <c r="C483" s="2">
        <v>0.70860000000000001</v>
      </c>
      <c r="D483" s="2">
        <v>0.76629999999999998</v>
      </c>
      <c r="E483" s="2">
        <v>0.82399999999999995</v>
      </c>
      <c r="F483" s="2">
        <v>0.90639999999999998</v>
      </c>
      <c r="G483" s="2">
        <v>0.96409999999999996</v>
      </c>
      <c r="H483" s="2">
        <v>1.03</v>
      </c>
      <c r="I483" s="2">
        <v>1.1206</v>
      </c>
      <c r="J483" s="2">
        <v>1.2113</v>
      </c>
      <c r="K483" s="2">
        <v>1.3019000000000001</v>
      </c>
      <c r="L483" s="2">
        <v>1.4008</v>
      </c>
      <c r="M483" s="2">
        <v>1.5141</v>
      </c>
      <c r="N483" s="2">
        <v>1.6473</v>
      </c>
      <c r="O483" s="2">
        <v>1.7806</v>
      </c>
      <c r="P483" s="2">
        <v>1.9137999999999999</v>
      </c>
      <c r="Q483" s="2">
        <v>2.0592000000000001</v>
      </c>
      <c r="R483" t="s">
        <v>6</v>
      </c>
      <c r="S483" t="s">
        <v>127</v>
      </c>
    </row>
    <row r="484" spans="2:20" x14ac:dyDescent="0.25">
      <c r="B484" t="s">
        <v>7</v>
      </c>
      <c r="C484" s="2">
        <v>0.88239999999999996</v>
      </c>
      <c r="D484" s="2">
        <v>0.95420000000000005</v>
      </c>
      <c r="E484" s="2">
        <v>1.026</v>
      </c>
      <c r="F484" s="2">
        <v>1.1286</v>
      </c>
      <c r="G484" s="2">
        <v>1.2003999999999999</v>
      </c>
      <c r="H484" s="2">
        <v>1.2825</v>
      </c>
      <c r="I484" s="2">
        <v>1.3954</v>
      </c>
      <c r="J484" s="2">
        <v>1.5082</v>
      </c>
      <c r="K484" s="2">
        <v>1.6211</v>
      </c>
      <c r="L484" s="2">
        <v>1.7442</v>
      </c>
      <c r="M484" s="2">
        <v>1.8853</v>
      </c>
      <c r="N484" s="2">
        <v>2.0512000000000001</v>
      </c>
      <c r="O484" s="2">
        <v>2.2170999999999998</v>
      </c>
      <c r="P484" s="2">
        <v>2.383</v>
      </c>
      <c r="Q484" s="2">
        <v>2.5640000000000001</v>
      </c>
      <c r="R484" t="s">
        <v>6</v>
      </c>
      <c r="S484" t="s">
        <v>127</v>
      </c>
    </row>
    <row r="485" spans="2:20" x14ac:dyDescent="0.25">
      <c r="B485" t="s">
        <v>140</v>
      </c>
      <c r="C485" s="2">
        <v>0.5504</v>
      </c>
      <c r="D485" s="2">
        <v>0.59519999999999995</v>
      </c>
      <c r="E485" s="2">
        <v>0.64</v>
      </c>
      <c r="F485" s="2">
        <v>0.70399999999999996</v>
      </c>
      <c r="G485" s="2">
        <v>0.74880000000000002</v>
      </c>
      <c r="H485" s="2">
        <v>0.8</v>
      </c>
      <c r="I485" s="2">
        <v>0.87039999999999995</v>
      </c>
      <c r="J485" s="2">
        <v>0.94079999999999997</v>
      </c>
      <c r="K485" s="2">
        <v>1.0112000000000001</v>
      </c>
      <c r="L485" s="2">
        <v>1.0880000000000001</v>
      </c>
      <c r="M485" s="2">
        <v>1.1759999999999999</v>
      </c>
      <c r="N485" s="2">
        <v>1.2795000000000001</v>
      </c>
      <c r="O485" s="2">
        <v>1.383</v>
      </c>
      <c r="P485" s="2">
        <v>1.4864999999999999</v>
      </c>
      <c r="Q485" s="2">
        <v>1.5993999999999999</v>
      </c>
      <c r="R485" t="s">
        <v>5</v>
      </c>
      <c r="S485" t="s">
        <v>127</v>
      </c>
    </row>
    <row r="486" spans="2:20" x14ac:dyDescent="0.25">
      <c r="B486" t="s">
        <v>141</v>
      </c>
      <c r="C486" s="2">
        <v>0.73099999999999998</v>
      </c>
      <c r="D486" s="2">
        <v>0.79049999999999998</v>
      </c>
      <c r="E486" s="2">
        <v>0.85</v>
      </c>
      <c r="F486" s="2">
        <v>0.93500000000000005</v>
      </c>
      <c r="G486" s="2">
        <v>0.99450000000000005</v>
      </c>
      <c r="H486" s="2">
        <v>1.0625</v>
      </c>
      <c r="I486" s="2">
        <v>1.1559999999999999</v>
      </c>
      <c r="J486" s="2">
        <v>1.2495000000000001</v>
      </c>
      <c r="K486" s="2">
        <v>1.343</v>
      </c>
      <c r="L486" s="2">
        <v>1.4450000000000001</v>
      </c>
      <c r="M486" s="2">
        <v>1.5619000000000001</v>
      </c>
      <c r="N486" s="2">
        <v>1.6993</v>
      </c>
      <c r="O486" s="2">
        <v>1.8368</v>
      </c>
      <c r="P486" s="2">
        <v>1.9742</v>
      </c>
      <c r="Q486" s="2">
        <v>2.1242000000000001</v>
      </c>
      <c r="R486" t="s">
        <v>5</v>
      </c>
      <c r="S486" t="s">
        <v>127</v>
      </c>
    </row>
    <row r="487" spans="2:20" x14ac:dyDescent="0.25">
      <c r="B487" t="s">
        <v>155</v>
      </c>
      <c r="C487" s="2">
        <v>0.63929999999999998</v>
      </c>
      <c r="D487" s="2">
        <v>0.69140000000000001</v>
      </c>
      <c r="E487" s="2">
        <v>0.74339999999999995</v>
      </c>
      <c r="F487" s="2">
        <v>0.81769999999999998</v>
      </c>
      <c r="G487" s="2">
        <v>0.86980000000000002</v>
      </c>
      <c r="H487" s="2">
        <v>0.92930000000000001</v>
      </c>
      <c r="I487" s="2">
        <v>1.0109999999999999</v>
      </c>
      <c r="J487" s="2">
        <v>1.0928</v>
      </c>
      <c r="K487" s="2">
        <v>1.1746000000000001</v>
      </c>
      <c r="L487" s="2">
        <v>1.2638</v>
      </c>
      <c r="M487" s="2">
        <v>1.353</v>
      </c>
      <c r="N487" s="2">
        <v>1.4421999999999999</v>
      </c>
      <c r="O487" s="2">
        <v>1.5314000000000001</v>
      </c>
      <c r="P487" s="2">
        <v>1.6206</v>
      </c>
      <c r="Q487" s="2">
        <v>1.7098</v>
      </c>
      <c r="R487" t="s">
        <v>3</v>
      </c>
      <c r="S487" t="s">
        <v>127</v>
      </c>
    </row>
    <row r="488" spans="2:20" x14ac:dyDescent="0.25">
      <c r="B488" t="s">
        <v>135</v>
      </c>
      <c r="C488" s="2">
        <v>1.2784</v>
      </c>
      <c r="D488" s="2">
        <v>1.3824000000000001</v>
      </c>
      <c r="E488" s="2">
        <v>1.4864999999999999</v>
      </c>
      <c r="F488" s="2">
        <v>1.6351</v>
      </c>
      <c r="G488" s="2">
        <v>1.7392000000000001</v>
      </c>
      <c r="H488" s="2">
        <v>1.8581000000000001</v>
      </c>
      <c r="I488" s="2">
        <v>2.0215999999999998</v>
      </c>
      <c r="J488" s="2">
        <v>2.1850999999999998</v>
      </c>
      <c r="K488" s="2">
        <v>2.3485999999999998</v>
      </c>
      <c r="L488" s="2">
        <v>2.5270000000000001</v>
      </c>
      <c r="M488" s="2">
        <v>2.7054</v>
      </c>
      <c r="N488" s="2">
        <v>2.8837999999999999</v>
      </c>
      <c r="O488" s="2">
        <v>3.0621999999999998</v>
      </c>
      <c r="P488" s="2">
        <v>3.2404999999999999</v>
      </c>
      <c r="Q488" s="2">
        <v>3.4188999999999998</v>
      </c>
      <c r="R488" t="s">
        <v>3</v>
      </c>
      <c r="S488" t="s">
        <v>127</v>
      </c>
    </row>
    <row r="489" spans="2:20" x14ac:dyDescent="0.25">
      <c r="B489" t="s">
        <v>136</v>
      </c>
      <c r="C489" s="2">
        <v>1.5968</v>
      </c>
      <c r="D489" s="2">
        <v>1.7266999999999999</v>
      </c>
      <c r="E489" s="2">
        <v>1.8567</v>
      </c>
      <c r="F489" s="2">
        <v>2.0424000000000002</v>
      </c>
      <c r="G489" s="2">
        <v>2.1722999999999999</v>
      </c>
      <c r="H489" s="2">
        <v>2.3209</v>
      </c>
      <c r="I489" s="2">
        <v>2.5251000000000001</v>
      </c>
      <c r="J489" s="2">
        <v>2.7292999999999998</v>
      </c>
      <c r="K489" s="2">
        <v>2.9336000000000002</v>
      </c>
      <c r="L489" s="2">
        <v>3.1564000000000001</v>
      </c>
      <c r="M489" s="2">
        <v>3.3792</v>
      </c>
      <c r="N489" s="2">
        <v>3.6019999999999999</v>
      </c>
      <c r="O489" s="2">
        <v>3.8248000000000002</v>
      </c>
      <c r="P489" s="2">
        <v>4.0476000000000001</v>
      </c>
      <c r="Q489" s="2">
        <v>4.2704000000000004</v>
      </c>
      <c r="R489" t="s">
        <v>3</v>
      </c>
      <c r="S489" t="s">
        <v>127</v>
      </c>
    </row>
    <row r="490" spans="2:20" x14ac:dyDescent="0.25">
      <c r="B490" t="s">
        <v>4</v>
      </c>
      <c r="C490" s="2">
        <v>1.9119999999999999</v>
      </c>
      <c r="D490" s="2">
        <v>2.0554000000000001</v>
      </c>
      <c r="E490" s="2">
        <v>2.1987999999999999</v>
      </c>
      <c r="F490" s="2">
        <v>2.39</v>
      </c>
      <c r="G490" s="2">
        <v>2.5333999999999999</v>
      </c>
      <c r="H490" s="2">
        <v>2.6768000000000001</v>
      </c>
      <c r="I490" s="2">
        <v>2.8679999999999999</v>
      </c>
      <c r="J490" s="2">
        <v>3.0592000000000001</v>
      </c>
      <c r="K490" s="2">
        <v>3.2504</v>
      </c>
      <c r="L490" s="2">
        <v>3.4416000000000002</v>
      </c>
      <c r="M490" s="2">
        <v>3.6328</v>
      </c>
      <c r="N490" s="2">
        <v>3.8239999999999998</v>
      </c>
      <c r="O490" s="2">
        <v>4.0629999999999997</v>
      </c>
      <c r="P490" s="2">
        <v>4.3019999999999996</v>
      </c>
      <c r="Q490" s="2">
        <v>4.5410000000000004</v>
      </c>
      <c r="R490" t="s">
        <v>19</v>
      </c>
      <c r="S490" t="s">
        <v>127</v>
      </c>
    </row>
    <row r="491" spans="2:20" x14ac:dyDescent="0.25">
      <c r="B491" t="s">
        <v>231</v>
      </c>
      <c r="C491" s="2">
        <v>0.77600000000000002</v>
      </c>
      <c r="D491" s="2">
        <v>0.83420000000000005</v>
      </c>
      <c r="E491" s="2">
        <v>0.89239999999999997</v>
      </c>
      <c r="F491" s="2">
        <v>0.97</v>
      </c>
      <c r="G491" s="2">
        <v>1.0282</v>
      </c>
      <c r="H491" s="2">
        <v>1.0864</v>
      </c>
      <c r="I491" s="2">
        <v>1.1639999999999999</v>
      </c>
      <c r="J491" s="2">
        <v>1.2416</v>
      </c>
      <c r="K491" s="2">
        <v>1.3191999999999999</v>
      </c>
      <c r="L491" s="2">
        <v>1.3968</v>
      </c>
      <c r="M491" s="2">
        <v>1.4743999999999999</v>
      </c>
      <c r="N491" s="2">
        <v>1.552</v>
      </c>
      <c r="O491" s="2">
        <v>1.649</v>
      </c>
      <c r="P491" s="2">
        <v>1.746</v>
      </c>
      <c r="Q491" s="2">
        <v>1.843</v>
      </c>
      <c r="R491" t="s">
        <v>0</v>
      </c>
      <c r="S491" t="s">
        <v>127</v>
      </c>
    </row>
    <row r="492" spans="2:20" x14ac:dyDescent="0.25">
      <c r="B492" t="s">
        <v>932</v>
      </c>
      <c r="C492" s="2">
        <v>0.15</v>
      </c>
      <c r="D492" s="2">
        <v>0.15</v>
      </c>
      <c r="E492" s="2">
        <v>0.15</v>
      </c>
      <c r="F492" s="2">
        <v>0.15</v>
      </c>
      <c r="G492" s="2">
        <v>0.15</v>
      </c>
      <c r="H492" s="2">
        <v>0.15</v>
      </c>
      <c r="I492" s="2">
        <v>0.15</v>
      </c>
      <c r="J492" s="2">
        <v>0.15</v>
      </c>
      <c r="K492" s="2">
        <v>0.15</v>
      </c>
      <c r="L492" s="2">
        <v>0.15</v>
      </c>
      <c r="M492" s="2">
        <v>0.15</v>
      </c>
      <c r="N492" s="2">
        <v>0.15</v>
      </c>
      <c r="O492" s="2">
        <v>0.15</v>
      </c>
      <c r="P492" s="2">
        <v>0.15</v>
      </c>
      <c r="Q492" s="2">
        <v>0.15</v>
      </c>
      <c r="R492" t="s">
        <v>249</v>
      </c>
      <c r="S492" t="s">
        <v>127</v>
      </c>
      <c r="T492" t="s">
        <v>955</v>
      </c>
    </row>
    <row r="493" spans="2:20" x14ac:dyDescent="0.25">
      <c r="B493" s="3" t="s">
        <v>771</v>
      </c>
      <c r="C493" s="23"/>
      <c r="D493" s="23"/>
      <c r="E493" s="23"/>
      <c r="F493" s="23"/>
      <c r="G493" s="23"/>
      <c r="H493" s="23"/>
      <c r="I493" s="23"/>
      <c r="J493" s="23"/>
      <c r="K493" s="23"/>
      <c r="L493" s="23"/>
      <c r="M493" s="23"/>
      <c r="N493" s="23"/>
      <c r="O493" s="23"/>
      <c r="P493" s="23"/>
      <c r="Q493" s="23"/>
      <c r="R493" s="5" t="s">
        <v>771</v>
      </c>
      <c r="S493" t="s">
        <v>772</v>
      </c>
    </row>
    <row r="494" spans="2:20" x14ac:dyDescent="0.25">
      <c r="B494" s="3" t="s">
        <v>390</v>
      </c>
      <c r="C494" s="23"/>
      <c r="D494" s="23"/>
      <c r="E494" s="23"/>
      <c r="F494" s="23"/>
      <c r="G494" s="23"/>
      <c r="H494" s="23"/>
      <c r="I494" s="23"/>
      <c r="J494" s="23"/>
      <c r="K494" s="23"/>
      <c r="L494" s="23"/>
      <c r="M494" s="23"/>
      <c r="N494" s="23"/>
      <c r="O494" s="23"/>
      <c r="P494" s="23"/>
      <c r="Q494" s="23"/>
      <c r="R494" s="5" t="s">
        <v>396</v>
      </c>
      <c r="S494" t="s">
        <v>69</v>
      </c>
    </row>
    <row r="495" spans="2:20" x14ac:dyDescent="0.25">
      <c r="B495" s="3" t="s">
        <v>392</v>
      </c>
      <c r="C495" s="23"/>
      <c r="D495" s="23"/>
      <c r="E495" s="23"/>
      <c r="F495" s="23"/>
      <c r="G495" s="23"/>
      <c r="H495" s="23"/>
      <c r="I495" s="23"/>
      <c r="J495" s="23"/>
      <c r="K495" s="23"/>
      <c r="L495" s="23"/>
      <c r="M495" s="23"/>
      <c r="N495" s="23"/>
      <c r="O495" s="23"/>
      <c r="P495" s="23"/>
      <c r="Q495" s="23"/>
      <c r="R495" s="5" t="s">
        <v>396</v>
      </c>
      <c r="S495" t="s">
        <v>69</v>
      </c>
    </row>
    <row r="496" spans="2:20" x14ac:dyDescent="0.25">
      <c r="B496" s="3" t="s">
        <v>393</v>
      </c>
      <c r="C496" s="23"/>
      <c r="D496" s="23"/>
      <c r="E496" s="23"/>
      <c r="F496" s="23"/>
      <c r="G496" s="23"/>
      <c r="H496" s="23"/>
      <c r="I496" s="23"/>
      <c r="J496" s="23"/>
      <c r="K496" s="23"/>
      <c r="L496" s="23"/>
      <c r="M496" s="23"/>
      <c r="N496" s="23"/>
      <c r="O496" s="23"/>
      <c r="P496" s="23"/>
      <c r="Q496" s="23"/>
      <c r="R496" s="5" t="s">
        <v>396</v>
      </c>
      <c r="S496" t="s">
        <v>69</v>
      </c>
    </row>
    <row r="497" spans="1:19" x14ac:dyDescent="0.25">
      <c r="B497" s="3" t="s">
        <v>389</v>
      </c>
      <c r="C497" s="23"/>
      <c r="D497" s="23"/>
      <c r="E497" s="23"/>
      <c r="F497" s="23"/>
      <c r="G497" s="23"/>
      <c r="H497" s="23"/>
      <c r="I497" s="23"/>
      <c r="J497" s="23"/>
      <c r="K497" s="23"/>
      <c r="L497" s="23"/>
      <c r="M497" s="23"/>
      <c r="N497" s="23"/>
      <c r="O497" s="23"/>
      <c r="P497" s="23"/>
      <c r="Q497" s="23"/>
      <c r="R497" s="5" t="s">
        <v>396</v>
      </c>
      <c r="S497" t="s">
        <v>69</v>
      </c>
    </row>
    <row r="498" spans="1:19" x14ac:dyDescent="0.25">
      <c r="B498" s="3" t="s">
        <v>391</v>
      </c>
      <c r="C498" s="23"/>
      <c r="D498" s="23"/>
      <c r="E498" s="23"/>
      <c r="F498" s="23"/>
      <c r="G498" s="23"/>
      <c r="H498" s="23"/>
      <c r="I498" s="23"/>
      <c r="J498" s="23"/>
      <c r="K498" s="23"/>
      <c r="L498" s="23"/>
      <c r="M498" s="23"/>
      <c r="N498" s="23"/>
      <c r="O498" s="23"/>
      <c r="P498" s="23"/>
      <c r="Q498" s="23"/>
      <c r="R498" s="5" t="s">
        <v>396</v>
      </c>
      <c r="S498" t="s">
        <v>69</v>
      </c>
    </row>
    <row r="499" spans="1:19" x14ac:dyDescent="0.25">
      <c r="B499" s="3" t="s">
        <v>394</v>
      </c>
      <c r="C499" s="23"/>
      <c r="D499" s="23"/>
      <c r="E499" s="23"/>
      <c r="F499" s="23"/>
      <c r="G499" s="23"/>
      <c r="H499" s="23"/>
      <c r="I499" s="23"/>
      <c r="J499" s="23"/>
      <c r="K499" s="23"/>
      <c r="L499" s="23"/>
      <c r="M499" s="23"/>
      <c r="N499" s="23"/>
      <c r="O499" s="23"/>
      <c r="P499" s="23"/>
      <c r="Q499" s="23"/>
      <c r="R499" s="5" t="s">
        <v>396</v>
      </c>
      <c r="S499" t="s">
        <v>69</v>
      </c>
    </row>
    <row r="500" spans="1:19" x14ac:dyDescent="0.25">
      <c r="B500" s="3" t="s">
        <v>395</v>
      </c>
      <c r="C500" s="23"/>
      <c r="D500" s="23"/>
      <c r="E500" s="23"/>
      <c r="F500" s="23"/>
      <c r="G500" s="23"/>
      <c r="H500" s="23"/>
      <c r="I500" s="23"/>
      <c r="J500" s="23"/>
      <c r="K500" s="23"/>
      <c r="L500" s="23"/>
      <c r="M500" s="23"/>
      <c r="N500" s="23"/>
      <c r="O500" s="23"/>
      <c r="P500" s="23"/>
      <c r="Q500" s="23"/>
      <c r="R500" s="5" t="s">
        <v>396</v>
      </c>
      <c r="S500" t="s">
        <v>69</v>
      </c>
    </row>
    <row r="501" spans="1:19" x14ac:dyDescent="0.25">
      <c r="A501" t="s">
        <v>866</v>
      </c>
      <c r="B501" s="3" t="s">
        <v>397</v>
      </c>
      <c r="C501" s="23"/>
      <c r="D501" s="23"/>
      <c r="E501" s="23"/>
      <c r="F501" s="23"/>
      <c r="G501" s="23"/>
      <c r="H501" s="23"/>
      <c r="I501" s="23"/>
      <c r="J501" s="23"/>
      <c r="K501" s="23"/>
      <c r="L501" s="23"/>
      <c r="M501" s="23"/>
      <c r="N501" s="23"/>
      <c r="O501" s="23"/>
      <c r="P501" s="23"/>
      <c r="Q501" s="23"/>
      <c r="R501" s="5" t="s">
        <v>396</v>
      </c>
      <c r="S501" t="s">
        <v>69</v>
      </c>
    </row>
    <row r="502" spans="1:19" x14ac:dyDescent="0.25">
      <c r="B502" t="s">
        <v>232</v>
      </c>
      <c r="C502" s="21">
        <v>1</v>
      </c>
      <c r="D502" s="21">
        <v>2</v>
      </c>
      <c r="E502" s="21">
        <v>3</v>
      </c>
      <c r="F502" s="21">
        <v>4</v>
      </c>
      <c r="G502" s="21">
        <v>5</v>
      </c>
      <c r="H502" s="21">
        <v>6</v>
      </c>
      <c r="I502" s="21">
        <v>7</v>
      </c>
      <c r="J502" s="21">
        <v>8</v>
      </c>
      <c r="K502" s="21">
        <v>9</v>
      </c>
      <c r="L502" s="21">
        <v>10</v>
      </c>
      <c r="M502" s="21">
        <v>11</v>
      </c>
      <c r="N502" s="21">
        <v>12</v>
      </c>
      <c r="O502" s="21">
        <v>13</v>
      </c>
      <c r="P502" s="21">
        <v>14</v>
      </c>
      <c r="Q502" s="21">
        <v>15</v>
      </c>
      <c r="R502" s="5" t="s">
        <v>11</v>
      </c>
      <c r="S502" t="s">
        <v>126</v>
      </c>
    </row>
    <row r="503" spans="1:19" x14ac:dyDescent="0.25">
      <c r="A503" t="s">
        <v>867</v>
      </c>
      <c r="B503" t="s">
        <v>10</v>
      </c>
      <c r="C503" s="2">
        <v>0.44979999999999998</v>
      </c>
      <c r="D503" s="2">
        <v>0.4864</v>
      </c>
      <c r="E503" s="2">
        <v>0.52300000000000002</v>
      </c>
      <c r="F503" s="2">
        <v>0.57530000000000003</v>
      </c>
      <c r="G503" s="2">
        <v>0.6119</v>
      </c>
      <c r="H503" s="2">
        <v>0.65380000000000005</v>
      </c>
      <c r="I503" s="2">
        <v>0.71130000000000004</v>
      </c>
      <c r="J503" s="2">
        <v>0.76880000000000004</v>
      </c>
      <c r="K503" s="2">
        <v>0.82630000000000003</v>
      </c>
      <c r="L503" s="2">
        <v>0.8891</v>
      </c>
      <c r="M503" s="2">
        <v>0.96099999999999997</v>
      </c>
      <c r="N503" s="2">
        <v>1.0456000000000001</v>
      </c>
      <c r="O503" s="2">
        <v>1.1302000000000001</v>
      </c>
      <c r="P503" s="2">
        <v>1.2146999999999999</v>
      </c>
      <c r="Q503" s="2">
        <v>1.3069999999999999</v>
      </c>
      <c r="R503" t="s">
        <v>6</v>
      </c>
      <c r="S503" t="s">
        <v>127</v>
      </c>
    </row>
    <row r="504" spans="1:19" x14ac:dyDescent="0.25">
      <c r="B504" t="s">
        <v>9</v>
      </c>
      <c r="C504" s="2">
        <v>0.45240000000000002</v>
      </c>
      <c r="D504" s="2">
        <v>0.48920000000000002</v>
      </c>
      <c r="E504" s="2">
        <v>0.52600000000000002</v>
      </c>
      <c r="F504" s="2">
        <v>0.5786</v>
      </c>
      <c r="G504" s="2">
        <v>0.61539999999999995</v>
      </c>
      <c r="H504" s="2">
        <v>0.65749999999999997</v>
      </c>
      <c r="I504" s="2">
        <v>0.71540000000000004</v>
      </c>
      <c r="J504" s="2">
        <v>0.7732</v>
      </c>
      <c r="K504" s="2">
        <v>0.83109999999999995</v>
      </c>
      <c r="L504" s="2">
        <v>0.89419999999999999</v>
      </c>
      <c r="M504" s="2">
        <v>0.96650000000000003</v>
      </c>
      <c r="N504" s="2">
        <v>1.0516000000000001</v>
      </c>
      <c r="O504" s="2">
        <v>1.1366000000000001</v>
      </c>
      <c r="P504" s="2">
        <v>1.2217</v>
      </c>
      <c r="Q504" s="2">
        <v>1.3145</v>
      </c>
      <c r="R504" t="s">
        <v>6</v>
      </c>
      <c r="S504" t="s">
        <v>127</v>
      </c>
    </row>
    <row r="505" spans="1:19" x14ac:dyDescent="0.25">
      <c r="B505" t="s">
        <v>193</v>
      </c>
      <c r="C505" s="2">
        <v>0.25800000000000001</v>
      </c>
      <c r="D505" s="2">
        <v>0.27900000000000003</v>
      </c>
      <c r="E505" s="2">
        <v>0.3</v>
      </c>
      <c r="F505" s="2">
        <v>0.33</v>
      </c>
      <c r="G505" s="2">
        <v>0.35099999999999998</v>
      </c>
      <c r="H505" s="2">
        <v>0.375</v>
      </c>
      <c r="I505" s="2">
        <v>0.40799999999999997</v>
      </c>
      <c r="J505" s="2">
        <v>0.441</v>
      </c>
      <c r="K505" s="2">
        <v>0.47399999999999998</v>
      </c>
      <c r="L505" s="2">
        <v>0.51</v>
      </c>
      <c r="M505" s="2">
        <v>0.55130000000000001</v>
      </c>
      <c r="N505" s="2">
        <v>0.5998</v>
      </c>
      <c r="O505" s="2">
        <v>0.64829999999999999</v>
      </c>
      <c r="P505" s="2">
        <v>0.69679999999999997</v>
      </c>
      <c r="Q505" s="2">
        <v>0.74970000000000003</v>
      </c>
      <c r="R505" t="s">
        <v>6</v>
      </c>
      <c r="S505" t="s">
        <v>127</v>
      </c>
    </row>
    <row r="506" spans="1:19" x14ac:dyDescent="0.25">
      <c r="B506" t="s">
        <v>194</v>
      </c>
      <c r="C506" s="2">
        <v>0.30959999999999999</v>
      </c>
      <c r="D506" s="2">
        <v>0.33479999999999999</v>
      </c>
      <c r="E506" s="2">
        <v>0.36</v>
      </c>
      <c r="F506" s="2">
        <v>0.39600000000000002</v>
      </c>
      <c r="G506" s="2">
        <v>0.42120000000000002</v>
      </c>
      <c r="H506" s="2">
        <v>0.45</v>
      </c>
      <c r="I506" s="2">
        <v>0.48959999999999998</v>
      </c>
      <c r="J506" s="2">
        <v>0.5292</v>
      </c>
      <c r="K506" s="2">
        <v>0.56879999999999997</v>
      </c>
      <c r="L506" s="2">
        <v>0.61199999999999999</v>
      </c>
      <c r="M506" s="2">
        <v>0.66149999999999998</v>
      </c>
      <c r="N506" s="2">
        <v>0.71970000000000001</v>
      </c>
      <c r="O506" s="2">
        <v>0.77790000000000004</v>
      </c>
      <c r="P506" s="2">
        <v>0.83609999999999995</v>
      </c>
      <c r="Q506" s="2">
        <v>0.89959999999999996</v>
      </c>
      <c r="R506" t="s">
        <v>6</v>
      </c>
      <c r="S506" t="s">
        <v>127</v>
      </c>
    </row>
    <row r="507" spans="1:19" x14ac:dyDescent="0.25">
      <c r="B507" t="s">
        <v>13</v>
      </c>
      <c r="C507" s="2">
        <v>0.60719999999999996</v>
      </c>
      <c r="D507" s="2">
        <v>0.65659999999999996</v>
      </c>
      <c r="E507" s="2">
        <v>0.70599999999999996</v>
      </c>
      <c r="F507" s="2">
        <v>0.77659999999999996</v>
      </c>
      <c r="G507" s="2">
        <v>0.82599999999999996</v>
      </c>
      <c r="H507" s="2">
        <v>0.88249999999999995</v>
      </c>
      <c r="I507" s="2">
        <v>0.96020000000000005</v>
      </c>
      <c r="J507" s="2">
        <v>1.0378000000000001</v>
      </c>
      <c r="K507" s="2">
        <v>1.1154999999999999</v>
      </c>
      <c r="L507" s="2">
        <v>1.2001999999999999</v>
      </c>
      <c r="M507" s="2">
        <v>1.2972999999999999</v>
      </c>
      <c r="N507" s="2">
        <v>1.4114</v>
      </c>
      <c r="O507" s="2">
        <v>1.5256000000000001</v>
      </c>
      <c r="P507" s="2">
        <v>1.6397999999999999</v>
      </c>
      <c r="Q507" s="2">
        <v>1.7643</v>
      </c>
      <c r="R507" t="s">
        <v>6</v>
      </c>
      <c r="S507" t="s">
        <v>127</v>
      </c>
    </row>
    <row r="508" spans="1:19" x14ac:dyDescent="0.25">
      <c r="B508" t="s">
        <v>233</v>
      </c>
      <c r="C508" s="2">
        <v>0.25369999999999998</v>
      </c>
      <c r="D508" s="2">
        <v>0.27439999999999998</v>
      </c>
      <c r="E508" s="2">
        <v>0.29499999999999998</v>
      </c>
      <c r="F508" s="2">
        <v>0.32450000000000001</v>
      </c>
      <c r="G508" s="2">
        <v>0.34520000000000001</v>
      </c>
      <c r="H508" s="2">
        <v>0.36880000000000002</v>
      </c>
      <c r="I508" s="2">
        <v>0.4012</v>
      </c>
      <c r="J508" s="2">
        <v>0.43369999999999997</v>
      </c>
      <c r="K508" s="2">
        <v>0.46610000000000001</v>
      </c>
      <c r="L508" s="2">
        <v>0.50149999999999995</v>
      </c>
      <c r="M508" s="2">
        <v>0.54210000000000003</v>
      </c>
      <c r="N508" s="2">
        <v>0.58979999999999999</v>
      </c>
      <c r="O508" s="2">
        <v>0.63749999999999996</v>
      </c>
      <c r="P508" s="2">
        <v>0.68520000000000003</v>
      </c>
      <c r="Q508" s="2">
        <v>0.73719999999999997</v>
      </c>
      <c r="R508" t="s">
        <v>6</v>
      </c>
      <c r="S508" t="s">
        <v>127</v>
      </c>
    </row>
    <row r="509" spans="1:19" x14ac:dyDescent="0.25">
      <c r="B509" t="s">
        <v>140</v>
      </c>
      <c r="C509" s="2">
        <v>0.43</v>
      </c>
      <c r="D509" s="2">
        <v>0.46500000000000002</v>
      </c>
      <c r="E509" s="2">
        <v>0.5</v>
      </c>
      <c r="F509" s="2">
        <v>0.55000000000000004</v>
      </c>
      <c r="G509" s="2">
        <v>0.58499999999999996</v>
      </c>
      <c r="H509" s="2">
        <v>0.625</v>
      </c>
      <c r="I509" s="2">
        <v>0.68</v>
      </c>
      <c r="J509" s="2">
        <v>0.73499999999999999</v>
      </c>
      <c r="K509" s="2">
        <v>0.79</v>
      </c>
      <c r="L509" s="2">
        <v>0.85</v>
      </c>
      <c r="M509" s="2">
        <v>0.91879999999999995</v>
      </c>
      <c r="N509" s="2">
        <v>0.99960000000000004</v>
      </c>
      <c r="O509" s="2">
        <v>1.0805</v>
      </c>
      <c r="P509" s="2">
        <v>1.1613</v>
      </c>
      <c r="Q509" s="2">
        <v>1.2495000000000001</v>
      </c>
      <c r="R509" t="s">
        <v>5</v>
      </c>
      <c r="S509" t="s">
        <v>127</v>
      </c>
    </row>
    <row r="510" spans="1:19" x14ac:dyDescent="0.25">
      <c r="B510" t="s">
        <v>141</v>
      </c>
      <c r="C510" s="2">
        <v>0.74650000000000005</v>
      </c>
      <c r="D510" s="2">
        <v>0.80720000000000003</v>
      </c>
      <c r="E510" s="2">
        <v>0.86799999999999999</v>
      </c>
      <c r="F510" s="2">
        <v>0.95479999999999998</v>
      </c>
      <c r="G510" s="2">
        <v>1.0156000000000001</v>
      </c>
      <c r="H510" s="2">
        <v>1.085</v>
      </c>
      <c r="I510" s="2">
        <v>1.1805000000000001</v>
      </c>
      <c r="J510" s="2">
        <v>1.276</v>
      </c>
      <c r="K510" s="2">
        <v>1.3714</v>
      </c>
      <c r="L510" s="2">
        <v>1.4756</v>
      </c>
      <c r="M510" s="2">
        <v>1.595</v>
      </c>
      <c r="N510" s="2">
        <v>1.7353000000000001</v>
      </c>
      <c r="O510" s="2">
        <v>1.8756999999999999</v>
      </c>
      <c r="P510" s="2">
        <v>2.016</v>
      </c>
      <c r="Q510" s="2">
        <v>2.1690999999999998</v>
      </c>
      <c r="R510" t="s">
        <v>5</v>
      </c>
      <c r="S510" t="s">
        <v>127</v>
      </c>
    </row>
    <row r="511" spans="1:19" x14ac:dyDescent="0.25">
      <c r="B511" t="s">
        <v>155</v>
      </c>
      <c r="C511" s="2">
        <v>0.81830000000000003</v>
      </c>
      <c r="D511" s="2">
        <v>0.88490000000000002</v>
      </c>
      <c r="E511" s="2">
        <v>0.9516</v>
      </c>
      <c r="F511" s="2">
        <v>1.0467</v>
      </c>
      <c r="G511" s="2">
        <v>1.1133</v>
      </c>
      <c r="H511" s="2">
        <v>1.1894</v>
      </c>
      <c r="I511" s="2">
        <v>1.2941</v>
      </c>
      <c r="J511" s="2">
        <v>1.3988</v>
      </c>
      <c r="K511" s="2">
        <v>1.5035000000000001</v>
      </c>
      <c r="L511" s="2">
        <v>1.6175999999999999</v>
      </c>
      <c r="M511" s="2">
        <v>1.7318</v>
      </c>
      <c r="N511" s="2">
        <v>1.8460000000000001</v>
      </c>
      <c r="O511" s="2">
        <v>1.9601999999999999</v>
      </c>
      <c r="P511" s="2">
        <v>2.0743999999999998</v>
      </c>
      <c r="Q511" s="2">
        <v>2.1886000000000001</v>
      </c>
      <c r="R511" t="s">
        <v>3</v>
      </c>
      <c r="S511" t="s">
        <v>127</v>
      </c>
    </row>
    <row r="512" spans="1:19" x14ac:dyDescent="0.25">
      <c r="B512" t="s">
        <v>135</v>
      </c>
      <c r="C512" s="2">
        <v>1.6363000000000001</v>
      </c>
      <c r="D512" s="2">
        <v>1.7695000000000001</v>
      </c>
      <c r="E512" s="2">
        <v>1.9027000000000001</v>
      </c>
      <c r="F512" s="2">
        <v>2.093</v>
      </c>
      <c r="G512" s="2">
        <v>2.2262</v>
      </c>
      <c r="H512" s="2">
        <v>2.3784000000000001</v>
      </c>
      <c r="I512" s="2">
        <v>2.5876999999999999</v>
      </c>
      <c r="J512" s="2">
        <v>2.7970000000000002</v>
      </c>
      <c r="K512" s="2">
        <v>3.0063</v>
      </c>
      <c r="L512" s="2">
        <v>3.2345999999999999</v>
      </c>
      <c r="M512" s="2">
        <v>3.4628999999999999</v>
      </c>
      <c r="N512" s="2">
        <v>3.6911999999999998</v>
      </c>
      <c r="O512" s="2">
        <v>3.9196</v>
      </c>
      <c r="P512" s="2">
        <v>4.1478999999999999</v>
      </c>
      <c r="Q512" s="2">
        <v>4.3761999999999999</v>
      </c>
      <c r="R512" t="s">
        <v>3</v>
      </c>
      <c r="S512" t="s">
        <v>127</v>
      </c>
    </row>
    <row r="513" spans="1:19" x14ac:dyDescent="0.25">
      <c r="B513" t="s">
        <v>136</v>
      </c>
      <c r="C513" s="2">
        <v>2.0438999999999998</v>
      </c>
      <c r="D513" s="2">
        <v>2.2101999999999999</v>
      </c>
      <c r="E513" s="2">
        <v>2.3765999999999998</v>
      </c>
      <c r="F513" s="2">
        <v>2.6141999999999999</v>
      </c>
      <c r="G513" s="2">
        <v>2.7806000000000002</v>
      </c>
      <c r="H513" s="2">
        <v>2.9706999999999999</v>
      </c>
      <c r="I513" s="2">
        <v>3.2321</v>
      </c>
      <c r="J513" s="2">
        <v>3.4935999999999998</v>
      </c>
      <c r="K513" s="2">
        <v>3.7549999999999999</v>
      </c>
      <c r="L513" s="2">
        <v>4.0401999999999996</v>
      </c>
      <c r="M513" s="2">
        <v>4.3254000000000001</v>
      </c>
      <c r="N513" s="2">
        <v>4.6105999999999998</v>
      </c>
      <c r="O513" s="2">
        <v>4.8956999999999997</v>
      </c>
      <c r="P513" s="2">
        <v>5.1809000000000003</v>
      </c>
      <c r="Q513" s="2">
        <v>5.4661</v>
      </c>
      <c r="R513" t="s">
        <v>3</v>
      </c>
      <c r="S513" t="s">
        <v>127</v>
      </c>
    </row>
    <row r="514" spans="1:19" x14ac:dyDescent="0.25">
      <c r="B514" t="s">
        <v>234</v>
      </c>
      <c r="C514" s="2">
        <v>1.92</v>
      </c>
      <c r="D514" s="2">
        <v>2.0640000000000001</v>
      </c>
      <c r="E514" s="2">
        <v>2.2080000000000002</v>
      </c>
      <c r="F514" s="2">
        <v>2.4</v>
      </c>
      <c r="G514" s="2">
        <v>2.544</v>
      </c>
      <c r="H514" s="2">
        <v>2.6880000000000002</v>
      </c>
      <c r="I514" s="2">
        <v>2.88</v>
      </c>
      <c r="J514" s="2">
        <v>3.0720000000000001</v>
      </c>
      <c r="K514" s="2">
        <v>3.2639999999999998</v>
      </c>
      <c r="L514" s="2">
        <v>3.456</v>
      </c>
      <c r="M514" s="2">
        <v>3.6480000000000001</v>
      </c>
      <c r="N514" s="2">
        <v>3.84</v>
      </c>
      <c r="O514" s="2">
        <v>4.08</v>
      </c>
      <c r="P514" s="2">
        <v>4.32</v>
      </c>
      <c r="Q514" s="2">
        <v>4.5599999999999996</v>
      </c>
      <c r="R514" t="s">
        <v>19</v>
      </c>
      <c r="S514" t="s">
        <v>127</v>
      </c>
    </row>
    <row r="515" spans="1:19" x14ac:dyDescent="0.25">
      <c r="B515" t="s">
        <v>235</v>
      </c>
      <c r="C515" s="2">
        <v>2.6080000000000001</v>
      </c>
      <c r="D515" s="2">
        <v>2.8035999999999999</v>
      </c>
      <c r="E515" s="2">
        <v>2.9992000000000001</v>
      </c>
      <c r="F515" s="2">
        <v>3.26</v>
      </c>
      <c r="G515" s="2">
        <v>3.4556</v>
      </c>
      <c r="H515" s="2">
        <v>3.6511999999999998</v>
      </c>
      <c r="I515" s="2">
        <v>3.9119999999999999</v>
      </c>
      <c r="J515" s="2">
        <v>4.1727999999999996</v>
      </c>
      <c r="K515" s="2">
        <v>4.4336000000000002</v>
      </c>
      <c r="L515" s="2">
        <v>4.6943999999999999</v>
      </c>
      <c r="M515" s="2">
        <v>4.9551999999999996</v>
      </c>
      <c r="N515" s="2">
        <v>5.2160000000000002</v>
      </c>
      <c r="O515" s="2">
        <v>5.5419999999999998</v>
      </c>
      <c r="P515" s="2">
        <v>5.8680000000000003</v>
      </c>
      <c r="Q515" s="2">
        <v>6.194</v>
      </c>
      <c r="R515" t="s">
        <v>19</v>
      </c>
      <c r="S515" t="s">
        <v>127</v>
      </c>
    </row>
    <row r="516" spans="1:19" x14ac:dyDescent="0.25">
      <c r="B516" t="s">
        <v>181</v>
      </c>
      <c r="C516" s="2">
        <v>2.6240000000000001</v>
      </c>
      <c r="D516" s="2">
        <v>2.8208000000000002</v>
      </c>
      <c r="E516" s="2">
        <v>3.0175999999999998</v>
      </c>
      <c r="F516" s="2">
        <v>3.28</v>
      </c>
      <c r="G516" s="2">
        <v>3.4767999999999999</v>
      </c>
      <c r="H516" s="2">
        <v>3.6736</v>
      </c>
      <c r="I516" s="2">
        <v>3.9359999999999999</v>
      </c>
      <c r="J516" s="2">
        <v>4.1984000000000004</v>
      </c>
      <c r="K516" s="2">
        <v>4.4607999999999999</v>
      </c>
      <c r="L516" s="2">
        <v>4.7232000000000003</v>
      </c>
      <c r="M516" s="2">
        <v>4.9855999999999998</v>
      </c>
      <c r="N516" s="2">
        <v>5.2480000000000002</v>
      </c>
      <c r="O516" s="2">
        <v>5.5759999999999996</v>
      </c>
      <c r="P516" s="2">
        <v>5.9039999999999999</v>
      </c>
      <c r="Q516" s="2">
        <v>6.2320000000000002</v>
      </c>
      <c r="R516" t="s">
        <v>0</v>
      </c>
      <c r="S516" t="s">
        <v>127</v>
      </c>
    </row>
    <row r="517" spans="1:19" x14ac:dyDescent="0.25">
      <c r="B517" t="s">
        <v>182</v>
      </c>
      <c r="C517" s="2">
        <v>1.2</v>
      </c>
      <c r="D517" s="2">
        <v>1.29</v>
      </c>
      <c r="E517" s="2">
        <v>1.38</v>
      </c>
      <c r="F517" s="2">
        <v>1.5</v>
      </c>
      <c r="G517" s="2">
        <v>1.59</v>
      </c>
      <c r="H517" s="2">
        <v>1.68</v>
      </c>
      <c r="I517" s="2">
        <v>1.8</v>
      </c>
      <c r="J517" s="2">
        <v>1.92</v>
      </c>
      <c r="K517" s="2">
        <v>2.04</v>
      </c>
      <c r="L517" s="2">
        <v>2.16</v>
      </c>
      <c r="M517" s="2">
        <v>2.2799999999999998</v>
      </c>
      <c r="N517" s="2">
        <v>2.4</v>
      </c>
      <c r="O517" s="2">
        <v>2.5499999999999998</v>
      </c>
      <c r="P517" s="2">
        <v>2.7</v>
      </c>
      <c r="Q517" s="2">
        <v>2.85</v>
      </c>
      <c r="R517" t="s">
        <v>0</v>
      </c>
      <c r="S517" t="s">
        <v>127</v>
      </c>
    </row>
    <row r="518" spans="1:19" x14ac:dyDescent="0.25">
      <c r="B518" t="s">
        <v>236</v>
      </c>
      <c r="C518" s="2">
        <v>0.36</v>
      </c>
      <c r="D518" s="2">
        <v>0.38700000000000001</v>
      </c>
      <c r="E518" s="2">
        <v>0.41399999999999998</v>
      </c>
      <c r="F518" s="2">
        <v>0.45</v>
      </c>
      <c r="G518" s="2">
        <v>0.47699999999999998</v>
      </c>
      <c r="H518" s="2">
        <v>0.504</v>
      </c>
      <c r="I518" s="2">
        <v>0.54</v>
      </c>
      <c r="J518" s="2">
        <v>0.57599999999999996</v>
      </c>
      <c r="K518" s="2">
        <v>0.61199999999999999</v>
      </c>
      <c r="L518" s="2">
        <v>0.64800000000000002</v>
      </c>
      <c r="M518" s="2">
        <v>0.68400000000000005</v>
      </c>
      <c r="N518" s="2">
        <v>0.72</v>
      </c>
      <c r="O518" s="2">
        <v>0.76500000000000001</v>
      </c>
      <c r="P518" s="2">
        <v>0.81</v>
      </c>
      <c r="Q518" s="2">
        <v>0.85499999999999998</v>
      </c>
      <c r="R518" t="s">
        <v>24</v>
      </c>
      <c r="S518" t="s">
        <v>127</v>
      </c>
    </row>
    <row r="519" spans="1:19" x14ac:dyDescent="0.25">
      <c r="B519" t="s">
        <v>238</v>
      </c>
      <c r="C519" s="20">
        <v>2</v>
      </c>
      <c r="D519" s="20">
        <v>2</v>
      </c>
      <c r="E519" s="20">
        <v>2</v>
      </c>
      <c r="F519" s="20">
        <v>2</v>
      </c>
      <c r="G519" s="20">
        <v>2</v>
      </c>
      <c r="H519" s="20">
        <v>2</v>
      </c>
      <c r="I519" s="20">
        <v>2</v>
      </c>
      <c r="J519" s="20">
        <v>2</v>
      </c>
      <c r="K519" s="20">
        <v>2</v>
      </c>
      <c r="L519" s="20">
        <v>2</v>
      </c>
      <c r="M519" s="20">
        <v>2</v>
      </c>
      <c r="N519" s="20">
        <v>2</v>
      </c>
      <c r="O519" s="20">
        <v>2</v>
      </c>
      <c r="P519" s="20">
        <v>2</v>
      </c>
      <c r="Q519" s="20">
        <v>2</v>
      </c>
      <c r="R519" t="s">
        <v>23</v>
      </c>
      <c r="S519" t="s">
        <v>127</v>
      </c>
    </row>
    <row r="520" spans="1:19" x14ac:dyDescent="0.25">
      <c r="B520" s="3" t="s">
        <v>771</v>
      </c>
      <c r="C520" s="23"/>
      <c r="D520" s="23"/>
      <c r="E520" s="23"/>
      <c r="F520" s="23"/>
      <c r="G520" s="23"/>
      <c r="H520" s="23"/>
      <c r="I520" s="23"/>
      <c r="J520" s="23"/>
      <c r="K520" s="23"/>
      <c r="L520" s="23"/>
      <c r="M520" s="23"/>
      <c r="N520" s="23"/>
      <c r="O520" s="23"/>
      <c r="P520" s="23"/>
      <c r="Q520" s="23"/>
      <c r="R520" s="5" t="s">
        <v>771</v>
      </c>
      <c r="S520" t="s">
        <v>772</v>
      </c>
    </row>
    <row r="521" spans="1:19" x14ac:dyDescent="0.25">
      <c r="B521" s="3" t="s">
        <v>390</v>
      </c>
      <c r="C521" s="23"/>
      <c r="D521" s="23"/>
      <c r="E521" s="23"/>
      <c r="F521" s="23"/>
      <c r="G521" s="23"/>
      <c r="H521" s="23"/>
      <c r="I521" s="23"/>
      <c r="J521" s="23"/>
      <c r="K521" s="23"/>
      <c r="L521" s="23"/>
      <c r="M521" s="23"/>
      <c r="N521" s="23"/>
      <c r="O521" s="23"/>
      <c r="P521" s="23"/>
      <c r="Q521" s="23"/>
      <c r="R521" s="5" t="s">
        <v>396</v>
      </c>
      <c r="S521" t="s">
        <v>69</v>
      </c>
    </row>
    <row r="522" spans="1:19" x14ac:dyDescent="0.25">
      <c r="B522" s="3" t="s">
        <v>392</v>
      </c>
      <c r="C522" s="23"/>
      <c r="D522" s="23"/>
      <c r="E522" s="23"/>
      <c r="F522" s="23"/>
      <c r="G522" s="23"/>
      <c r="H522" s="23"/>
      <c r="I522" s="23"/>
      <c r="J522" s="23"/>
      <c r="K522" s="23"/>
      <c r="L522" s="23"/>
      <c r="M522" s="23"/>
      <c r="N522" s="23"/>
      <c r="O522" s="23"/>
      <c r="P522" s="23"/>
      <c r="Q522" s="23"/>
      <c r="R522" s="5" t="s">
        <v>396</v>
      </c>
      <c r="S522" t="s">
        <v>69</v>
      </c>
    </row>
    <row r="523" spans="1:19" x14ac:dyDescent="0.25">
      <c r="B523" s="3" t="s">
        <v>393</v>
      </c>
      <c r="C523" s="23"/>
      <c r="D523" s="23"/>
      <c r="E523" s="23"/>
      <c r="F523" s="23"/>
      <c r="G523" s="23"/>
      <c r="H523" s="23"/>
      <c r="I523" s="23"/>
      <c r="J523" s="23"/>
      <c r="K523" s="23"/>
      <c r="L523" s="23"/>
      <c r="M523" s="23"/>
      <c r="N523" s="23"/>
      <c r="O523" s="23"/>
      <c r="P523" s="23"/>
      <c r="Q523" s="23"/>
      <c r="R523" s="5" t="s">
        <v>396</v>
      </c>
      <c r="S523" t="s">
        <v>69</v>
      </c>
    </row>
    <row r="524" spans="1:19" x14ac:dyDescent="0.25">
      <c r="B524" s="3" t="s">
        <v>389</v>
      </c>
      <c r="C524" s="23"/>
      <c r="D524" s="23"/>
      <c r="E524" s="23"/>
      <c r="F524" s="23"/>
      <c r="G524" s="23"/>
      <c r="H524" s="23"/>
      <c r="I524" s="23"/>
      <c r="J524" s="23"/>
      <c r="K524" s="23"/>
      <c r="L524" s="23"/>
      <c r="M524" s="23"/>
      <c r="N524" s="23"/>
      <c r="O524" s="23"/>
      <c r="P524" s="23"/>
      <c r="Q524" s="23"/>
      <c r="R524" s="5" t="s">
        <v>396</v>
      </c>
      <c r="S524" t="s">
        <v>69</v>
      </c>
    </row>
    <row r="525" spans="1:19" x14ac:dyDescent="0.25">
      <c r="B525" s="3" t="s">
        <v>391</v>
      </c>
      <c r="C525" s="23"/>
      <c r="D525" s="23"/>
      <c r="E525" s="23"/>
      <c r="F525" s="23"/>
      <c r="G525" s="23"/>
      <c r="H525" s="23"/>
      <c r="I525" s="23"/>
      <c r="J525" s="23"/>
      <c r="K525" s="23"/>
      <c r="L525" s="23"/>
      <c r="M525" s="23"/>
      <c r="N525" s="23"/>
      <c r="O525" s="23"/>
      <c r="P525" s="23"/>
      <c r="Q525" s="23"/>
      <c r="R525" s="5" t="s">
        <v>396</v>
      </c>
      <c r="S525" t="s">
        <v>69</v>
      </c>
    </row>
    <row r="526" spans="1:19" x14ac:dyDescent="0.25">
      <c r="B526" s="3" t="s">
        <v>394</v>
      </c>
      <c r="C526" s="23"/>
      <c r="D526" s="23"/>
      <c r="E526" s="23"/>
      <c r="F526" s="23"/>
      <c r="G526" s="23"/>
      <c r="H526" s="23"/>
      <c r="I526" s="23"/>
      <c r="J526" s="23"/>
      <c r="K526" s="23"/>
      <c r="L526" s="23"/>
      <c r="M526" s="23"/>
      <c r="N526" s="23"/>
      <c r="O526" s="23"/>
      <c r="P526" s="23"/>
      <c r="Q526" s="23"/>
      <c r="R526" s="5" t="s">
        <v>396</v>
      </c>
      <c r="S526" t="s">
        <v>69</v>
      </c>
    </row>
    <row r="527" spans="1:19" x14ac:dyDescent="0.25">
      <c r="B527" s="3" t="s">
        <v>395</v>
      </c>
      <c r="C527" s="23"/>
      <c r="D527" s="23"/>
      <c r="E527" s="23"/>
      <c r="F527" s="23"/>
      <c r="G527" s="23"/>
      <c r="H527" s="23"/>
      <c r="I527" s="23"/>
      <c r="J527" s="23"/>
      <c r="K527" s="23"/>
      <c r="L527" s="23"/>
      <c r="M527" s="23"/>
      <c r="N527" s="23"/>
      <c r="O527" s="23"/>
      <c r="P527" s="23"/>
      <c r="Q527" s="23"/>
      <c r="R527" s="5" t="s">
        <v>396</v>
      </c>
      <c r="S527" t="s">
        <v>69</v>
      </c>
    </row>
    <row r="528" spans="1:19" x14ac:dyDescent="0.25">
      <c r="A528" t="s">
        <v>868</v>
      </c>
      <c r="B528" s="3" t="s">
        <v>397</v>
      </c>
      <c r="C528" s="23"/>
      <c r="D528" s="23"/>
      <c r="E528" s="23"/>
      <c r="F528" s="23"/>
      <c r="G528" s="23"/>
      <c r="H528" s="23"/>
      <c r="I528" s="23"/>
      <c r="J528" s="23"/>
      <c r="K528" s="23"/>
      <c r="L528" s="23"/>
      <c r="M528" s="23"/>
      <c r="N528" s="23"/>
      <c r="O528" s="23"/>
      <c r="P528" s="23"/>
      <c r="Q528" s="23"/>
      <c r="R528" s="5" t="s">
        <v>396</v>
      </c>
      <c r="S528" t="s">
        <v>69</v>
      </c>
    </row>
    <row r="529" spans="1:19" x14ac:dyDescent="0.25">
      <c r="B529" t="s">
        <v>239</v>
      </c>
      <c r="C529" s="21">
        <v>1</v>
      </c>
      <c r="D529" s="21">
        <v>2</v>
      </c>
      <c r="E529" s="21">
        <v>3</v>
      </c>
      <c r="F529" s="21">
        <v>4</v>
      </c>
      <c r="G529" s="21">
        <v>5</v>
      </c>
      <c r="H529" s="21">
        <v>6</v>
      </c>
      <c r="I529" s="21">
        <v>7</v>
      </c>
      <c r="J529" s="21">
        <v>8</v>
      </c>
      <c r="K529" s="21">
        <v>9</v>
      </c>
      <c r="L529" s="21">
        <v>10</v>
      </c>
      <c r="M529" s="21">
        <v>11</v>
      </c>
      <c r="N529" s="21">
        <v>12</v>
      </c>
      <c r="O529" s="21">
        <v>13</v>
      </c>
      <c r="P529" s="21">
        <v>14</v>
      </c>
      <c r="Q529" s="21">
        <v>15</v>
      </c>
      <c r="R529" s="5" t="s">
        <v>11</v>
      </c>
      <c r="S529" t="s">
        <v>126</v>
      </c>
    </row>
    <row r="530" spans="1:19" x14ac:dyDescent="0.25">
      <c r="A530" t="s">
        <v>869</v>
      </c>
      <c r="B530" t="s">
        <v>10</v>
      </c>
      <c r="C530" s="2">
        <v>0.41020000000000001</v>
      </c>
      <c r="D530" s="2">
        <v>0.44359999999999999</v>
      </c>
      <c r="E530" s="2">
        <v>0.47699999999999998</v>
      </c>
      <c r="F530" s="2">
        <v>0.52470000000000006</v>
      </c>
      <c r="G530" s="2">
        <v>0.55810000000000004</v>
      </c>
      <c r="H530" s="2">
        <v>0.59619999999999995</v>
      </c>
      <c r="I530" s="2">
        <v>0.64870000000000005</v>
      </c>
      <c r="J530" s="2">
        <v>0.70120000000000005</v>
      </c>
      <c r="K530" s="2">
        <v>0.75370000000000004</v>
      </c>
      <c r="L530" s="2">
        <v>0.81089999999999995</v>
      </c>
      <c r="M530" s="2">
        <v>0.86809999999999998</v>
      </c>
      <c r="N530" s="2">
        <v>0.9254</v>
      </c>
      <c r="O530" s="2">
        <v>0.98260000000000003</v>
      </c>
      <c r="P530" s="2">
        <v>1.0399</v>
      </c>
      <c r="Q530" s="2">
        <v>1.0971</v>
      </c>
      <c r="R530" t="s">
        <v>6</v>
      </c>
      <c r="S530" t="s">
        <v>127</v>
      </c>
    </row>
    <row r="531" spans="1:19" x14ac:dyDescent="0.25">
      <c r="B531" t="s">
        <v>9</v>
      </c>
      <c r="C531" s="2">
        <v>0.41020000000000001</v>
      </c>
      <c r="D531" s="2">
        <v>0.44359999999999999</v>
      </c>
      <c r="E531" s="2">
        <v>0.47699999999999998</v>
      </c>
      <c r="F531" s="2">
        <v>0.52470000000000006</v>
      </c>
      <c r="G531" s="2">
        <v>0.55810000000000004</v>
      </c>
      <c r="H531" s="2">
        <v>0.59619999999999995</v>
      </c>
      <c r="I531" s="2">
        <v>0.64870000000000005</v>
      </c>
      <c r="J531" s="2">
        <v>0.70120000000000005</v>
      </c>
      <c r="K531" s="2">
        <v>0.75370000000000004</v>
      </c>
      <c r="L531" s="2">
        <v>0.81089999999999995</v>
      </c>
      <c r="M531" s="2">
        <v>0.86809999999999998</v>
      </c>
      <c r="N531" s="2">
        <v>0.9254</v>
      </c>
      <c r="O531" s="2">
        <v>0.98260000000000003</v>
      </c>
      <c r="P531" s="2">
        <v>1.0399</v>
      </c>
      <c r="Q531" s="2">
        <v>1.0971</v>
      </c>
      <c r="R531" t="s">
        <v>6</v>
      </c>
      <c r="S531" t="s">
        <v>127</v>
      </c>
    </row>
    <row r="532" spans="1:19" x14ac:dyDescent="0.25">
      <c r="B532" t="s">
        <v>8</v>
      </c>
      <c r="C532" s="2">
        <v>0.5444</v>
      </c>
      <c r="D532" s="2">
        <v>0.5887</v>
      </c>
      <c r="E532" s="2">
        <v>0.63300000000000001</v>
      </c>
      <c r="F532" s="2">
        <v>0.69630000000000003</v>
      </c>
      <c r="G532" s="2">
        <v>0.74060000000000004</v>
      </c>
      <c r="H532" s="2">
        <v>0.7913</v>
      </c>
      <c r="I532" s="2">
        <v>0.8609</v>
      </c>
      <c r="J532" s="2">
        <v>0.93049999999999999</v>
      </c>
      <c r="K532" s="2">
        <v>1.0001</v>
      </c>
      <c r="L532" s="2">
        <v>1.0761000000000001</v>
      </c>
      <c r="M532" s="2">
        <v>1.1520999999999999</v>
      </c>
      <c r="N532" s="2">
        <v>1.228</v>
      </c>
      <c r="O532" s="2">
        <v>1.304</v>
      </c>
      <c r="P532" s="2">
        <v>1.3798999999999999</v>
      </c>
      <c r="Q532" s="2">
        <v>1.4559</v>
      </c>
      <c r="R532" t="s">
        <v>6</v>
      </c>
      <c r="S532" t="s">
        <v>127</v>
      </c>
    </row>
    <row r="533" spans="1:19" x14ac:dyDescent="0.25">
      <c r="B533" t="s">
        <v>240</v>
      </c>
      <c r="C533" s="2">
        <v>0.31480000000000002</v>
      </c>
      <c r="D533" s="2">
        <v>0.34039999999999998</v>
      </c>
      <c r="E533" s="2">
        <v>0.36599999999999999</v>
      </c>
      <c r="F533" s="2">
        <v>0.40260000000000001</v>
      </c>
      <c r="G533" s="2">
        <v>0.42820000000000003</v>
      </c>
      <c r="H533" s="2">
        <v>0.45750000000000002</v>
      </c>
      <c r="I533" s="2">
        <v>0.49780000000000002</v>
      </c>
      <c r="J533" s="2">
        <v>0.53800000000000003</v>
      </c>
      <c r="K533" s="2">
        <v>0.57830000000000004</v>
      </c>
      <c r="L533" s="2">
        <v>0.62219999999999998</v>
      </c>
      <c r="M533" s="2">
        <v>0.66610000000000003</v>
      </c>
      <c r="N533" s="2">
        <v>0.71</v>
      </c>
      <c r="O533" s="2">
        <v>0.754</v>
      </c>
      <c r="P533" s="2">
        <v>0.79790000000000005</v>
      </c>
      <c r="Q533" s="2">
        <v>0.84179999999999999</v>
      </c>
      <c r="R533" t="s">
        <v>6</v>
      </c>
      <c r="S533" t="s">
        <v>127</v>
      </c>
    </row>
    <row r="534" spans="1:19" x14ac:dyDescent="0.25">
      <c r="B534" t="s">
        <v>241</v>
      </c>
      <c r="C534" s="2">
        <v>0.34399999999999997</v>
      </c>
      <c r="D534" s="2">
        <v>0.372</v>
      </c>
      <c r="E534" s="2">
        <v>0.4</v>
      </c>
      <c r="F534" s="2">
        <v>0.44</v>
      </c>
      <c r="G534" s="2">
        <v>0.46800000000000003</v>
      </c>
      <c r="H534" s="2">
        <v>0.5</v>
      </c>
      <c r="I534" s="2">
        <v>0.54400000000000004</v>
      </c>
      <c r="J534" s="2">
        <v>0.58799999999999997</v>
      </c>
      <c r="K534" s="2">
        <v>0.63200000000000001</v>
      </c>
      <c r="L534" s="2">
        <v>0.68</v>
      </c>
      <c r="M534" s="2">
        <v>0.72799999999999998</v>
      </c>
      <c r="N534" s="2">
        <v>0.77600000000000002</v>
      </c>
      <c r="O534" s="2">
        <v>0.82399999999999995</v>
      </c>
      <c r="P534" s="2">
        <v>0.872</v>
      </c>
      <c r="Q534" s="2">
        <v>0.92</v>
      </c>
      <c r="R534" t="s">
        <v>6</v>
      </c>
      <c r="S534" t="s">
        <v>127</v>
      </c>
    </row>
    <row r="535" spans="1:19" x14ac:dyDescent="0.25">
      <c r="B535" t="s">
        <v>7</v>
      </c>
      <c r="C535" s="2">
        <v>0.66990000000000005</v>
      </c>
      <c r="D535" s="2">
        <v>0.72450000000000003</v>
      </c>
      <c r="E535" s="2">
        <v>0.77900000000000003</v>
      </c>
      <c r="F535" s="2">
        <v>0.8569</v>
      </c>
      <c r="G535" s="2">
        <v>0.91139999999999999</v>
      </c>
      <c r="H535" s="2">
        <v>0.9738</v>
      </c>
      <c r="I535" s="2">
        <v>1.0593999999999999</v>
      </c>
      <c r="J535" s="2">
        <v>1.1451</v>
      </c>
      <c r="K535" s="2">
        <v>1.2307999999999999</v>
      </c>
      <c r="L535" s="2">
        <v>1.3243</v>
      </c>
      <c r="M535" s="2">
        <v>1.4177999999999999</v>
      </c>
      <c r="N535" s="2">
        <v>1.5113000000000001</v>
      </c>
      <c r="O535" s="2">
        <v>1.6047</v>
      </c>
      <c r="P535" s="2">
        <v>1.6981999999999999</v>
      </c>
      <c r="Q535" s="2">
        <v>1.7917000000000001</v>
      </c>
      <c r="R535" t="s">
        <v>6</v>
      </c>
      <c r="S535" t="s">
        <v>127</v>
      </c>
    </row>
    <row r="536" spans="1:19" x14ac:dyDescent="0.25">
      <c r="B536" t="s">
        <v>140</v>
      </c>
      <c r="C536" s="2">
        <v>0.76800000000000002</v>
      </c>
      <c r="D536" s="2">
        <v>0.83050000000000002</v>
      </c>
      <c r="E536" s="2">
        <v>0.89300000000000002</v>
      </c>
      <c r="F536" s="2">
        <v>0.98229999999999995</v>
      </c>
      <c r="G536" s="2">
        <v>1.0448</v>
      </c>
      <c r="H536" s="2">
        <v>1.1163000000000001</v>
      </c>
      <c r="I536" s="2">
        <v>1.2144999999999999</v>
      </c>
      <c r="J536" s="2">
        <v>1.3127</v>
      </c>
      <c r="K536" s="2">
        <v>1.4109</v>
      </c>
      <c r="L536" s="2">
        <v>1.5181</v>
      </c>
      <c r="M536" s="2">
        <v>1.6253</v>
      </c>
      <c r="N536" s="2">
        <v>1.7323999999999999</v>
      </c>
      <c r="O536" s="2">
        <v>1.8395999999999999</v>
      </c>
      <c r="P536" s="2">
        <v>1.9467000000000001</v>
      </c>
      <c r="Q536" s="2">
        <v>2.0539000000000001</v>
      </c>
      <c r="R536" t="s">
        <v>5</v>
      </c>
      <c r="S536" t="s">
        <v>127</v>
      </c>
    </row>
    <row r="537" spans="1:19" x14ac:dyDescent="0.25">
      <c r="B537" t="s">
        <v>141</v>
      </c>
      <c r="C537" s="2">
        <v>0.86</v>
      </c>
      <c r="D537" s="2">
        <v>0.93</v>
      </c>
      <c r="E537" s="2">
        <v>1</v>
      </c>
      <c r="F537" s="2">
        <v>1.1000000000000001</v>
      </c>
      <c r="G537" s="2">
        <v>1.17</v>
      </c>
      <c r="H537" s="2">
        <v>1.25</v>
      </c>
      <c r="I537" s="2">
        <v>1.36</v>
      </c>
      <c r="J537" s="2">
        <v>1.47</v>
      </c>
      <c r="K537" s="2">
        <v>1.58</v>
      </c>
      <c r="L537" s="2">
        <v>1.7</v>
      </c>
      <c r="M537" s="2">
        <v>1.82</v>
      </c>
      <c r="N537" s="2">
        <v>1.94</v>
      </c>
      <c r="O537" s="2">
        <v>2.06</v>
      </c>
      <c r="P537" s="2">
        <v>2.1800000000000002</v>
      </c>
      <c r="Q537" s="2">
        <v>2.2999999999999998</v>
      </c>
      <c r="R537" t="s">
        <v>5</v>
      </c>
      <c r="S537" t="s">
        <v>127</v>
      </c>
    </row>
    <row r="538" spans="1:19" x14ac:dyDescent="0.25">
      <c r="B538" t="s">
        <v>155</v>
      </c>
      <c r="C538" s="2">
        <v>0.63929999999999998</v>
      </c>
      <c r="D538" s="2">
        <v>0.69140000000000001</v>
      </c>
      <c r="E538" s="2">
        <v>0.74339999999999995</v>
      </c>
      <c r="F538" s="2">
        <v>0.81769999999999998</v>
      </c>
      <c r="G538" s="2">
        <v>0.86980000000000002</v>
      </c>
      <c r="H538" s="2">
        <v>0.92930000000000001</v>
      </c>
      <c r="I538" s="2">
        <v>1.0109999999999999</v>
      </c>
      <c r="J538" s="2">
        <v>1.0928</v>
      </c>
      <c r="K538" s="2">
        <v>1.1746000000000001</v>
      </c>
      <c r="L538" s="2">
        <v>1.2638</v>
      </c>
      <c r="M538" s="2">
        <v>1.353</v>
      </c>
      <c r="N538" s="2">
        <v>1.4421999999999999</v>
      </c>
      <c r="O538" s="2">
        <v>1.5314000000000001</v>
      </c>
      <c r="P538" s="2">
        <v>1.6206</v>
      </c>
      <c r="Q538" s="2">
        <v>1.7098</v>
      </c>
      <c r="R538" t="s">
        <v>3</v>
      </c>
      <c r="S538" t="s">
        <v>127</v>
      </c>
    </row>
    <row r="539" spans="1:19" x14ac:dyDescent="0.25">
      <c r="B539" t="s">
        <v>135</v>
      </c>
      <c r="C539" s="2">
        <v>1.2784</v>
      </c>
      <c r="D539" s="2">
        <v>1.3824000000000001</v>
      </c>
      <c r="E539" s="2">
        <v>1.4864999999999999</v>
      </c>
      <c r="F539" s="2">
        <v>1.6351</v>
      </c>
      <c r="G539" s="2">
        <v>1.7392000000000001</v>
      </c>
      <c r="H539" s="2">
        <v>1.8581000000000001</v>
      </c>
      <c r="I539" s="2">
        <v>2.0215999999999998</v>
      </c>
      <c r="J539" s="2">
        <v>2.1850999999999998</v>
      </c>
      <c r="K539" s="2">
        <v>2.3485999999999998</v>
      </c>
      <c r="L539" s="2">
        <v>2.5270000000000001</v>
      </c>
      <c r="M539" s="2">
        <v>2.7054</v>
      </c>
      <c r="N539" s="2">
        <v>2.8837999999999999</v>
      </c>
      <c r="O539" s="2">
        <v>3.0621999999999998</v>
      </c>
      <c r="P539" s="2">
        <v>3.2404999999999999</v>
      </c>
      <c r="Q539" s="2">
        <v>3.4188999999999998</v>
      </c>
      <c r="R539" t="s">
        <v>3</v>
      </c>
      <c r="S539" t="s">
        <v>127</v>
      </c>
    </row>
    <row r="540" spans="1:19" x14ac:dyDescent="0.25">
      <c r="B540" t="s">
        <v>136</v>
      </c>
      <c r="C540" s="2">
        <v>1.5968</v>
      </c>
      <c r="D540" s="2">
        <v>1.7266999999999999</v>
      </c>
      <c r="E540" s="2">
        <v>1.8567</v>
      </c>
      <c r="F540" s="2">
        <v>2.0424000000000002</v>
      </c>
      <c r="G540" s="2">
        <v>2.1722999999999999</v>
      </c>
      <c r="H540" s="2">
        <v>2.3209</v>
      </c>
      <c r="I540" s="2">
        <v>2.5251000000000001</v>
      </c>
      <c r="J540" s="2">
        <v>2.7292999999999998</v>
      </c>
      <c r="K540" s="2">
        <v>2.9336000000000002</v>
      </c>
      <c r="L540" s="2">
        <v>3.1564000000000001</v>
      </c>
      <c r="M540" s="2">
        <v>3.3792</v>
      </c>
      <c r="N540" s="2">
        <v>3.6019999999999999</v>
      </c>
      <c r="O540" s="2">
        <v>3.8248000000000002</v>
      </c>
      <c r="P540" s="2">
        <v>4.0476000000000001</v>
      </c>
      <c r="Q540" s="2">
        <v>4.2704000000000004</v>
      </c>
      <c r="R540" t="s">
        <v>3</v>
      </c>
      <c r="S540" t="s">
        <v>127</v>
      </c>
    </row>
    <row r="541" spans="1:19" x14ac:dyDescent="0.25">
      <c r="B541" t="s">
        <v>242</v>
      </c>
      <c r="C541" s="2">
        <v>0.504</v>
      </c>
      <c r="D541" s="2">
        <v>0.54179999999999995</v>
      </c>
      <c r="E541" s="2">
        <v>0.5796</v>
      </c>
      <c r="F541" s="2">
        <v>0.63</v>
      </c>
      <c r="G541" s="2">
        <v>0.66779999999999995</v>
      </c>
      <c r="H541" s="2">
        <v>0.7056</v>
      </c>
      <c r="I541" s="2">
        <v>0.75600000000000001</v>
      </c>
      <c r="J541" s="2">
        <v>0.80640000000000001</v>
      </c>
      <c r="K541" s="2">
        <v>0.85680000000000001</v>
      </c>
      <c r="L541" s="2">
        <v>0.90720000000000001</v>
      </c>
      <c r="M541" s="2">
        <v>0.95760000000000001</v>
      </c>
      <c r="N541" s="2">
        <v>1.008</v>
      </c>
      <c r="O541" s="2">
        <v>1.071</v>
      </c>
      <c r="P541" s="2">
        <v>1.1339999999999999</v>
      </c>
      <c r="Q541" s="2">
        <v>1.1970000000000001</v>
      </c>
      <c r="R541" t="s">
        <v>19</v>
      </c>
      <c r="S541" t="s">
        <v>127</v>
      </c>
    </row>
    <row r="542" spans="1:19" x14ac:dyDescent="0.25">
      <c r="B542" t="s">
        <v>244</v>
      </c>
      <c r="C542" s="2">
        <v>1.68</v>
      </c>
      <c r="D542" s="2">
        <v>1.806</v>
      </c>
      <c r="E542" s="2">
        <v>1.9319999999999999</v>
      </c>
      <c r="F542" s="2">
        <v>2.1</v>
      </c>
      <c r="G542" s="2">
        <v>2.226</v>
      </c>
      <c r="H542" s="2">
        <v>2.3519999999999999</v>
      </c>
      <c r="I542" s="2">
        <v>2.52</v>
      </c>
      <c r="J542" s="2">
        <v>2.6880000000000002</v>
      </c>
      <c r="K542" s="2">
        <v>2.8559999999999999</v>
      </c>
      <c r="L542" s="2">
        <v>3.024</v>
      </c>
      <c r="M542" s="2">
        <v>3.1920000000000002</v>
      </c>
      <c r="N542" s="2">
        <v>3.36</v>
      </c>
      <c r="O542" s="2">
        <v>3.57</v>
      </c>
      <c r="P542" s="2">
        <v>3.78</v>
      </c>
      <c r="Q542" s="2">
        <v>3.99</v>
      </c>
      <c r="R542" t="s">
        <v>19</v>
      </c>
      <c r="S542" t="s">
        <v>127</v>
      </c>
    </row>
    <row r="543" spans="1:19" x14ac:dyDescent="0.25">
      <c r="B543" t="s">
        <v>243</v>
      </c>
      <c r="C543" s="2">
        <v>0.84</v>
      </c>
      <c r="D543" s="2">
        <v>0.90300000000000002</v>
      </c>
      <c r="E543" s="2">
        <v>0.96599999999999997</v>
      </c>
      <c r="F543" s="2">
        <v>1.05</v>
      </c>
      <c r="G543" s="2">
        <v>1.113</v>
      </c>
      <c r="H543" s="2">
        <v>1.1759999999999999</v>
      </c>
      <c r="I543" s="2">
        <v>1.26</v>
      </c>
      <c r="J543" s="2">
        <v>1.3440000000000001</v>
      </c>
      <c r="K543" s="2">
        <v>1.4279999999999999</v>
      </c>
      <c r="L543" s="2">
        <v>1.512</v>
      </c>
      <c r="M543" s="2">
        <v>1.5960000000000001</v>
      </c>
      <c r="N543" s="2">
        <v>1.68</v>
      </c>
      <c r="O543" s="2">
        <v>1.7849999999999999</v>
      </c>
      <c r="P543" s="2">
        <v>1.89</v>
      </c>
      <c r="Q543" s="2">
        <v>1.9950000000000001</v>
      </c>
      <c r="R543" t="s">
        <v>19</v>
      </c>
      <c r="S543" t="s">
        <v>127</v>
      </c>
    </row>
    <row r="544" spans="1:19" x14ac:dyDescent="0.25">
      <c r="B544" t="s">
        <v>245</v>
      </c>
      <c r="C544" s="2">
        <v>0.88</v>
      </c>
      <c r="D544" s="2">
        <v>0.94599999999999995</v>
      </c>
      <c r="E544" s="2">
        <v>1.012</v>
      </c>
      <c r="F544" s="2">
        <v>1.1000000000000001</v>
      </c>
      <c r="G544" s="2">
        <v>1.1659999999999999</v>
      </c>
      <c r="H544" s="2">
        <v>1.232</v>
      </c>
      <c r="I544" s="2">
        <v>1.32</v>
      </c>
      <c r="J544" s="2">
        <v>1.4079999999999999</v>
      </c>
      <c r="K544" s="2">
        <v>1.496</v>
      </c>
      <c r="L544" s="2">
        <v>1.5840000000000001</v>
      </c>
      <c r="M544" s="2">
        <v>1.6719999999999999</v>
      </c>
      <c r="N544" s="2">
        <v>1.76</v>
      </c>
      <c r="O544" s="2">
        <v>1.87</v>
      </c>
      <c r="P544" s="2">
        <v>1.98</v>
      </c>
      <c r="Q544" s="2">
        <v>2.09</v>
      </c>
      <c r="R544" t="s">
        <v>0</v>
      </c>
      <c r="S544" t="s">
        <v>127</v>
      </c>
    </row>
    <row r="545" spans="1:19" x14ac:dyDescent="0.25">
      <c r="B545" t="s">
        <v>246</v>
      </c>
      <c r="C545" s="2">
        <v>0.24</v>
      </c>
      <c r="D545" s="2">
        <v>0.25800000000000001</v>
      </c>
      <c r="E545" s="2">
        <v>0.27600000000000002</v>
      </c>
      <c r="F545" s="2">
        <v>0.3</v>
      </c>
      <c r="G545" s="2">
        <v>0.318</v>
      </c>
      <c r="H545" s="2">
        <v>0.33600000000000002</v>
      </c>
      <c r="I545" s="2">
        <v>0.36</v>
      </c>
      <c r="J545" s="2">
        <v>0.38400000000000001</v>
      </c>
      <c r="K545" s="2">
        <v>0.40799999999999997</v>
      </c>
      <c r="L545" s="2">
        <v>0.432</v>
      </c>
      <c r="M545" s="2">
        <v>0.45600000000000002</v>
      </c>
      <c r="N545" s="2">
        <v>0.48</v>
      </c>
      <c r="O545" s="2">
        <v>0.51</v>
      </c>
      <c r="P545" s="2">
        <v>0.54</v>
      </c>
      <c r="Q545" s="2">
        <v>0.56999999999999995</v>
      </c>
      <c r="R545" t="s">
        <v>0</v>
      </c>
      <c r="S545" t="s">
        <v>127</v>
      </c>
    </row>
    <row r="546" spans="1:19" x14ac:dyDescent="0.25">
      <c r="B546" t="s">
        <v>247</v>
      </c>
      <c r="C546" s="2">
        <v>1.8879999999999999</v>
      </c>
      <c r="D546" s="2">
        <v>2.0295999999999998</v>
      </c>
      <c r="E546" s="2">
        <v>2.1711999999999998</v>
      </c>
      <c r="F546" s="2">
        <v>2.36</v>
      </c>
      <c r="G546" s="2">
        <v>2.5015999999999998</v>
      </c>
      <c r="H546" s="2">
        <v>2.6432000000000002</v>
      </c>
      <c r="I546" s="2">
        <v>2.8319999999999999</v>
      </c>
      <c r="J546" s="2">
        <v>3.0207999999999999</v>
      </c>
      <c r="K546" s="2">
        <v>3.2096</v>
      </c>
      <c r="L546" s="2">
        <v>3.3984000000000001</v>
      </c>
      <c r="M546" s="2">
        <v>3.5872000000000002</v>
      </c>
      <c r="N546" s="2">
        <v>3.7759999999999998</v>
      </c>
      <c r="O546" s="2">
        <v>4.0119999999999996</v>
      </c>
      <c r="P546" s="2">
        <v>4.2480000000000002</v>
      </c>
      <c r="Q546" s="2">
        <v>4.484</v>
      </c>
      <c r="R546" t="s">
        <v>0</v>
      </c>
      <c r="S546" t="s">
        <v>127</v>
      </c>
    </row>
    <row r="547" spans="1:19" x14ac:dyDescent="0.25">
      <c r="B547" t="s">
        <v>248</v>
      </c>
      <c r="C547" s="20">
        <v>0.5</v>
      </c>
      <c r="D547" s="20">
        <v>0.5</v>
      </c>
      <c r="E547" s="20">
        <v>0.5</v>
      </c>
      <c r="F547" s="20">
        <v>0.5</v>
      </c>
      <c r="G547" s="20">
        <v>0.5</v>
      </c>
      <c r="H547" s="20">
        <v>0.5</v>
      </c>
      <c r="I547" s="20">
        <v>0.5</v>
      </c>
      <c r="J547" s="20">
        <v>0.5</v>
      </c>
      <c r="K547" s="20">
        <v>0.5</v>
      </c>
      <c r="L547" s="20">
        <v>0.5</v>
      </c>
      <c r="M547" s="20">
        <v>0.5</v>
      </c>
      <c r="N547" s="20">
        <v>0.5</v>
      </c>
      <c r="O547" s="20">
        <v>0.5</v>
      </c>
      <c r="P547" s="20">
        <v>0.5</v>
      </c>
      <c r="Q547" s="20">
        <v>0.5</v>
      </c>
      <c r="R547" t="s">
        <v>249</v>
      </c>
      <c r="S547" t="s">
        <v>127</v>
      </c>
    </row>
    <row r="548" spans="1:19" x14ac:dyDescent="0.25">
      <c r="B548" s="3" t="s">
        <v>771</v>
      </c>
      <c r="C548" s="23"/>
      <c r="D548" s="23"/>
      <c r="E548" s="23"/>
      <c r="F548" s="23"/>
      <c r="G548" s="23"/>
      <c r="H548" s="23"/>
      <c r="I548" s="23"/>
      <c r="J548" s="23"/>
      <c r="K548" s="23"/>
      <c r="L548" s="23"/>
      <c r="M548" s="23"/>
      <c r="N548" s="23"/>
      <c r="O548" s="23"/>
      <c r="P548" s="23"/>
      <c r="Q548" s="23"/>
      <c r="R548" s="5" t="s">
        <v>771</v>
      </c>
      <c r="S548" t="s">
        <v>772</v>
      </c>
    </row>
    <row r="549" spans="1:19" x14ac:dyDescent="0.25">
      <c r="B549" s="3" t="s">
        <v>390</v>
      </c>
      <c r="C549" s="23"/>
      <c r="D549" s="23"/>
      <c r="E549" s="23"/>
      <c r="F549" s="23"/>
      <c r="G549" s="23"/>
      <c r="H549" s="23"/>
      <c r="I549" s="23"/>
      <c r="J549" s="23"/>
      <c r="K549" s="23"/>
      <c r="L549" s="23"/>
      <c r="M549" s="23"/>
      <c r="N549" s="23"/>
      <c r="O549" s="23"/>
      <c r="P549" s="23"/>
      <c r="Q549" s="23"/>
      <c r="R549" s="5" t="s">
        <v>396</v>
      </c>
      <c r="S549" t="s">
        <v>69</v>
      </c>
    </row>
    <row r="550" spans="1:19" x14ac:dyDescent="0.25">
      <c r="B550" s="3" t="s">
        <v>392</v>
      </c>
      <c r="C550" s="23"/>
      <c r="D550" s="23"/>
      <c r="E550" s="23"/>
      <c r="F550" s="23"/>
      <c r="G550" s="23"/>
      <c r="H550" s="23"/>
      <c r="I550" s="23"/>
      <c r="J550" s="23"/>
      <c r="K550" s="23"/>
      <c r="L550" s="23"/>
      <c r="M550" s="23"/>
      <c r="N550" s="23"/>
      <c r="O550" s="23"/>
      <c r="P550" s="23"/>
      <c r="Q550" s="23"/>
      <c r="R550" s="5" t="s">
        <v>396</v>
      </c>
      <c r="S550" t="s">
        <v>69</v>
      </c>
    </row>
    <row r="551" spans="1:19" x14ac:dyDescent="0.25">
      <c r="B551" s="3" t="s">
        <v>393</v>
      </c>
      <c r="C551" s="23"/>
      <c r="D551" s="23"/>
      <c r="E551" s="23"/>
      <c r="F551" s="23"/>
      <c r="G551" s="23"/>
      <c r="H551" s="23"/>
      <c r="I551" s="23"/>
      <c r="J551" s="23"/>
      <c r="K551" s="23"/>
      <c r="L551" s="23"/>
      <c r="M551" s="23"/>
      <c r="N551" s="23"/>
      <c r="O551" s="23"/>
      <c r="P551" s="23"/>
      <c r="Q551" s="23"/>
      <c r="R551" s="5" t="s">
        <v>396</v>
      </c>
      <c r="S551" t="s">
        <v>69</v>
      </c>
    </row>
    <row r="552" spans="1:19" x14ac:dyDescent="0.25">
      <c r="B552" s="3" t="s">
        <v>389</v>
      </c>
      <c r="C552" s="23"/>
      <c r="D552" s="23"/>
      <c r="E552" s="23"/>
      <c r="F552" s="23"/>
      <c r="G552" s="23"/>
      <c r="H552" s="23"/>
      <c r="I552" s="23"/>
      <c r="J552" s="23"/>
      <c r="K552" s="23"/>
      <c r="L552" s="23"/>
      <c r="M552" s="23"/>
      <c r="N552" s="23"/>
      <c r="O552" s="23"/>
      <c r="P552" s="23"/>
      <c r="Q552" s="23"/>
      <c r="R552" s="5" t="s">
        <v>396</v>
      </c>
      <c r="S552" t="s">
        <v>69</v>
      </c>
    </row>
    <row r="553" spans="1:19" x14ac:dyDescent="0.25">
      <c r="B553" s="3" t="s">
        <v>391</v>
      </c>
      <c r="C553" s="23"/>
      <c r="D553" s="23"/>
      <c r="E553" s="23"/>
      <c r="F553" s="23"/>
      <c r="G553" s="23"/>
      <c r="H553" s="23"/>
      <c r="I553" s="23"/>
      <c r="J553" s="23"/>
      <c r="K553" s="23"/>
      <c r="L553" s="23"/>
      <c r="M553" s="23"/>
      <c r="N553" s="23"/>
      <c r="O553" s="23"/>
      <c r="P553" s="23"/>
      <c r="Q553" s="23"/>
      <c r="R553" s="5" t="s">
        <v>396</v>
      </c>
      <c r="S553" t="s">
        <v>69</v>
      </c>
    </row>
    <row r="554" spans="1:19" x14ac:dyDescent="0.25">
      <c r="B554" s="3" t="s">
        <v>394</v>
      </c>
      <c r="C554" s="23"/>
      <c r="D554" s="23"/>
      <c r="E554" s="23"/>
      <c r="F554" s="23"/>
      <c r="G554" s="23"/>
      <c r="H554" s="23"/>
      <c r="I554" s="23"/>
      <c r="J554" s="23"/>
      <c r="K554" s="23"/>
      <c r="L554" s="23"/>
      <c r="M554" s="23"/>
      <c r="N554" s="23"/>
      <c r="O554" s="23"/>
      <c r="P554" s="23"/>
      <c r="Q554" s="23"/>
      <c r="R554" s="5" t="s">
        <v>396</v>
      </c>
      <c r="S554" t="s">
        <v>69</v>
      </c>
    </row>
    <row r="555" spans="1:19" x14ac:dyDescent="0.25">
      <c r="B555" s="3" t="s">
        <v>395</v>
      </c>
      <c r="C555" s="23"/>
      <c r="D555" s="23"/>
      <c r="E555" s="23"/>
      <c r="F555" s="23"/>
      <c r="G555" s="23"/>
      <c r="H555" s="23"/>
      <c r="I555" s="23"/>
      <c r="J555" s="23"/>
      <c r="K555" s="23"/>
      <c r="L555" s="23"/>
      <c r="M555" s="23"/>
      <c r="N555" s="23"/>
      <c r="O555" s="23"/>
      <c r="P555" s="23"/>
      <c r="Q555" s="23"/>
      <c r="R555" s="5" t="s">
        <v>396</v>
      </c>
      <c r="S555" t="s">
        <v>69</v>
      </c>
    </row>
    <row r="556" spans="1:19" x14ac:dyDescent="0.25">
      <c r="A556" t="s">
        <v>870</v>
      </c>
      <c r="B556" s="3" t="s">
        <v>397</v>
      </c>
      <c r="C556" s="23"/>
      <c r="D556" s="23"/>
      <c r="E556" s="23"/>
      <c r="F556" s="23"/>
      <c r="G556" s="23"/>
      <c r="H556" s="23"/>
      <c r="I556" s="23"/>
      <c r="J556" s="23"/>
      <c r="K556" s="23"/>
      <c r="L556" s="23"/>
      <c r="M556" s="23"/>
      <c r="N556" s="23"/>
      <c r="O556" s="23"/>
      <c r="P556" s="23"/>
      <c r="Q556" s="23"/>
      <c r="R556" s="5" t="s">
        <v>396</v>
      </c>
      <c r="S556" t="s">
        <v>69</v>
      </c>
    </row>
    <row r="557" spans="1:19" x14ac:dyDescent="0.25">
      <c r="B557" t="s">
        <v>250</v>
      </c>
      <c r="C557" s="21">
        <v>1</v>
      </c>
      <c r="D557" s="21">
        <v>2</v>
      </c>
      <c r="E557" s="21">
        <v>3</v>
      </c>
      <c r="F557" s="21">
        <v>4</v>
      </c>
      <c r="G557" s="21">
        <v>5</v>
      </c>
      <c r="H557" s="21">
        <v>6</v>
      </c>
      <c r="I557" s="21">
        <v>7</v>
      </c>
      <c r="J557" s="21">
        <v>8</v>
      </c>
      <c r="K557" s="21">
        <v>9</v>
      </c>
      <c r="L557" s="21">
        <v>10</v>
      </c>
      <c r="M557" s="21">
        <v>11</v>
      </c>
      <c r="N557" s="21">
        <v>12</v>
      </c>
      <c r="O557" s="21">
        <v>13</v>
      </c>
      <c r="P557" s="21">
        <v>14</v>
      </c>
      <c r="Q557" s="21">
        <v>15</v>
      </c>
      <c r="R557" s="5" t="s">
        <v>11</v>
      </c>
      <c r="S557" t="s">
        <v>126</v>
      </c>
    </row>
    <row r="558" spans="1:19" x14ac:dyDescent="0.25">
      <c r="A558" t="s">
        <v>871</v>
      </c>
      <c r="B558" t="s">
        <v>10</v>
      </c>
      <c r="C558" s="2">
        <v>0.72160000000000002</v>
      </c>
      <c r="D558" s="2">
        <v>0.77569999999999995</v>
      </c>
      <c r="E558" s="2">
        <v>0.82979999999999998</v>
      </c>
      <c r="F558" s="2">
        <v>0.90200000000000002</v>
      </c>
      <c r="G558" s="2">
        <v>0.95609999999999995</v>
      </c>
      <c r="H558" s="2">
        <v>1.0102</v>
      </c>
      <c r="I558" s="2">
        <v>1.0824</v>
      </c>
      <c r="J558" s="2">
        <v>1.1546000000000001</v>
      </c>
      <c r="K558" s="2">
        <v>1.2266999999999999</v>
      </c>
      <c r="L558" s="2">
        <v>1.2988999999999999</v>
      </c>
      <c r="M558" s="2">
        <v>1.3738999999999999</v>
      </c>
      <c r="N558" s="2">
        <v>1.4721</v>
      </c>
      <c r="O558" s="2">
        <v>1.5702</v>
      </c>
      <c r="P558" s="2">
        <v>1.6682999999999999</v>
      </c>
      <c r="Q558" s="2">
        <v>1.7665</v>
      </c>
      <c r="R558" t="s">
        <v>6</v>
      </c>
      <c r="S558" t="s">
        <v>127</v>
      </c>
    </row>
    <row r="559" spans="1:19" x14ac:dyDescent="0.25">
      <c r="B559" t="s">
        <v>9</v>
      </c>
      <c r="C559" s="2">
        <v>0.624</v>
      </c>
      <c r="D559" s="2">
        <v>0.67079999999999995</v>
      </c>
      <c r="E559" s="2">
        <v>0.71760000000000002</v>
      </c>
      <c r="F559" s="2">
        <v>0.78</v>
      </c>
      <c r="G559" s="2">
        <v>0.82679999999999998</v>
      </c>
      <c r="H559" s="2">
        <v>0.87360000000000004</v>
      </c>
      <c r="I559" s="2">
        <v>0.93600000000000005</v>
      </c>
      <c r="J559" s="2">
        <v>0.99839999999999995</v>
      </c>
      <c r="K559" s="2">
        <v>1.0608</v>
      </c>
      <c r="L559" s="2">
        <v>1.1232</v>
      </c>
      <c r="M559" s="2">
        <v>1.1880999999999999</v>
      </c>
      <c r="N559" s="2">
        <v>1.2729999999999999</v>
      </c>
      <c r="O559" s="2">
        <v>1.3577999999999999</v>
      </c>
      <c r="P559" s="2">
        <v>1.4427000000000001</v>
      </c>
      <c r="Q559" s="2">
        <v>1.5276000000000001</v>
      </c>
      <c r="R559" t="s">
        <v>6</v>
      </c>
      <c r="S559" t="s">
        <v>127</v>
      </c>
    </row>
    <row r="560" spans="1:19" x14ac:dyDescent="0.25">
      <c r="B560" t="s">
        <v>8</v>
      </c>
      <c r="C560" s="2">
        <v>0.8992</v>
      </c>
      <c r="D560" s="2">
        <v>0.96660000000000001</v>
      </c>
      <c r="E560" s="2">
        <v>1.0341</v>
      </c>
      <c r="F560" s="2">
        <v>1.1240000000000001</v>
      </c>
      <c r="G560" s="2">
        <v>1.1914</v>
      </c>
      <c r="H560" s="2">
        <v>1.2588999999999999</v>
      </c>
      <c r="I560" s="2">
        <v>1.3488</v>
      </c>
      <c r="J560" s="2">
        <v>1.4387000000000001</v>
      </c>
      <c r="K560" s="2">
        <v>1.5286</v>
      </c>
      <c r="L560" s="2">
        <v>1.6186</v>
      </c>
      <c r="M560" s="2">
        <v>1.7121</v>
      </c>
      <c r="N560" s="2">
        <v>1.8344</v>
      </c>
      <c r="O560" s="2">
        <v>1.9567000000000001</v>
      </c>
      <c r="P560" s="2">
        <v>2.0790000000000002</v>
      </c>
      <c r="Q560" s="2">
        <v>2.2012</v>
      </c>
      <c r="R560" t="s">
        <v>6</v>
      </c>
      <c r="S560" t="s">
        <v>127</v>
      </c>
    </row>
    <row r="561" spans="2:19" x14ac:dyDescent="0.25">
      <c r="B561" t="s">
        <v>14</v>
      </c>
      <c r="C561" s="2">
        <v>1.5736000000000001</v>
      </c>
      <c r="D561" s="2">
        <v>1.6916</v>
      </c>
      <c r="E561" s="2">
        <v>1.8096000000000001</v>
      </c>
      <c r="F561" s="2">
        <v>1.9670000000000001</v>
      </c>
      <c r="G561" s="2">
        <v>2.085</v>
      </c>
      <c r="H561" s="2">
        <v>2.2029999999999998</v>
      </c>
      <c r="I561" s="2">
        <v>2.3603999999999998</v>
      </c>
      <c r="J561" s="2">
        <v>2.5177999999999998</v>
      </c>
      <c r="K561" s="2">
        <v>2.6751</v>
      </c>
      <c r="L561" s="2">
        <v>2.8325</v>
      </c>
      <c r="M561" s="2">
        <v>2.9961000000000002</v>
      </c>
      <c r="N561" s="2">
        <v>3.2101000000000002</v>
      </c>
      <c r="O561" s="2">
        <v>3.4241999999999999</v>
      </c>
      <c r="P561" s="2">
        <v>3.6381999999999999</v>
      </c>
      <c r="Q561" s="2">
        <v>3.8521999999999998</v>
      </c>
      <c r="R561" t="s">
        <v>5</v>
      </c>
      <c r="S561" t="s">
        <v>127</v>
      </c>
    </row>
    <row r="562" spans="2:19" x14ac:dyDescent="0.25">
      <c r="B562" t="s">
        <v>155</v>
      </c>
      <c r="C562" s="2">
        <v>0.56830000000000003</v>
      </c>
      <c r="D562" s="2">
        <v>0.61450000000000005</v>
      </c>
      <c r="E562" s="2">
        <v>0.66080000000000005</v>
      </c>
      <c r="F562" s="2">
        <v>0.72689999999999999</v>
      </c>
      <c r="G562" s="2">
        <v>0.77310000000000001</v>
      </c>
      <c r="H562" s="2">
        <v>0.82599999999999996</v>
      </c>
      <c r="I562" s="2">
        <v>0.89870000000000005</v>
      </c>
      <c r="J562" s="2">
        <v>0.97140000000000004</v>
      </c>
      <c r="K562" s="2">
        <v>1.0441</v>
      </c>
      <c r="L562" s="2">
        <v>1.1234</v>
      </c>
      <c r="M562" s="2">
        <v>1.2027000000000001</v>
      </c>
      <c r="N562" s="2">
        <v>1.282</v>
      </c>
      <c r="O562" s="2">
        <v>1.3612</v>
      </c>
      <c r="P562" s="2">
        <v>1.4404999999999999</v>
      </c>
      <c r="Q562" s="2">
        <v>1.5198</v>
      </c>
      <c r="R562" t="s">
        <v>3</v>
      </c>
      <c r="S562" t="s">
        <v>127</v>
      </c>
    </row>
    <row r="563" spans="2:19" x14ac:dyDescent="0.25">
      <c r="B563" t="s">
        <v>135</v>
      </c>
      <c r="C563" s="2">
        <v>1.1363000000000001</v>
      </c>
      <c r="D563" s="2">
        <v>1.2287999999999999</v>
      </c>
      <c r="E563" s="2">
        <v>1.3212999999999999</v>
      </c>
      <c r="F563" s="2">
        <v>1.4535</v>
      </c>
      <c r="G563" s="2">
        <v>1.5459000000000001</v>
      </c>
      <c r="H563" s="2">
        <v>1.6516999999999999</v>
      </c>
      <c r="I563" s="2">
        <v>1.7969999999999999</v>
      </c>
      <c r="J563" s="2">
        <v>1.9422999999999999</v>
      </c>
      <c r="K563" s="2">
        <v>2.0876999999999999</v>
      </c>
      <c r="L563" s="2">
        <v>2.2462</v>
      </c>
      <c r="M563" s="2">
        <v>2.4047999999999998</v>
      </c>
      <c r="N563" s="2">
        <v>2.5634000000000001</v>
      </c>
      <c r="O563" s="2">
        <v>2.7219000000000002</v>
      </c>
      <c r="P563" s="2">
        <v>2.8805000000000001</v>
      </c>
      <c r="Q563" s="2">
        <v>3.0390000000000001</v>
      </c>
      <c r="R563" t="s">
        <v>3</v>
      </c>
      <c r="S563" t="s">
        <v>127</v>
      </c>
    </row>
    <row r="564" spans="2:19" x14ac:dyDescent="0.25">
      <c r="B564" t="s">
        <v>136</v>
      </c>
      <c r="C564" s="2">
        <v>1.4193</v>
      </c>
      <c r="D564" s="2">
        <v>1.5348999999999999</v>
      </c>
      <c r="E564" s="2">
        <v>1.6504000000000001</v>
      </c>
      <c r="F564" s="2">
        <v>1.8153999999999999</v>
      </c>
      <c r="G564" s="2">
        <v>1.931</v>
      </c>
      <c r="H564" s="2">
        <v>2.0630000000000002</v>
      </c>
      <c r="I564" s="2">
        <v>2.2444999999999999</v>
      </c>
      <c r="J564" s="2">
        <v>2.4260999999999999</v>
      </c>
      <c r="K564" s="2">
        <v>2.6076000000000001</v>
      </c>
      <c r="L564" s="2">
        <v>2.8056999999999999</v>
      </c>
      <c r="M564" s="2">
        <v>3.0036999999999998</v>
      </c>
      <c r="N564" s="2">
        <v>3.2018</v>
      </c>
      <c r="O564" s="2">
        <v>3.3997999999999999</v>
      </c>
      <c r="P564" s="2">
        <v>3.5979000000000001</v>
      </c>
      <c r="Q564" s="2">
        <v>3.7959000000000001</v>
      </c>
      <c r="R564" t="s">
        <v>3</v>
      </c>
      <c r="S564" t="s">
        <v>127</v>
      </c>
    </row>
    <row r="565" spans="2:19" x14ac:dyDescent="0.25">
      <c r="B565" t="s">
        <v>251</v>
      </c>
      <c r="C565" s="2">
        <v>0.95199999999999996</v>
      </c>
      <c r="D565" s="2">
        <v>1.0234000000000001</v>
      </c>
      <c r="E565" s="2">
        <v>1.0948</v>
      </c>
      <c r="F565" s="2">
        <v>1.19</v>
      </c>
      <c r="G565" s="2">
        <v>1.2614000000000001</v>
      </c>
      <c r="H565" s="2">
        <v>1.3328</v>
      </c>
      <c r="I565" s="2">
        <v>1.4279999999999999</v>
      </c>
      <c r="J565" s="2">
        <v>1.5232000000000001</v>
      </c>
      <c r="K565" s="2">
        <v>1.6184000000000001</v>
      </c>
      <c r="L565" s="2">
        <v>1.7136</v>
      </c>
      <c r="M565" s="2">
        <v>1.8088</v>
      </c>
      <c r="N565" s="2">
        <v>1.9039999999999999</v>
      </c>
      <c r="O565" s="2">
        <v>2.0230000000000001</v>
      </c>
      <c r="P565" s="2">
        <v>2.1419999999999999</v>
      </c>
      <c r="Q565" s="2">
        <v>2.2610000000000001</v>
      </c>
      <c r="R565" t="s">
        <v>19</v>
      </c>
      <c r="S565" t="s">
        <v>127</v>
      </c>
    </row>
    <row r="566" spans="2:19" x14ac:dyDescent="0.25">
      <c r="B566" t="s">
        <v>252</v>
      </c>
      <c r="C566" s="2">
        <v>0.32800000000000001</v>
      </c>
      <c r="D566" s="2">
        <v>0.35260000000000002</v>
      </c>
      <c r="E566" s="2">
        <v>0.37719999999999998</v>
      </c>
      <c r="F566" s="2">
        <v>0.41</v>
      </c>
      <c r="G566" s="2">
        <v>0.43459999999999999</v>
      </c>
      <c r="H566" s="2">
        <v>0.4592</v>
      </c>
      <c r="I566" s="2">
        <v>0.49199999999999999</v>
      </c>
      <c r="J566" s="2">
        <v>0.52480000000000004</v>
      </c>
      <c r="K566" s="2">
        <v>0.55759999999999998</v>
      </c>
      <c r="L566" s="2">
        <v>0.59040000000000004</v>
      </c>
      <c r="M566" s="2">
        <v>0.62319999999999998</v>
      </c>
      <c r="N566" s="2">
        <v>0.65600000000000003</v>
      </c>
      <c r="O566" s="2">
        <v>0.69699999999999995</v>
      </c>
      <c r="P566" s="2">
        <v>0.73799999999999999</v>
      </c>
      <c r="Q566" s="2">
        <v>0.77900000000000003</v>
      </c>
      <c r="R566" t="s">
        <v>19</v>
      </c>
      <c r="S566" t="s">
        <v>127</v>
      </c>
    </row>
    <row r="567" spans="2:19" x14ac:dyDescent="0.25">
      <c r="B567" t="s">
        <v>253</v>
      </c>
      <c r="C567" s="2">
        <v>0.4264</v>
      </c>
      <c r="D567" s="2">
        <v>0.45839999999999997</v>
      </c>
      <c r="E567" s="2">
        <v>0.4904</v>
      </c>
      <c r="F567" s="2">
        <v>0.53300000000000003</v>
      </c>
      <c r="G567" s="2">
        <v>0.56499999999999995</v>
      </c>
      <c r="H567" s="2">
        <v>0.59699999999999998</v>
      </c>
      <c r="I567" s="2">
        <v>0.63959999999999995</v>
      </c>
      <c r="J567" s="2">
        <v>0.68220000000000003</v>
      </c>
      <c r="K567" s="2">
        <v>0.72489999999999999</v>
      </c>
      <c r="L567" s="2">
        <v>0.76749999999999996</v>
      </c>
      <c r="M567" s="2">
        <v>0.81020000000000003</v>
      </c>
      <c r="N567" s="2">
        <v>0.8528</v>
      </c>
      <c r="O567" s="2">
        <v>0.90610000000000002</v>
      </c>
      <c r="P567" s="2">
        <v>0.95940000000000003</v>
      </c>
      <c r="Q567" s="2">
        <v>1.0126999999999999</v>
      </c>
      <c r="R567" t="s">
        <v>0</v>
      </c>
      <c r="S567" t="s">
        <v>127</v>
      </c>
    </row>
    <row r="568" spans="2:19" x14ac:dyDescent="0.25">
      <c r="B568" t="s">
        <v>254</v>
      </c>
      <c r="C568" s="2">
        <f>1.2*C567</f>
        <v>0.51168000000000002</v>
      </c>
      <c r="D568" s="2">
        <f t="shared" ref="D568:Q568" si="7">1.2*D567</f>
        <v>0.5500799999999999</v>
      </c>
      <c r="E568" s="2">
        <f t="shared" si="7"/>
        <v>0.58848</v>
      </c>
      <c r="F568" s="2">
        <f t="shared" si="7"/>
        <v>0.63960000000000006</v>
      </c>
      <c r="G568" s="2">
        <f t="shared" si="7"/>
        <v>0.67799999999999994</v>
      </c>
      <c r="H568" s="2">
        <f t="shared" si="7"/>
        <v>0.71639999999999993</v>
      </c>
      <c r="I568" s="2">
        <f t="shared" si="7"/>
        <v>0.76751999999999987</v>
      </c>
      <c r="J568" s="2">
        <f t="shared" si="7"/>
        <v>0.81864000000000003</v>
      </c>
      <c r="K568" s="2">
        <f t="shared" si="7"/>
        <v>0.86987999999999999</v>
      </c>
      <c r="L568" s="2">
        <f t="shared" si="7"/>
        <v>0.92099999999999993</v>
      </c>
      <c r="M568" s="2">
        <f t="shared" si="7"/>
        <v>0.97223999999999999</v>
      </c>
      <c r="N568" s="2">
        <f t="shared" si="7"/>
        <v>1.02336</v>
      </c>
      <c r="O568" s="2">
        <f t="shared" si="7"/>
        <v>1.0873200000000001</v>
      </c>
      <c r="P568" s="2">
        <f t="shared" si="7"/>
        <v>1.1512800000000001</v>
      </c>
      <c r="Q568" s="2">
        <f t="shared" si="7"/>
        <v>1.2152399999999999</v>
      </c>
      <c r="R568" t="s">
        <v>0</v>
      </c>
      <c r="S568" t="s">
        <v>127</v>
      </c>
    </row>
    <row r="569" spans="2:19" x14ac:dyDescent="0.25">
      <c r="B569" t="s">
        <v>255</v>
      </c>
      <c r="C569" s="2">
        <v>5.55</v>
      </c>
      <c r="D569" s="2">
        <v>5.55</v>
      </c>
      <c r="E569" s="2">
        <v>5.55</v>
      </c>
      <c r="F569" s="2">
        <v>5.55</v>
      </c>
      <c r="G569" s="2">
        <v>5.55</v>
      </c>
      <c r="H569" s="2">
        <v>5.55</v>
      </c>
      <c r="I569" s="2">
        <v>5.55</v>
      </c>
      <c r="J569" s="2">
        <v>5.55</v>
      </c>
      <c r="K569" s="2">
        <v>5.55</v>
      </c>
      <c r="L569" s="2">
        <v>5.55</v>
      </c>
      <c r="M569" s="2">
        <v>5.55</v>
      </c>
      <c r="N569" s="2">
        <v>5.55</v>
      </c>
      <c r="O569" s="2">
        <v>5.55</v>
      </c>
      <c r="P569" s="2">
        <v>5.55</v>
      </c>
      <c r="Q569" s="2">
        <v>5.55</v>
      </c>
      <c r="R569" t="s">
        <v>249</v>
      </c>
      <c r="S569" t="s">
        <v>127</v>
      </c>
    </row>
    <row r="570" spans="2:19" x14ac:dyDescent="0.25">
      <c r="B570" s="3" t="s">
        <v>771</v>
      </c>
      <c r="C570" s="23"/>
      <c r="D570" s="23"/>
      <c r="E570" s="23"/>
      <c r="F570" s="23"/>
      <c r="G570" s="23"/>
      <c r="H570" s="23"/>
      <c r="I570" s="23"/>
      <c r="J570" s="23"/>
      <c r="K570" s="23"/>
      <c r="L570" s="23"/>
      <c r="M570" s="23"/>
      <c r="N570" s="23"/>
      <c r="O570" s="23"/>
      <c r="P570" s="23"/>
      <c r="Q570" s="23"/>
      <c r="R570" s="5" t="s">
        <v>771</v>
      </c>
      <c r="S570" t="s">
        <v>772</v>
      </c>
    </row>
    <row r="571" spans="2:19" x14ac:dyDescent="0.25">
      <c r="B571" s="3" t="s">
        <v>390</v>
      </c>
      <c r="C571" s="23"/>
      <c r="D571" s="23"/>
      <c r="E571" s="23"/>
      <c r="F571" s="23"/>
      <c r="G571" s="23"/>
      <c r="H571" s="23"/>
      <c r="I571" s="23"/>
      <c r="J571" s="23"/>
      <c r="K571" s="23"/>
      <c r="L571" s="23"/>
      <c r="M571" s="23"/>
      <c r="N571" s="23"/>
      <c r="O571" s="23"/>
      <c r="P571" s="23"/>
      <c r="Q571" s="23"/>
      <c r="R571" s="5" t="s">
        <v>396</v>
      </c>
      <c r="S571" t="s">
        <v>69</v>
      </c>
    </row>
    <row r="572" spans="2:19" x14ac:dyDescent="0.25">
      <c r="B572" s="3" t="s">
        <v>392</v>
      </c>
      <c r="C572" s="23"/>
      <c r="D572" s="23"/>
      <c r="E572" s="23"/>
      <c r="F572" s="23"/>
      <c r="G572" s="23"/>
      <c r="H572" s="23"/>
      <c r="I572" s="23"/>
      <c r="J572" s="23"/>
      <c r="K572" s="23"/>
      <c r="L572" s="23"/>
      <c r="M572" s="23"/>
      <c r="N572" s="23"/>
      <c r="O572" s="23"/>
      <c r="P572" s="23"/>
      <c r="Q572" s="23"/>
      <c r="R572" s="5" t="s">
        <v>396</v>
      </c>
      <c r="S572" t="s">
        <v>69</v>
      </c>
    </row>
    <row r="573" spans="2:19" x14ac:dyDescent="0.25">
      <c r="B573" s="3" t="s">
        <v>393</v>
      </c>
      <c r="C573" s="23"/>
      <c r="D573" s="23"/>
      <c r="E573" s="23"/>
      <c r="F573" s="23"/>
      <c r="G573" s="23"/>
      <c r="H573" s="23"/>
      <c r="I573" s="23"/>
      <c r="J573" s="23"/>
      <c r="K573" s="23"/>
      <c r="L573" s="23"/>
      <c r="M573" s="23"/>
      <c r="N573" s="23"/>
      <c r="O573" s="23"/>
      <c r="P573" s="23"/>
      <c r="Q573" s="23"/>
      <c r="R573" s="5" t="s">
        <v>396</v>
      </c>
      <c r="S573" t="s">
        <v>69</v>
      </c>
    </row>
    <row r="574" spans="2:19" x14ac:dyDescent="0.25">
      <c r="B574" s="3" t="s">
        <v>389</v>
      </c>
      <c r="C574" s="23"/>
      <c r="D574" s="23"/>
      <c r="E574" s="23"/>
      <c r="F574" s="23"/>
      <c r="G574" s="23"/>
      <c r="H574" s="23"/>
      <c r="I574" s="23"/>
      <c r="J574" s="23"/>
      <c r="K574" s="23"/>
      <c r="L574" s="23"/>
      <c r="M574" s="23"/>
      <c r="N574" s="23"/>
      <c r="O574" s="23"/>
      <c r="P574" s="23"/>
      <c r="Q574" s="23"/>
      <c r="R574" s="5" t="s">
        <v>396</v>
      </c>
      <c r="S574" t="s">
        <v>69</v>
      </c>
    </row>
    <row r="575" spans="2:19" x14ac:dyDescent="0.25">
      <c r="B575" s="3" t="s">
        <v>391</v>
      </c>
      <c r="C575" s="23"/>
      <c r="D575" s="23"/>
      <c r="E575" s="23"/>
      <c r="F575" s="23"/>
      <c r="G575" s="23"/>
      <c r="H575" s="23"/>
      <c r="I575" s="23"/>
      <c r="J575" s="23"/>
      <c r="K575" s="23"/>
      <c r="L575" s="23"/>
      <c r="M575" s="23"/>
      <c r="N575" s="23"/>
      <c r="O575" s="23"/>
      <c r="P575" s="23"/>
      <c r="Q575" s="23"/>
      <c r="R575" s="5" t="s">
        <v>396</v>
      </c>
      <c r="S575" t="s">
        <v>69</v>
      </c>
    </row>
    <row r="576" spans="2:19" x14ac:dyDescent="0.25">
      <c r="B576" s="3" t="s">
        <v>394</v>
      </c>
      <c r="C576" s="23"/>
      <c r="D576" s="23"/>
      <c r="E576" s="23"/>
      <c r="F576" s="23"/>
      <c r="G576" s="23"/>
      <c r="H576" s="23"/>
      <c r="I576" s="23"/>
      <c r="J576" s="23"/>
      <c r="K576" s="23"/>
      <c r="L576" s="23"/>
      <c r="M576" s="23"/>
      <c r="N576" s="23"/>
      <c r="O576" s="23"/>
      <c r="P576" s="23"/>
      <c r="Q576" s="23"/>
      <c r="R576" s="5" t="s">
        <v>396</v>
      </c>
      <c r="S576" t="s">
        <v>69</v>
      </c>
    </row>
    <row r="577" spans="1:20" x14ac:dyDescent="0.25">
      <c r="B577" s="3" t="s">
        <v>395</v>
      </c>
      <c r="C577" s="23"/>
      <c r="D577" s="23"/>
      <c r="E577" s="23"/>
      <c r="F577" s="23"/>
      <c r="G577" s="23"/>
      <c r="H577" s="23"/>
      <c r="I577" s="23"/>
      <c r="J577" s="23"/>
      <c r="K577" s="23"/>
      <c r="L577" s="23"/>
      <c r="M577" s="23"/>
      <c r="N577" s="23"/>
      <c r="O577" s="23"/>
      <c r="P577" s="23"/>
      <c r="Q577" s="23"/>
      <c r="R577" s="5" t="s">
        <v>396</v>
      </c>
      <c r="S577" t="s">
        <v>69</v>
      </c>
    </row>
    <row r="578" spans="1:20" x14ac:dyDescent="0.25">
      <c r="A578" t="s">
        <v>872</v>
      </c>
      <c r="B578" s="3" t="s">
        <v>397</v>
      </c>
      <c r="C578" s="23"/>
      <c r="D578" s="23"/>
      <c r="E578" s="23"/>
      <c r="F578" s="23"/>
      <c r="G578" s="23"/>
      <c r="H578" s="23"/>
      <c r="I578" s="23"/>
      <c r="J578" s="23"/>
      <c r="K578" s="23"/>
      <c r="L578" s="23"/>
      <c r="M578" s="23"/>
      <c r="N578" s="23"/>
      <c r="O578" s="23"/>
      <c r="P578" s="23"/>
      <c r="Q578" s="23"/>
      <c r="R578" s="5" t="s">
        <v>396</v>
      </c>
      <c r="S578" t="s">
        <v>69</v>
      </c>
    </row>
    <row r="579" spans="1:20" x14ac:dyDescent="0.25">
      <c r="B579" t="s">
        <v>257</v>
      </c>
      <c r="C579" s="21">
        <v>1</v>
      </c>
      <c r="D579" s="21">
        <v>2</v>
      </c>
      <c r="E579" s="21">
        <v>3</v>
      </c>
      <c r="F579" s="21">
        <v>4</v>
      </c>
      <c r="G579" s="21">
        <v>5</v>
      </c>
      <c r="H579" s="21">
        <v>6</v>
      </c>
      <c r="I579" s="21">
        <v>7</v>
      </c>
      <c r="J579" s="21">
        <v>8</v>
      </c>
      <c r="K579" s="21">
        <v>9</v>
      </c>
      <c r="L579" s="21">
        <v>10</v>
      </c>
      <c r="M579" s="21">
        <v>11</v>
      </c>
      <c r="N579" s="21">
        <v>12</v>
      </c>
      <c r="O579" s="21">
        <v>13</v>
      </c>
      <c r="P579" s="21">
        <v>14</v>
      </c>
      <c r="Q579" s="21">
        <v>15</v>
      </c>
      <c r="R579" s="5" t="s">
        <v>11</v>
      </c>
      <c r="S579" t="s">
        <v>126</v>
      </c>
    </row>
    <row r="580" spans="1:20" x14ac:dyDescent="0.25">
      <c r="A580" t="s">
        <v>873</v>
      </c>
      <c r="B580" t="s">
        <v>10</v>
      </c>
      <c r="C580" s="2">
        <v>0.68379999999999996</v>
      </c>
      <c r="D580" s="2">
        <v>0.73499999999999999</v>
      </c>
      <c r="E580" s="2">
        <v>0.7863</v>
      </c>
      <c r="F580" s="2">
        <v>0.85470000000000002</v>
      </c>
      <c r="G580" s="2">
        <v>0.90600000000000003</v>
      </c>
      <c r="H580" s="2">
        <v>0.95730000000000004</v>
      </c>
      <c r="I580" s="2">
        <v>1.0256000000000001</v>
      </c>
      <c r="J580" s="2">
        <v>1.0940000000000001</v>
      </c>
      <c r="K580" s="2">
        <v>1.1624000000000001</v>
      </c>
      <c r="L580" s="2">
        <v>1.2307999999999999</v>
      </c>
      <c r="M580" s="2">
        <v>1.2990999999999999</v>
      </c>
      <c r="N580" s="2">
        <v>1.3674999999999999</v>
      </c>
      <c r="O580" s="2">
        <v>1.4530000000000001</v>
      </c>
      <c r="P580" s="2">
        <v>1.5385</v>
      </c>
      <c r="Q580" s="2">
        <v>1.6238999999999999</v>
      </c>
      <c r="R580" t="s">
        <v>6</v>
      </c>
      <c r="S580" t="s">
        <v>127</v>
      </c>
    </row>
    <row r="581" spans="1:20" x14ac:dyDescent="0.25">
      <c r="B581" t="s">
        <v>9</v>
      </c>
      <c r="C581" s="2">
        <v>0.61539999999999995</v>
      </c>
      <c r="D581" s="2">
        <v>0.66149999999999998</v>
      </c>
      <c r="E581" s="2">
        <v>0.7077</v>
      </c>
      <c r="F581" s="2">
        <v>0.76919999999999999</v>
      </c>
      <c r="G581" s="2">
        <v>0.81540000000000001</v>
      </c>
      <c r="H581" s="2">
        <v>0.86150000000000004</v>
      </c>
      <c r="I581" s="2">
        <v>0.92310000000000003</v>
      </c>
      <c r="J581" s="2">
        <v>0.98460000000000003</v>
      </c>
      <c r="K581" s="2">
        <v>1.0462</v>
      </c>
      <c r="L581" s="2">
        <v>1.1076999999999999</v>
      </c>
      <c r="M581" s="2">
        <v>1.1692</v>
      </c>
      <c r="N581" s="2">
        <v>1.2307999999999999</v>
      </c>
      <c r="O581" s="2">
        <v>1.3077000000000001</v>
      </c>
      <c r="P581" s="2">
        <v>1.3846000000000001</v>
      </c>
      <c r="Q581" s="2">
        <v>1.4615</v>
      </c>
      <c r="R581" t="s">
        <v>6</v>
      </c>
      <c r="S581" t="s">
        <v>127</v>
      </c>
    </row>
    <row r="582" spans="1:20" x14ac:dyDescent="0.25">
      <c r="B582" t="s">
        <v>8</v>
      </c>
      <c r="C582" s="2">
        <v>0.94310000000000005</v>
      </c>
      <c r="D582" s="2">
        <v>1.0138</v>
      </c>
      <c r="E582" s="2">
        <v>1.0845</v>
      </c>
      <c r="F582" s="2">
        <v>1.1788000000000001</v>
      </c>
      <c r="G582" s="2">
        <v>1.2495000000000001</v>
      </c>
      <c r="H582" s="2">
        <v>1.3203</v>
      </c>
      <c r="I582" s="2">
        <v>1.4146000000000001</v>
      </c>
      <c r="J582" s="2">
        <v>1.5088999999999999</v>
      </c>
      <c r="K582" s="2">
        <v>1.6032</v>
      </c>
      <c r="L582" s="2">
        <v>1.6975</v>
      </c>
      <c r="M582" s="2">
        <v>1.7918000000000001</v>
      </c>
      <c r="N582" s="2">
        <v>1.8861000000000001</v>
      </c>
      <c r="O582" s="2">
        <v>2.004</v>
      </c>
      <c r="P582" s="2">
        <v>2.1219000000000001</v>
      </c>
      <c r="Q582" s="2">
        <v>2.2397999999999998</v>
      </c>
      <c r="R582" t="s">
        <v>6</v>
      </c>
      <c r="S582" t="s">
        <v>127</v>
      </c>
    </row>
    <row r="583" spans="1:20" x14ac:dyDescent="0.25">
      <c r="B583" t="s">
        <v>14</v>
      </c>
      <c r="C583" s="2">
        <v>1.4832000000000001</v>
      </c>
      <c r="D583" s="2">
        <v>1.5944</v>
      </c>
      <c r="E583" s="2">
        <v>1.7057</v>
      </c>
      <c r="F583" s="2">
        <v>1.8540000000000001</v>
      </c>
      <c r="G583" s="2">
        <v>1.9652000000000001</v>
      </c>
      <c r="H583" s="2">
        <v>2.0764999999999998</v>
      </c>
      <c r="I583" s="2">
        <v>2.2248000000000001</v>
      </c>
      <c r="J583" s="2">
        <v>2.3731</v>
      </c>
      <c r="K583" s="2">
        <v>2.5213999999999999</v>
      </c>
      <c r="L583" s="2">
        <v>2.6698</v>
      </c>
      <c r="M583" s="2">
        <v>2.8180999999999998</v>
      </c>
      <c r="N583" s="2">
        <v>2.9664000000000001</v>
      </c>
      <c r="O583" s="2">
        <v>3.1518000000000002</v>
      </c>
      <c r="P583" s="2">
        <v>3.3372000000000002</v>
      </c>
      <c r="Q583" s="2">
        <v>3.5226000000000002</v>
      </c>
      <c r="R583" t="s">
        <v>5</v>
      </c>
      <c r="S583" t="s">
        <v>127</v>
      </c>
    </row>
    <row r="584" spans="1:20" x14ac:dyDescent="0.25">
      <c r="B584" t="s">
        <v>155</v>
      </c>
      <c r="C584" s="2">
        <v>0.56830000000000003</v>
      </c>
      <c r="D584" s="2">
        <v>0.61450000000000005</v>
      </c>
      <c r="E584" s="2">
        <v>0.66080000000000005</v>
      </c>
      <c r="F584" s="2">
        <v>0.72689999999999999</v>
      </c>
      <c r="G584" s="2">
        <v>0.77310000000000001</v>
      </c>
      <c r="H584" s="2">
        <v>0.82599999999999996</v>
      </c>
      <c r="I584" s="2">
        <v>0.89870000000000005</v>
      </c>
      <c r="J584" s="2">
        <v>0.97140000000000004</v>
      </c>
      <c r="K584" s="2">
        <v>1.0441</v>
      </c>
      <c r="L584" s="2">
        <v>1.1234</v>
      </c>
      <c r="M584" s="2">
        <v>1.2027000000000001</v>
      </c>
      <c r="N584" s="2">
        <v>1.282</v>
      </c>
      <c r="O584" s="2">
        <v>1.3612</v>
      </c>
      <c r="P584" s="2">
        <v>1.4404999999999999</v>
      </c>
      <c r="Q584" s="2">
        <v>1.5198</v>
      </c>
      <c r="R584" t="s">
        <v>3</v>
      </c>
      <c r="S584" t="s">
        <v>127</v>
      </c>
    </row>
    <row r="585" spans="1:20" x14ac:dyDescent="0.25">
      <c r="B585" t="s">
        <v>135</v>
      </c>
      <c r="C585" s="2">
        <v>1.1363000000000001</v>
      </c>
      <c r="D585" s="2">
        <v>1.2287999999999999</v>
      </c>
      <c r="E585" s="2">
        <v>1.3212999999999999</v>
      </c>
      <c r="F585" s="2">
        <v>1.4535</v>
      </c>
      <c r="G585" s="2">
        <v>1.5459000000000001</v>
      </c>
      <c r="H585" s="2">
        <v>1.6516999999999999</v>
      </c>
      <c r="I585" s="2">
        <v>1.7969999999999999</v>
      </c>
      <c r="J585" s="2">
        <v>1.9422999999999999</v>
      </c>
      <c r="K585" s="2">
        <v>2.0876999999999999</v>
      </c>
      <c r="L585" s="2">
        <v>2.2462</v>
      </c>
      <c r="M585" s="2">
        <v>2.4047999999999998</v>
      </c>
      <c r="N585" s="2">
        <v>2.5634000000000001</v>
      </c>
      <c r="O585" s="2">
        <v>2.7219000000000002</v>
      </c>
      <c r="P585" s="2">
        <v>2.8805000000000001</v>
      </c>
      <c r="Q585" s="2">
        <v>3.0390000000000001</v>
      </c>
      <c r="R585" t="s">
        <v>3</v>
      </c>
      <c r="S585" t="s">
        <v>127</v>
      </c>
    </row>
    <row r="586" spans="1:20" x14ac:dyDescent="0.25">
      <c r="B586" t="s">
        <v>136</v>
      </c>
      <c r="C586" s="2">
        <v>1.4193</v>
      </c>
      <c r="D586" s="2">
        <v>1.5348999999999999</v>
      </c>
      <c r="E586" s="2">
        <v>1.6504000000000001</v>
      </c>
      <c r="F586" s="2">
        <v>1.8153999999999999</v>
      </c>
      <c r="G586" s="2">
        <v>1.931</v>
      </c>
      <c r="H586" s="2">
        <v>2.0630000000000002</v>
      </c>
      <c r="I586" s="2">
        <v>2.2444999999999999</v>
      </c>
      <c r="J586" s="2">
        <v>2.4260999999999999</v>
      </c>
      <c r="K586" s="2">
        <v>2.6076000000000001</v>
      </c>
      <c r="L586" s="2">
        <v>2.8056999999999999</v>
      </c>
      <c r="M586" s="2">
        <v>3.0036999999999998</v>
      </c>
      <c r="N586" s="2">
        <v>3.2018</v>
      </c>
      <c r="O586" s="2">
        <v>3.3997999999999999</v>
      </c>
      <c r="P586" s="2">
        <v>3.5979000000000001</v>
      </c>
      <c r="Q586" s="2">
        <v>3.7959000000000001</v>
      </c>
      <c r="R586" t="s">
        <v>3</v>
      </c>
      <c r="S586" t="s">
        <v>127</v>
      </c>
    </row>
    <row r="587" spans="1:20" x14ac:dyDescent="0.25">
      <c r="B587" t="s">
        <v>933</v>
      </c>
      <c r="C587" s="2">
        <v>4.3999999999999997E-2</v>
      </c>
      <c r="D587" s="2">
        <v>4.7300000000000002E-2</v>
      </c>
      <c r="E587" s="2">
        <v>5.0599999999999999E-2</v>
      </c>
      <c r="F587" s="2">
        <v>5.5E-2</v>
      </c>
      <c r="G587" s="2">
        <v>5.8299999999999998E-2</v>
      </c>
      <c r="H587" s="2">
        <v>6.1600000000000002E-2</v>
      </c>
      <c r="I587" s="2">
        <v>6.6000000000000003E-2</v>
      </c>
      <c r="J587" s="2">
        <v>7.0400000000000004E-2</v>
      </c>
      <c r="K587" s="2">
        <v>7.4800000000000005E-2</v>
      </c>
      <c r="L587" s="2">
        <v>7.9200000000000007E-2</v>
      </c>
      <c r="M587" s="2">
        <v>8.3599999999999994E-2</v>
      </c>
      <c r="N587" s="2">
        <v>8.7999999999999995E-2</v>
      </c>
      <c r="O587" s="2">
        <v>9.35E-2</v>
      </c>
      <c r="P587" s="2">
        <v>9.9000000000000005E-2</v>
      </c>
      <c r="Q587" s="2">
        <v>0.1045</v>
      </c>
      <c r="R587" t="s">
        <v>19</v>
      </c>
      <c r="S587" t="s">
        <v>226</v>
      </c>
      <c r="T587" t="s">
        <v>955</v>
      </c>
    </row>
    <row r="588" spans="1:20" x14ac:dyDescent="0.25">
      <c r="B588" t="s">
        <v>934</v>
      </c>
      <c r="C588">
        <v>424</v>
      </c>
      <c r="D588">
        <v>466</v>
      </c>
      <c r="E588">
        <v>512</v>
      </c>
      <c r="F588">
        <v>561</v>
      </c>
      <c r="G588">
        <v>614</v>
      </c>
      <c r="H588">
        <v>671</v>
      </c>
      <c r="I588">
        <v>731</v>
      </c>
      <c r="J588">
        <v>795</v>
      </c>
      <c r="K588">
        <v>862</v>
      </c>
      <c r="L588">
        <v>932</v>
      </c>
      <c r="M588">
        <v>1006</v>
      </c>
      <c r="N588">
        <v>1084</v>
      </c>
      <c r="O588">
        <v>1165</v>
      </c>
      <c r="P588">
        <v>1250</v>
      </c>
      <c r="Q588">
        <v>1338</v>
      </c>
      <c r="R588" t="s">
        <v>19</v>
      </c>
      <c r="S588" t="s">
        <v>226</v>
      </c>
      <c r="T588" t="s">
        <v>956</v>
      </c>
    </row>
    <row r="589" spans="1:20" x14ac:dyDescent="0.25">
      <c r="B589" t="s">
        <v>256</v>
      </c>
      <c r="C589" s="2">
        <v>1.0919000000000001</v>
      </c>
      <c r="D589" s="2">
        <v>1.1738</v>
      </c>
      <c r="E589" s="2">
        <v>1.2557</v>
      </c>
      <c r="F589" s="2">
        <v>1.3649</v>
      </c>
      <c r="G589" s="2">
        <v>1.4468000000000001</v>
      </c>
      <c r="H589" s="2">
        <v>1.5286999999999999</v>
      </c>
      <c r="I589" s="2">
        <v>1.6378999999999999</v>
      </c>
      <c r="J589" s="2">
        <v>1.7470000000000001</v>
      </c>
      <c r="K589" s="2">
        <v>1.8562000000000001</v>
      </c>
      <c r="L589" s="2">
        <v>1.9654</v>
      </c>
      <c r="M589" s="2">
        <v>2.0746000000000002</v>
      </c>
      <c r="N589" s="2">
        <v>2.1838000000000002</v>
      </c>
      <c r="O589" s="2">
        <v>2.3203</v>
      </c>
      <c r="P589" s="2">
        <v>2.4567999999999999</v>
      </c>
      <c r="Q589" s="2">
        <v>2.5933000000000002</v>
      </c>
      <c r="R589" t="s">
        <v>19</v>
      </c>
      <c r="S589" t="s">
        <v>127</v>
      </c>
    </row>
    <row r="590" spans="1:20" x14ac:dyDescent="0.25">
      <c r="B590" t="s">
        <v>173</v>
      </c>
      <c r="C590" s="2">
        <v>0.1042</v>
      </c>
      <c r="D590" s="2">
        <v>0.112</v>
      </c>
      <c r="E590" s="2">
        <v>0.1198</v>
      </c>
      <c r="F590" s="2">
        <v>0.13020000000000001</v>
      </c>
      <c r="G590" s="2">
        <v>0.13800000000000001</v>
      </c>
      <c r="H590" s="2">
        <v>0.14580000000000001</v>
      </c>
      <c r="I590" s="2">
        <v>0.15620000000000001</v>
      </c>
      <c r="J590" s="2">
        <v>0.16669999999999999</v>
      </c>
      <c r="K590" s="2">
        <v>0.17710000000000001</v>
      </c>
      <c r="L590" s="2">
        <v>0.1875</v>
      </c>
      <c r="M590" s="2">
        <v>0.19789999999999999</v>
      </c>
      <c r="N590" s="2">
        <v>0.20830000000000001</v>
      </c>
      <c r="O590" s="2">
        <v>0.2213</v>
      </c>
      <c r="P590" s="2">
        <v>0.2344</v>
      </c>
      <c r="Q590" s="2">
        <v>0.24740000000000001</v>
      </c>
      <c r="R590" t="s">
        <v>0</v>
      </c>
      <c r="S590" t="s">
        <v>226</v>
      </c>
    </row>
    <row r="591" spans="1:20" x14ac:dyDescent="0.25">
      <c r="B591" t="s">
        <v>768</v>
      </c>
      <c r="C591" s="2">
        <v>4.8399999999999999E-2</v>
      </c>
      <c r="D591" s="2">
        <v>5.1999999999999998E-2</v>
      </c>
      <c r="E591" s="2">
        <v>5.57E-2</v>
      </c>
      <c r="F591" s="2">
        <v>6.0499999999999998E-2</v>
      </c>
      <c r="G591" s="2">
        <v>6.4100000000000004E-2</v>
      </c>
      <c r="H591" s="2">
        <v>6.7799999999999999E-2</v>
      </c>
      <c r="I591" s="2">
        <v>7.2599999999999998E-2</v>
      </c>
      <c r="J591" s="2">
        <v>7.7399999999999997E-2</v>
      </c>
      <c r="K591" s="2">
        <v>8.2299999999999998E-2</v>
      </c>
      <c r="L591" s="2">
        <v>8.7099999999999997E-2</v>
      </c>
      <c r="M591" s="2">
        <v>9.1999999999999998E-2</v>
      </c>
      <c r="N591" s="2">
        <v>9.6799999999999997E-2</v>
      </c>
      <c r="O591" s="2">
        <v>0.10290000000000001</v>
      </c>
      <c r="P591" s="2">
        <v>0.1089</v>
      </c>
      <c r="Q591" s="2">
        <v>0.115</v>
      </c>
      <c r="R591" t="s">
        <v>6</v>
      </c>
      <c r="S591" t="s">
        <v>226</v>
      </c>
    </row>
    <row r="592" spans="1:20" x14ac:dyDescent="0.25">
      <c r="B592" t="s">
        <v>769</v>
      </c>
      <c r="C592" s="2">
        <v>6.7799999999999999E-2</v>
      </c>
      <c r="D592" s="2">
        <v>7.2800000000000004E-2</v>
      </c>
      <c r="E592" s="2">
        <v>7.7899999999999997E-2</v>
      </c>
      <c r="F592" s="2">
        <v>8.4699999999999998E-2</v>
      </c>
      <c r="G592" s="2">
        <v>8.9800000000000005E-2</v>
      </c>
      <c r="H592" s="2">
        <v>9.4899999999999998E-2</v>
      </c>
      <c r="I592" s="2">
        <v>0.1016</v>
      </c>
      <c r="J592" s="2">
        <v>0.1084</v>
      </c>
      <c r="K592" s="2">
        <v>0.1152</v>
      </c>
      <c r="L592" s="2">
        <v>0.122</v>
      </c>
      <c r="M592" s="2">
        <v>0.12870000000000001</v>
      </c>
      <c r="N592" s="2">
        <v>0.13550000000000001</v>
      </c>
      <c r="O592" s="2">
        <v>0.14399999999999999</v>
      </c>
      <c r="P592" s="2">
        <v>0.1525</v>
      </c>
      <c r="Q592" s="2">
        <v>0.16089999999999999</v>
      </c>
      <c r="R592" t="s">
        <v>5</v>
      </c>
      <c r="S592" t="s">
        <v>226</v>
      </c>
    </row>
    <row r="593" spans="1:20" x14ac:dyDescent="0.25">
      <c r="B593" t="s">
        <v>770</v>
      </c>
      <c r="C593" s="2">
        <v>7.0999999999999994E-2</v>
      </c>
      <c r="D593" s="2">
        <v>7.6300000000000007E-2</v>
      </c>
      <c r="E593" s="2">
        <v>8.1600000000000006E-2</v>
      </c>
      <c r="F593" s="2">
        <v>8.8700000000000001E-2</v>
      </c>
      <c r="G593" s="2">
        <v>9.4E-2</v>
      </c>
      <c r="H593" s="2">
        <v>9.9299999999999999E-2</v>
      </c>
      <c r="I593" s="2">
        <v>0.10639999999999999</v>
      </c>
      <c r="J593" s="2">
        <v>0.1135</v>
      </c>
      <c r="K593" s="2">
        <v>0.1206</v>
      </c>
      <c r="L593" s="2">
        <v>0.12770000000000001</v>
      </c>
      <c r="M593" s="2">
        <v>0.1348</v>
      </c>
      <c r="N593" s="2">
        <v>0.1419</v>
      </c>
      <c r="O593" s="2">
        <v>0.15079999999999999</v>
      </c>
      <c r="P593" s="2">
        <v>0.15970000000000001</v>
      </c>
      <c r="Q593" s="2">
        <v>0.16850000000000001</v>
      </c>
      <c r="R593" t="s">
        <v>19</v>
      </c>
      <c r="S593" t="s">
        <v>226</v>
      </c>
    </row>
    <row r="594" spans="1:20" x14ac:dyDescent="0.25">
      <c r="B594" t="s">
        <v>935</v>
      </c>
      <c r="C594" s="2">
        <v>8.0999999999999996E-3</v>
      </c>
      <c r="D594" s="2">
        <v>8.6999999999999994E-3</v>
      </c>
      <c r="E594" s="2">
        <v>9.2999999999999992E-3</v>
      </c>
      <c r="F594" s="2">
        <v>1.01E-2</v>
      </c>
      <c r="G594" s="2">
        <v>1.0699999999999999E-2</v>
      </c>
      <c r="H594" s="2">
        <v>1.1299999999999999E-2</v>
      </c>
      <c r="I594" s="2">
        <v>1.21E-2</v>
      </c>
      <c r="J594" s="2">
        <v>1.29E-2</v>
      </c>
      <c r="K594" s="2">
        <v>1.37E-2</v>
      </c>
      <c r="L594" s="2">
        <v>1.4500000000000001E-2</v>
      </c>
      <c r="M594" s="2">
        <v>1.54E-2</v>
      </c>
      <c r="N594" s="2">
        <v>1.6199999999999999E-2</v>
      </c>
      <c r="O594" s="2">
        <v>1.72E-2</v>
      </c>
      <c r="P594" s="2">
        <v>1.8200000000000001E-2</v>
      </c>
      <c r="Q594" s="2">
        <v>1.9199999999999998E-2</v>
      </c>
      <c r="R594" t="s">
        <v>0</v>
      </c>
      <c r="S594" t="s">
        <v>226</v>
      </c>
      <c r="T594" t="s">
        <v>955</v>
      </c>
    </row>
    <row r="595" spans="1:20" x14ac:dyDescent="0.25">
      <c r="B595" t="s">
        <v>936</v>
      </c>
      <c r="C595">
        <v>77</v>
      </c>
      <c r="D595">
        <v>85</v>
      </c>
      <c r="E595">
        <v>93</v>
      </c>
      <c r="F595">
        <v>102</v>
      </c>
      <c r="G595">
        <v>112</v>
      </c>
      <c r="H595">
        <v>122</v>
      </c>
      <c r="I595">
        <v>133</v>
      </c>
      <c r="J595">
        <v>144</v>
      </c>
      <c r="K595">
        <v>157</v>
      </c>
      <c r="L595">
        <v>169</v>
      </c>
      <c r="M595">
        <v>183</v>
      </c>
      <c r="N595">
        <v>197</v>
      </c>
      <c r="O595">
        <v>212</v>
      </c>
      <c r="P595">
        <v>227</v>
      </c>
      <c r="Q595">
        <v>243</v>
      </c>
      <c r="R595" t="s">
        <v>0</v>
      </c>
      <c r="S595" t="s">
        <v>226</v>
      </c>
      <c r="T595" t="s">
        <v>956</v>
      </c>
    </row>
    <row r="596" spans="1:20" x14ac:dyDescent="0.25">
      <c r="B596" s="3" t="s">
        <v>771</v>
      </c>
      <c r="C596" s="23"/>
      <c r="D596" s="23"/>
      <c r="E596" s="23"/>
      <c r="F596" s="23"/>
      <c r="G596" s="23"/>
      <c r="H596" s="23"/>
      <c r="I596" s="23"/>
      <c r="J596" s="23"/>
      <c r="K596" s="23"/>
      <c r="L596" s="23"/>
      <c r="M596" s="23"/>
      <c r="N596" s="23"/>
      <c r="O596" s="23"/>
      <c r="P596" s="23"/>
      <c r="Q596" s="23"/>
      <c r="R596" s="5" t="s">
        <v>771</v>
      </c>
      <c r="S596" t="s">
        <v>772</v>
      </c>
    </row>
    <row r="597" spans="1:20" x14ac:dyDescent="0.25">
      <c r="B597" s="3" t="s">
        <v>390</v>
      </c>
      <c r="C597" s="23"/>
      <c r="D597" s="23"/>
      <c r="E597" s="23"/>
      <c r="F597" s="23"/>
      <c r="G597" s="23"/>
      <c r="H597" s="23"/>
      <c r="I597" s="23"/>
      <c r="J597" s="23"/>
      <c r="K597" s="23"/>
      <c r="L597" s="23"/>
      <c r="M597" s="23"/>
      <c r="N597" s="23"/>
      <c r="O597" s="23"/>
      <c r="P597" s="23"/>
      <c r="Q597" s="23"/>
      <c r="R597" s="5" t="s">
        <v>396</v>
      </c>
      <c r="S597" t="s">
        <v>69</v>
      </c>
    </row>
    <row r="598" spans="1:20" x14ac:dyDescent="0.25">
      <c r="B598" s="3" t="s">
        <v>392</v>
      </c>
      <c r="C598" s="23"/>
      <c r="D598" s="23"/>
      <c r="E598" s="23"/>
      <c r="F598" s="23"/>
      <c r="G598" s="23"/>
      <c r="H598" s="23"/>
      <c r="I598" s="23"/>
      <c r="J598" s="23"/>
      <c r="K598" s="23"/>
      <c r="L598" s="23"/>
      <c r="M598" s="23"/>
      <c r="N598" s="23"/>
      <c r="O598" s="23"/>
      <c r="P598" s="23"/>
      <c r="Q598" s="23"/>
      <c r="R598" s="5" t="s">
        <v>396</v>
      </c>
      <c r="S598" t="s">
        <v>69</v>
      </c>
    </row>
    <row r="599" spans="1:20" x14ac:dyDescent="0.25">
      <c r="B599" s="3" t="s">
        <v>393</v>
      </c>
      <c r="C599" s="23"/>
      <c r="D599" s="23"/>
      <c r="E599" s="23"/>
      <c r="F599" s="23"/>
      <c r="G599" s="23"/>
      <c r="H599" s="23"/>
      <c r="I599" s="23"/>
      <c r="J599" s="23"/>
      <c r="K599" s="23"/>
      <c r="L599" s="23"/>
      <c r="M599" s="23"/>
      <c r="N599" s="23"/>
      <c r="O599" s="23"/>
      <c r="P599" s="23"/>
      <c r="Q599" s="23"/>
      <c r="R599" s="5" t="s">
        <v>396</v>
      </c>
      <c r="S599" t="s">
        <v>69</v>
      </c>
    </row>
    <row r="600" spans="1:20" x14ac:dyDescent="0.25">
      <c r="B600" s="3" t="s">
        <v>389</v>
      </c>
      <c r="C600" s="23"/>
      <c r="D600" s="23"/>
      <c r="E600" s="23"/>
      <c r="F600" s="23"/>
      <c r="G600" s="23"/>
      <c r="H600" s="23"/>
      <c r="I600" s="23"/>
      <c r="J600" s="23"/>
      <c r="K600" s="23"/>
      <c r="L600" s="23"/>
      <c r="M600" s="23"/>
      <c r="N600" s="23"/>
      <c r="O600" s="23"/>
      <c r="P600" s="23"/>
      <c r="Q600" s="23"/>
      <c r="R600" s="5" t="s">
        <v>396</v>
      </c>
      <c r="S600" t="s">
        <v>69</v>
      </c>
    </row>
    <row r="601" spans="1:20" x14ac:dyDescent="0.25">
      <c r="B601" s="3" t="s">
        <v>391</v>
      </c>
      <c r="C601" s="23"/>
      <c r="D601" s="23"/>
      <c r="E601" s="23"/>
      <c r="F601" s="23"/>
      <c r="G601" s="23"/>
      <c r="H601" s="23"/>
      <c r="I601" s="23"/>
      <c r="J601" s="23"/>
      <c r="K601" s="23"/>
      <c r="L601" s="23"/>
      <c r="M601" s="23"/>
      <c r="N601" s="23"/>
      <c r="O601" s="23"/>
      <c r="P601" s="23"/>
      <c r="Q601" s="23"/>
      <c r="R601" s="5" t="s">
        <v>396</v>
      </c>
      <c r="S601" t="s">
        <v>69</v>
      </c>
    </row>
    <row r="602" spans="1:20" x14ac:dyDescent="0.25">
      <c r="B602" s="3" t="s">
        <v>394</v>
      </c>
      <c r="C602" s="23"/>
      <c r="D602" s="23"/>
      <c r="E602" s="23"/>
      <c r="F602" s="23"/>
      <c r="G602" s="23"/>
      <c r="H602" s="23"/>
      <c r="I602" s="23"/>
      <c r="J602" s="23"/>
      <c r="K602" s="23"/>
      <c r="L602" s="23"/>
      <c r="M602" s="23"/>
      <c r="N602" s="23"/>
      <c r="O602" s="23"/>
      <c r="P602" s="23"/>
      <c r="Q602" s="23"/>
      <c r="R602" s="5" t="s">
        <v>396</v>
      </c>
      <c r="S602" t="s">
        <v>69</v>
      </c>
    </row>
    <row r="603" spans="1:20" x14ac:dyDescent="0.25">
      <c r="B603" s="3" t="s">
        <v>395</v>
      </c>
      <c r="C603" s="23"/>
      <c r="D603" s="23"/>
      <c r="E603" s="23"/>
      <c r="F603" s="23"/>
      <c r="G603" s="23"/>
      <c r="H603" s="23"/>
      <c r="I603" s="23"/>
      <c r="J603" s="23"/>
      <c r="K603" s="23"/>
      <c r="L603" s="23"/>
      <c r="M603" s="23"/>
      <c r="N603" s="23"/>
      <c r="O603" s="23"/>
      <c r="P603" s="23"/>
      <c r="Q603" s="23"/>
      <c r="R603" s="5" t="s">
        <v>396</v>
      </c>
      <c r="S603" t="s">
        <v>69</v>
      </c>
    </row>
    <row r="604" spans="1:20" x14ac:dyDescent="0.25">
      <c r="A604" t="s">
        <v>874</v>
      </c>
      <c r="B604" s="3" t="s">
        <v>397</v>
      </c>
      <c r="C604" s="23"/>
      <c r="D604" s="23"/>
      <c r="E604" s="23"/>
      <c r="F604" s="23"/>
      <c r="G604" s="23"/>
      <c r="H604" s="23"/>
      <c r="I604" s="23"/>
      <c r="J604" s="23"/>
      <c r="K604" s="23"/>
      <c r="L604" s="23"/>
      <c r="M604" s="23"/>
      <c r="N604" s="23"/>
      <c r="O604" s="23"/>
      <c r="P604" s="23"/>
      <c r="Q604" s="23"/>
      <c r="R604" s="5" t="s">
        <v>396</v>
      </c>
      <c r="S604" t="s">
        <v>69</v>
      </c>
    </row>
    <row r="605" spans="1:20" x14ac:dyDescent="0.25">
      <c r="B605" t="s">
        <v>258</v>
      </c>
      <c r="C605" s="21">
        <v>1</v>
      </c>
      <c r="D605" s="21">
        <v>2</v>
      </c>
      <c r="E605" s="21">
        <v>3</v>
      </c>
      <c r="F605" s="21">
        <v>4</v>
      </c>
      <c r="G605" s="21">
        <v>5</v>
      </c>
      <c r="H605" s="21">
        <v>6</v>
      </c>
      <c r="I605" s="21">
        <v>7</v>
      </c>
      <c r="J605" s="21">
        <v>8</v>
      </c>
      <c r="K605" s="21">
        <v>9</v>
      </c>
      <c r="L605" s="21">
        <v>10</v>
      </c>
      <c r="M605" s="21">
        <v>11</v>
      </c>
      <c r="N605" s="21">
        <v>12</v>
      </c>
      <c r="O605" s="21">
        <v>13</v>
      </c>
      <c r="P605" s="21">
        <v>14</v>
      </c>
      <c r="Q605" s="21">
        <v>15</v>
      </c>
      <c r="R605" s="5" t="s">
        <v>11</v>
      </c>
      <c r="S605" t="s">
        <v>126</v>
      </c>
    </row>
    <row r="606" spans="1:20" x14ac:dyDescent="0.25">
      <c r="A606" t="s">
        <v>875</v>
      </c>
      <c r="B606" t="s">
        <v>10</v>
      </c>
      <c r="C606" s="2">
        <v>0.39600000000000002</v>
      </c>
      <c r="D606" s="2">
        <v>0.42570000000000002</v>
      </c>
      <c r="E606" s="2">
        <v>0.45540000000000003</v>
      </c>
      <c r="F606" s="2">
        <v>0.495</v>
      </c>
      <c r="G606" s="2">
        <v>0.52470000000000006</v>
      </c>
      <c r="H606" s="2">
        <v>0.5544</v>
      </c>
      <c r="I606" s="2">
        <v>0.59399999999999997</v>
      </c>
      <c r="J606" s="2">
        <v>0.63360000000000005</v>
      </c>
      <c r="K606" s="2">
        <v>0.67320000000000002</v>
      </c>
      <c r="L606" s="2">
        <v>0.71279999999999999</v>
      </c>
      <c r="M606" s="2">
        <v>0.754</v>
      </c>
      <c r="N606" s="2">
        <v>0.80779999999999996</v>
      </c>
      <c r="O606" s="2">
        <v>0.86170000000000002</v>
      </c>
      <c r="P606" s="2">
        <v>0.91559999999999997</v>
      </c>
      <c r="Q606" s="2">
        <v>0.96940000000000004</v>
      </c>
      <c r="R606" t="s">
        <v>6</v>
      </c>
      <c r="S606" t="s">
        <v>127</v>
      </c>
    </row>
    <row r="607" spans="1:20" x14ac:dyDescent="0.25">
      <c r="B607" t="s">
        <v>9</v>
      </c>
      <c r="C607" s="2">
        <v>0.35920000000000002</v>
      </c>
      <c r="D607" s="2">
        <v>0.3861</v>
      </c>
      <c r="E607" s="2">
        <v>0.41310000000000002</v>
      </c>
      <c r="F607" s="2">
        <v>0.44900000000000001</v>
      </c>
      <c r="G607" s="2">
        <v>0.47589999999999999</v>
      </c>
      <c r="H607" s="2">
        <v>0.50290000000000001</v>
      </c>
      <c r="I607" s="2">
        <v>0.53879999999999995</v>
      </c>
      <c r="J607" s="2">
        <v>0.57469999999999999</v>
      </c>
      <c r="K607" s="2">
        <v>0.61060000000000003</v>
      </c>
      <c r="L607" s="2">
        <v>0.64659999999999995</v>
      </c>
      <c r="M607" s="2">
        <v>0.68389999999999995</v>
      </c>
      <c r="N607" s="2">
        <v>0.73280000000000001</v>
      </c>
      <c r="O607" s="2">
        <v>0.78159999999999996</v>
      </c>
      <c r="P607" s="2">
        <v>0.83050000000000002</v>
      </c>
      <c r="Q607" s="2">
        <v>0.87929999999999997</v>
      </c>
      <c r="R607" t="s">
        <v>6</v>
      </c>
      <c r="S607" t="s">
        <v>127</v>
      </c>
    </row>
    <row r="608" spans="1:20" x14ac:dyDescent="0.25">
      <c r="B608" t="s">
        <v>8</v>
      </c>
      <c r="C608" s="2">
        <v>0.42799999999999999</v>
      </c>
      <c r="D608" s="2">
        <v>0.46010000000000001</v>
      </c>
      <c r="E608" s="2">
        <v>0.49220000000000003</v>
      </c>
      <c r="F608" s="2">
        <v>0.53500000000000003</v>
      </c>
      <c r="G608" s="2">
        <v>0.56710000000000005</v>
      </c>
      <c r="H608" s="2">
        <v>0.59919999999999995</v>
      </c>
      <c r="I608" s="2">
        <v>0.64200000000000002</v>
      </c>
      <c r="J608" s="2">
        <v>0.68479999999999996</v>
      </c>
      <c r="K608" s="2">
        <v>0.72760000000000002</v>
      </c>
      <c r="L608" s="2">
        <v>0.77039999999999997</v>
      </c>
      <c r="M608" s="2">
        <v>0.81489999999999996</v>
      </c>
      <c r="N608" s="2">
        <v>0.87309999999999999</v>
      </c>
      <c r="O608" s="2">
        <v>0.93130000000000002</v>
      </c>
      <c r="P608" s="2">
        <v>0.98950000000000005</v>
      </c>
      <c r="Q608" s="2">
        <v>1.0477000000000001</v>
      </c>
      <c r="R608" t="s">
        <v>6</v>
      </c>
      <c r="S608" t="s">
        <v>127</v>
      </c>
    </row>
    <row r="609" spans="2:19" x14ac:dyDescent="0.25">
      <c r="B609" t="s">
        <v>13</v>
      </c>
      <c r="C609" s="2">
        <v>0.54959999999999998</v>
      </c>
      <c r="D609" s="2">
        <v>0.59079999999999999</v>
      </c>
      <c r="E609" s="2">
        <v>0.63200000000000001</v>
      </c>
      <c r="F609" s="2">
        <v>0.68700000000000006</v>
      </c>
      <c r="G609" s="2">
        <v>0.72819999999999996</v>
      </c>
      <c r="H609" s="2">
        <v>0.76939999999999997</v>
      </c>
      <c r="I609" s="2">
        <v>0.82440000000000002</v>
      </c>
      <c r="J609" s="2">
        <v>0.87939999999999996</v>
      </c>
      <c r="K609" s="2">
        <v>0.93430000000000002</v>
      </c>
      <c r="L609" s="2">
        <v>0.98929999999999996</v>
      </c>
      <c r="M609" s="2">
        <v>1.0464</v>
      </c>
      <c r="N609" s="2">
        <v>1.1212</v>
      </c>
      <c r="O609" s="2">
        <v>1.1959</v>
      </c>
      <c r="P609" s="2">
        <v>1.2706999999999999</v>
      </c>
      <c r="Q609" s="2">
        <v>1.3453999999999999</v>
      </c>
      <c r="R609" t="s">
        <v>6</v>
      </c>
      <c r="S609" t="s">
        <v>127</v>
      </c>
    </row>
    <row r="610" spans="2:19" x14ac:dyDescent="0.25">
      <c r="B610" t="s">
        <v>14</v>
      </c>
      <c r="C610" s="2">
        <v>1.7712000000000001</v>
      </c>
      <c r="D610" s="2">
        <v>1.9039999999999999</v>
      </c>
      <c r="E610" s="2">
        <v>2.0369000000000002</v>
      </c>
      <c r="F610" s="2">
        <v>2.214</v>
      </c>
      <c r="G610" s="2">
        <v>2.3468</v>
      </c>
      <c r="H610" s="2">
        <v>2.4796999999999998</v>
      </c>
      <c r="I610" s="2">
        <v>2.6568000000000001</v>
      </c>
      <c r="J610" s="2">
        <v>2.8338999999999999</v>
      </c>
      <c r="K610" s="2">
        <v>3.0110000000000001</v>
      </c>
      <c r="L610" s="2">
        <v>3.1882000000000001</v>
      </c>
      <c r="M610" s="2">
        <v>3.3723999999999998</v>
      </c>
      <c r="N610" s="2">
        <v>3.6132</v>
      </c>
      <c r="O610" s="2">
        <v>3.8540999999999999</v>
      </c>
      <c r="P610" s="2">
        <v>4.0949999999999998</v>
      </c>
      <c r="Q610" s="2">
        <v>4.3358999999999996</v>
      </c>
      <c r="R610" t="s">
        <v>5</v>
      </c>
      <c r="S610" t="s">
        <v>127</v>
      </c>
    </row>
    <row r="611" spans="2:19" x14ac:dyDescent="0.25">
      <c r="B611" t="s">
        <v>155</v>
      </c>
      <c r="C611" s="2">
        <v>0.56830000000000003</v>
      </c>
      <c r="D611" s="2">
        <v>0.61450000000000005</v>
      </c>
      <c r="E611" s="2">
        <v>0.66080000000000005</v>
      </c>
      <c r="F611" s="2">
        <v>0.72689999999999999</v>
      </c>
      <c r="G611" s="2">
        <v>0.77310000000000001</v>
      </c>
      <c r="H611" s="2">
        <v>0.82599999999999996</v>
      </c>
      <c r="I611" s="2">
        <v>0.89870000000000005</v>
      </c>
      <c r="J611" s="2">
        <v>0.97140000000000004</v>
      </c>
      <c r="K611" s="2">
        <v>1.0441</v>
      </c>
      <c r="L611" s="2">
        <v>1.1234</v>
      </c>
      <c r="M611" s="2">
        <v>1.2027000000000001</v>
      </c>
      <c r="N611" s="2">
        <v>1.282</v>
      </c>
      <c r="O611" s="2">
        <v>1.3612</v>
      </c>
      <c r="P611" s="2">
        <v>1.4404999999999999</v>
      </c>
      <c r="Q611" s="2">
        <v>1.5198</v>
      </c>
      <c r="R611" t="s">
        <v>3</v>
      </c>
      <c r="S611" t="s">
        <v>127</v>
      </c>
    </row>
    <row r="612" spans="2:19" x14ac:dyDescent="0.25">
      <c r="B612" t="s">
        <v>135</v>
      </c>
      <c r="C612" s="2">
        <v>1.1363000000000001</v>
      </c>
      <c r="D612" s="2">
        <v>1.2287999999999999</v>
      </c>
      <c r="E612" s="2">
        <v>1.3212999999999999</v>
      </c>
      <c r="F612" s="2">
        <v>1.4535</v>
      </c>
      <c r="G612" s="2">
        <v>1.5459000000000001</v>
      </c>
      <c r="H612" s="2">
        <v>1.6516999999999999</v>
      </c>
      <c r="I612" s="2">
        <v>1.7969999999999999</v>
      </c>
      <c r="J612" s="2">
        <v>1.9422999999999999</v>
      </c>
      <c r="K612" s="2">
        <v>2.0876999999999999</v>
      </c>
      <c r="L612" s="2">
        <v>2.2462</v>
      </c>
      <c r="M612" s="2">
        <v>2.4047999999999998</v>
      </c>
      <c r="N612" s="2">
        <v>2.5634000000000001</v>
      </c>
      <c r="O612" s="2">
        <v>2.7219000000000002</v>
      </c>
      <c r="P612" s="2">
        <v>2.8805000000000001</v>
      </c>
      <c r="Q612" s="2">
        <v>3.0390000000000001</v>
      </c>
      <c r="R612" t="s">
        <v>3</v>
      </c>
      <c r="S612" t="s">
        <v>127</v>
      </c>
    </row>
    <row r="613" spans="2:19" x14ac:dyDescent="0.25">
      <c r="B613" t="s">
        <v>136</v>
      </c>
      <c r="C613" s="2">
        <v>1.4193</v>
      </c>
      <c r="D613" s="2">
        <v>1.5348999999999999</v>
      </c>
      <c r="E613" s="2">
        <v>1.6504000000000001</v>
      </c>
      <c r="F613" s="2">
        <v>1.8153999999999999</v>
      </c>
      <c r="G613" s="2">
        <v>1.931</v>
      </c>
      <c r="H613" s="2">
        <v>2.0630000000000002</v>
      </c>
      <c r="I613" s="2">
        <v>2.2444999999999999</v>
      </c>
      <c r="J613" s="2">
        <v>2.4260999999999999</v>
      </c>
      <c r="K613" s="2">
        <v>2.6076000000000001</v>
      </c>
      <c r="L613" s="2">
        <v>2.8056999999999999</v>
      </c>
      <c r="M613" s="2">
        <v>3.0036999999999998</v>
      </c>
      <c r="N613" s="2">
        <v>3.2018</v>
      </c>
      <c r="O613" s="2">
        <v>3.3997999999999999</v>
      </c>
      <c r="P613" s="2">
        <v>3.5979000000000001</v>
      </c>
      <c r="Q613" s="2">
        <v>3.7959000000000001</v>
      </c>
      <c r="R613" t="s">
        <v>3</v>
      </c>
      <c r="S613" t="s">
        <v>127</v>
      </c>
    </row>
    <row r="614" spans="2:19" x14ac:dyDescent="0.25">
      <c r="B614" t="s">
        <v>201</v>
      </c>
      <c r="C614" s="2">
        <v>0.8</v>
      </c>
      <c r="D614" s="2">
        <v>0.86</v>
      </c>
      <c r="E614" s="2">
        <v>0.92</v>
      </c>
      <c r="F614" s="2">
        <v>1</v>
      </c>
      <c r="G614" s="2">
        <v>1.06</v>
      </c>
      <c r="H614" s="2">
        <v>1.1200000000000001</v>
      </c>
      <c r="I614" s="2">
        <v>1.2</v>
      </c>
      <c r="J614" s="2">
        <v>1.28</v>
      </c>
      <c r="K614" s="2">
        <v>1.36</v>
      </c>
      <c r="L614" s="2">
        <v>1.44</v>
      </c>
      <c r="M614" s="2">
        <v>1.52</v>
      </c>
      <c r="N614" s="2">
        <v>1.6</v>
      </c>
      <c r="O614" s="2">
        <v>1.7</v>
      </c>
      <c r="P614" s="2">
        <v>1.8</v>
      </c>
      <c r="Q614" s="2">
        <v>1.9</v>
      </c>
      <c r="R614" t="s">
        <v>19</v>
      </c>
      <c r="S614" t="s">
        <v>127</v>
      </c>
    </row>
    <row r="615" spans="2:19" x14ac:dyDescent="0.25">
      <c r="B615" t="s">
        <v>259</v>
      </c>
      <c r="C615" s="2">
        <v>3.2</v>
      </c>
      <c r="D615" s="2">
        <v>3.44</v>
      </c>
      <c r="E615" s="2">
        <v>3.68</v>
      </c>
      <c r="F615" s="2">
        <v>4</v>
      </c>
      <c r="G615" s="2">
        <v>4.24</v>
      </c>
      <c r="H615" s="2">
        <v>4.4800000000000004</v>
      </c>
      <c r="I615" s="2">
        <v>4.8</v>
      </c>
      <c r="J615" s="2">
        <v>5.12</v>
      </c>
      <c r="K615" s="2">
        <v>5.44</v>
      </c>
      <c r="L615" s="2">
        <v>5.76</v>
      </c>
      <c r="M615" s="2">
        <v>6.08</v>
      </c>
      <c r="N615" s="2">
        <v>6.4</v>
      </c>
      <c r="O615" s="2">
        <v>6.8</v>
      </c>
      <c r="P615" s="2">
        <v>7.2</v>
      </c>
      <c r="Q615" s="2">
        <v>7.6</v>
      </c>
      <c r="R615" t="s">
        <v>19</v>
      </c>
      <c r="S615" t="s">
        <v>127</v>
      </c>
    </row>
    <row r="616" spans="2:19" x14ac:dyDescent="0.25">
      <c r="B616" t="s">
        <v>260</v>
      </c>
      <c r="C616" s="2">
        <v>3.68</v>
      </c>
      <c r="D616" s="2">
        <v>3.956</v>
      </c>
      <c r="E616" s="2">
        <v>4.2320000000000002</v>
      </c>
      <c r="F616" s="2">
        <v>4.5999999999999996</v>
      </c>
      <c r="G616" s="2">
        <v>4.8760000000000003</v>
      </c>
      <c r="H616" s="2">
        <v>5.1520000000000001</v>
      </c>
      <c r="I616" s="2">
        <v>5.52</v>
      </c>
      <c r="J616" s="2">
        <v>5.8879999999999999</v>
      </c>
      <c r="K616" s="2">
        <v>6.2560000000000002</v>
      </c>
      <c r="L616" s="2">
        <v>6.6239999999999997</v>
      </c>
      <c r="M616" s="2">
        <v>6.992</v>
      </c>
      <c r="N616" s="2">
        <v>7.36</v>
      </c>
      <c r="O616" s="2">
        <v>7.82</v>
      </c>
      <c r="P616" s="2">
        <v>8.2799999999999994</v>
      </c>
      <c r="Q616" s="2">
        <v>8.74</v>
      </c>
      <c r="R616" t="s">
        <v>19</v>
      </c>
      <c r="S616" t="s">
        <v>127</v>
      </c>
    </row>
    <row r="617" spans="2:19" x14ac:dyDescent="0.25">
      <c r="B617" t="s">
        <v>261</v>
      </c>
      <c r="C617" s="2">
        <v>4.24</v>
      </c>
      <c r="D617" s="2">
        <v>4.5579999999999998</v>
      </c>
      <c r="E617" s="2">
        <v>4.8760000000000003</v>
      </c>
      <c r="F617" s="2">
        <v>5.3</v>
      </c>
      <c r="G617" s="2">
        <v>5.6180000000000003</v>
      </c>
      <c r="H617" s="2">
        <v>5.9359999999999999</v>
      </c>
      <c r="I617" s="2">
        <v>6.36</v>
      </c>
      <c r="J617" s="2">
        <v>6.7839999999999998</v>
      </c>
      <c r="K617" s="2">
        <v>7.2080000000000002</v>
      </c>
      <c r="L617" s="2">
        <v>7.6319999999999997</v>
      </c>
      <c r="M617" s="2">
        <v>8.0559999999999992</v>
      </c>
      <c r="N617" s="2">
        <v>8.48</v>
      </c>
      <c r="O617" s="2">
        <v>9.01</v>
      </c>
      <c r="P617" s="2">
        <v>9.5399999999999991</v>
      </c>
      <c r="Q617" s="2">
        <v>10.07</v>
      </c>
      <c r="R617" t="s">
        <v>19</v>
      </c>
      <c r="S617" t="s">
        <v>127</v>
      </c>
    </row>
    <row r="618" spans="2:19" x14ac:dyDescent="0.25">
      <c r="B618" t="s">
        <v>262</v>
      </c>
      <c r="C618" s="2">
        <v>4.8719999999999999</v>
      </c>
      <c r="D618" s="2">
        <v>5.2374000000000001</v>
      </c>
      <c r="E618" s="2">
        <v>5.6028000000000002</v>
      </c>
      <c r="F618" s="2">
        <v>6.09</v>
      </c>
      <c r="G618" s="2">
        <v>6.4554</v>
      </c>
      <c r="H618" s="2">
        <v>6.8208000000000002</v>
      </c>
      <c r="I618" s="2">
        <v>7.3079999999999998</v>
      </c>
      <c r="J618" s="2">
        <v>7.7952000000000004</v>
      </c>
      <c r="K618" s="2">
        <v>8.2824000000000009</v>
      </c>
      <c r="L618" s="2">
        <v>8.7696000000000005</v>
      </c>
      <c r="M618" s="2">
        <v>9.2568000000000001</v>
      </c>
      <c r="N618" s="2">
        <v>9.7439999999999998</v>
      </c>
      <c r="O618" s="2">
        <v>10.353</v>
      </c>
      <c r="P618" s="2">
        <v>10.962</v>
      </c>
      <c r="Q618" s="2">
        <v>11.571</v>
      </c>
      <c r="R618" t="s">
        <v>19</v>
      </c>
      <c r="S618" t="s">
        <v>127</v>
      </c>
    </row>
    <row r="619" spans="2:19" x14ac:dyDescent="0.25">
      <c r="B619" t="s">
        <v>263</v>
      </c>
      <c r="C619" s="2">
        <v>0.36559999999999998</v>
      </c>
      <c r="D619" s="2">
        <v>0.39300000000000002</v>
      </c>
      <c r="E619" s="2">
        <v>0.4204</v>
      </c>
      <c r="F619" s="2">
        <v>0.45700000000000002</v>
      </c>
      <c r="G619" s="2">
        <v>0.4844</v>
      </c>
      <c r="H619" s="2">
        <v>0.51180000000000003</v>
      </c>
      <c r="I619" s="2">
        <v>0.5484</v>
      </c>
      <c r="J619" s="2">
        <v>0.58499999999999996</v>
      </c>
      <c r="K619" s="2">
        <v>0.62150000000000005</v>
      </c>
      <c r="L619" s="2">
        <v>0.65810000000000002</v>
      </c>
      <c r="M619" s="2">
        <v>0.6946</v>
      </c>
      <c r="N619" s="2">
        <v>0.73119999999999996</v>
      </c>
      <c r="O619" s="2">
        <v>0.77690000000000003</v>
      </c>
      <c r="P619" s="2">
        <v>0.8226</v>
      </c>
      <c r="Q619" s="2">
        <v>0.86829999999999996</v>
      </c>
      <c r="R619" t="s">
        <v>0</v>
      </c>
      <c r="S619" t="s">
        <v>127</v>
      </c>
    </row>
    <row r="620" spans="2:19" x14ac:dyDescent="0.25">
      <c r="B620" s="3" t="s">
        <v>771</v>
      </c>
      <c r="C620" s="23"/>
      <c r="D620" s="23"/>
      <c r="E620" s="23"/>
      <c r="F620" s="23"/>
      <c r="G620" s="23"/>
      <c r="H620" s="23"/>
      <c r="I620" s="23"/>
      <c r="J620" s="23"/>
      <c r="K620" s="23"/>
      <c r="L620" s="23"/>
      <c r="M620" s="23"/>
      <c r="N620" s="23"/>
      <c r="O620" s="23"/>
      <c r="P620" s="23"/>
      <c r="Q620" s="23"/>
      <c r="R620" s="5" t="s">
        <v>771</v>
      </c>
      <c r="S620" t="s">
        <v>772</v>
      </c>
    </row>
    <row r="621" spans="2:19" x14ac:dyDescent="0.25">
      <c r="B621" s="3" t="s">
        <v>390</v>
      </c>
      <c r="C621" s="23"/>
      <c r="D621" s="23"/>
      <c r="E621" s="23"/>
      <c r="F621" s="23"/>
      <c r="G621" s="23"/>
      <c r="H621" s="23"/>
      <c r="I621" s="23"/>
      <c r="J621" s="23"/>
      <c r="K621" s="23"/>
      <c r="L621" s="23"/>
      <c r="M621" s="23"/>
      <c r="N621" s="23"/>
      <c r="O621" s="23"/>
      <c r="P621" s="23"/>
      <c r="Q621" s="23"/>
      <c r="R621" s="5" t="s">
        <v>396</v>
      </c>
      <c r="S621" t="s">
        <v>69</v>
      </c>
    </row>
    <row r="622" spans="2:19" x14ac:dyDescent="0.25">
      <c r="B622" s="3" t="s">
        <v>392</v>
      </c>
      <c r="C622" s="23"/>
      <c r="D622" s="23"/>
      <c r="E622" s="23"/>
      <c r="F622" s="23"/>
      <c r="G622" s="23"/>
      <c r="H622" s="23"/>
      <c r="I622" s="23"/>
      <c r="J622" s="23"/>
      <c r="K622" s="23"/>
      <c r="L622" s="23"/>
      <c r="M622" s="23"/>
      <c r="N622" s="23"/>
      <c r="O622" s="23"/>
      <c r="P622" s="23"/>
      <c r="Q622" s="23"/>
      <c r="R622" s="5" t="s">
        <v>396</v>
      </c>
      <c r="S622" t="s">
        <v>69</v>
      </c>
    </row>
    <row r="623" spans="2:19" x14ac:dyDescent="0.25">
      <c r="B623" s="3" t="s">
        <v>393</v>
      </c>
      <c r="C623" s="23"/>
      <c r="D623" s="23"/>
      <c r="E623" s="23"/>
      <c r="F623" s="23"/>
      <c r="G623" s="23"/>
      <c r="H623" s="23"/>
      <c r="I623" s="23"/>
      <c r="J623" s="23"/>
      <c r="K623" s="23"/>
      <c r="L623" s="23"/>
      <c r="M623" s="23"/>
      <c r="N623" s="23"/>
      <c r="O623" s="23"/>
      <c r="P623" s="23"/>
      <c r="Q623" s="23"/>
      <c r="R623" s="5" t="s">
        <v>396</v>
      </c>
      <c r="S623" t="s">
        <v>69</v>
      </c>
    </row>
    <row r="624" spans="2:19" x14ac:dyDescent="0.25">
      <c r="B624" s="3" t="s">
        <v>389</v>
      </c>
      <c r="C624" s="23"/>
      <c r="D624" s="23"/>
      <c r="E624" s="23"/>
      <c r="F624" s="23"/>
      <c r="G624" s="23"/>
      <c r="H624" s="23"/>
      <c r="I624" s="23"/>
      <c r="J624" s="23"/>
      <c r="K624" s="23"/>
      <c r="L624" s="23"/>
      <c r="M624" s="23"/>
      <c r="N624" s="23"/>
      <c r="O624" s="23"/>
      <c r="P624" s="23"/>
      <c r="Q624" s="23"/>
      <c r="R624" s="5" t="s">
        <v>396</v>
      </c>
      <c r="S624" t="s">
        <v>69</v>
      </c>
    </row>
    <row r="625" spans="1:19" x14ac:dyDescent="0.25">
      <c r="B625" s="3" t="s">
        <v>391</v>
      </c>
      <c r="C625" s="23"/>
      <c r="D625" s="23"/>
      <c r="E625" s="23"/>
      <c r="F625" s="23"/>
      <c r="G625" s="23"/>
      <c r="H625" s="23"/>
      <c r="I625" s="23"/>
      <c r="J625" s="23"/>
      <c r="K625" s="23"/>
      <c r="L625" s="23"/>
      <c r="M625" s="23"/>
      <c r="N625" s="23"/>
      <c r="O625" s="23"/>
      <c r="P625" s="23"/>
      <c r="Q625" s="23"/>
      <c r="R625" s="5" t="s">
        <v>396</v>
      </c>
      <c r="S625" t="s">
        <v>69</v>
      </c>
    </row>
    <row r="626" spans="1:19" x14ac:dyDescent="0.25">
      <c r="B626" s="3" t="s">
        <v>394</v>
      </c>
      <c r="C626" s="23"/>
      <c r="D626" s="23"/>
      <c r="E626" s="23"/>
      <c r="F626" s="23"/>
      <c r="G626" s="23"/>
      <c r="H626" s="23"/>
      <c r="I626" s="23"/>
      <c r="J626" s="23"/>
      <c r="K626" s="23"/>
      <c r="L626" s="23"/>
      <c r="M626" s="23"/>
      <c r="N626" s="23"/>
      <c r="O626" s="23"/>
      <c r="P626" s="23"/>
      <c r="Q626" s="23"/>
      <c r="R626" s="5" t="s">
        <v>396</v>
      </c>
      <c r="S626" t="s">
        <v>69</v>
      </c>
    </row>
    <row r="627" spans="1:19" x14ac:dyDescent="0.25">
      <c r="B627" s="3" t="s">
        <v>395</v>
      </c>
      <c r="C627" s="23"/>
      <c r="D627" s="23"/>
      <c r="E627" s="23"/>
      <c r="F627" s="23"/>
      <c r="G627" s="23"/>
      <c r="H627" s="23"/>
      <c r="I627" s="23"/>
      <c r="J627" s="23"/>
      <c r="K627" s="23"/>
      <c r="L627" s="23"/>
      <c r="M627" s="23"/>
      <c r="N627" s="23"/>
      <c r="O627" s="23"/>
      <c r="P627" s="23"/>
      <c r="Q627" s="23"/>
      <c r="R627" s="5" t="s">
        <v>396</v>
      </c>
      <c r="S627" t="s">
        <v>69</v>
      </c>
    </row>
    <row r="628" spans="1:19" x14ac:dyDescent="0.25">
      <c r="A628" t="s">
        <v>876</v>
      </c>
      <c r="B628" s="3" t="s">
        <v>397</v>
      </c>
      <c r="C628" s="23"/>
      <c r="D628" s="23"/>
      <c r="E628" s="23"/>
      <c r="F628" s="23"/>
      <c r="G628" s="23"/>
      <c r="H628" s="23"/>
      <c r="I628" s="23"/>
      <c r="J628" s="23"/>
      <c r="K628" s="23"/>
      <c r="L628" s="23"/>
      <c r="M628" s="23"/>
      <c r="N628" s="23"/>
      <c r="O628" s="23"/>
      <c r="P628" s="23"/>
      <c r="Q628" s="23"/>
      <c r="R628" s="5" t="s">
        <v>396</v>
      </c>
      <c r="S628" t="s">
        <v>69</v>
      </c>
    </row>
    <row r="629" spans="1:19" x14ac:dyDescent="0.25">
      <c r="B629" t="s">
        <v>264</v>
      </c>
      <c r="C629" s="21">
        <v>1</v>
      </c>
      <c r="D629" s="21">
        <v>2</v>
      </c>
      <c r="E629" s="21">
        <v>3</v>
      </c>
      <c r="F629" s="21">
        <v>4</v>
      </c>
      <c r="G629" s="21">
        <v>5</v>
      </c>
      <c r="H629" s="21">
        <v>6</v>
      </c>
      <c r="I629" s="21">
        <v>7</v>
      </c>
      <c r="J629" s="21">
        <v>8</v>
      </c>
      <c r="K629" s="21">
        <v>9</v>
      </c>
      <c r="L629" s="21">
        <v>10</v>
      </c>
      <c r="M629" s="21">
        <v>11</v>
      </c>
      <c r="N629" s="21">
        <v>12</v>
      </c>
      <c r="O629" s="21">
        <v>13</v>
      </c>
      <c r="P629" s="21">
        <v>14</v>
      </c>
      <c r="Q629" s="21">
        <v>15</v>
      </c>
      <c r="R629" s="5" t="s">
        <v>11</v>
      </c>
      <c r="S629" t="s">
        <v>126</v>
      </c>
    </row>
    <row r="630" spans="1:19" x14ac:dyDescent="0.25">
      <c r="A630" t="s">
        <v>877</v>
      </c>
      <c r="B630" t="s">
        <v>10</v>
      </c>
      <c r="C630" s="2">
        <v>0.376</v>
      </c>
      <c r="D630" s="2">
        <v>0.4042</v>
      </c>
      <c r="E630" s="2">
        <v>0.43240000000000001</v>
      </c>
      <c r="F630" s="2">
        <v>0.47</v>
      </c>
      <c r="G630" s="2">
        <v>0.49819999999999998</v>
      </c>
      <c r="H630" s="2">
        <v>0.52639999999999998</v>
      </c>
      <c r="I630" s="2">
        <v>0.56399999999999995</v>
      </c>
      <c r="J630" s="2">
        <v>0.60160000000000002</v>
      </c>
      <c r="K630" s="2">
        <v>0.63919999999999999</v>
      </c>
      <c r="L630" s="2">
        <v>0.67679999999999996</v>
      </c>
      <c r="M630" s="2">
        <v>0.71440000000000003</v>
      </c>
      <c r="N630" s="2">
        <v>0.752</v>
      </c>
      <c r="O630" s="2">
        <v>0.79900000000000004</v>
      </c>
      <c r="P630" s="2">
        <v>0.84599999999999997</v>
      </c>
      <c r="Q630" s="2">
        <v>0.89300000000000002</v>
      </c>
      <c r="R630" t="s">
        <v>6</v>
      </c>
      <c r="S630" t="s">
        <v>127</v>
      </c>
    </row>
    <row r="631" spans="1:19" x14ac:dyDescent="0.25">
      <c r="B631" t="s">
        <v>9</v>
      </c>
      <c r="C631" s="2">
        <v>0.36</v>
      </c>
      <c r="D631" s="2">
        <v>0.38700000000000001</v>
      </c>
      <c r="E631" s="2">
        <v>0.41399999999999998</v>
      </c>
      <c r="F631" s="2">
        <v>0.45</v>
      </c>
      <c r="G631" s="2">
        <v>0.47699999999999998</v>
      </c>
      <c r="H631" s="2">
        <v>0.504</v>
      </c>
      <c r="I631" s="2">
        <v>0.54</v>
      </c>
      <c r="J631" s="2">
        <v>0.57599999999999996</v>
      </c>
      <c r="K631" s="2">
        <v>0.61199999999999999</v>
      </c>
      <c r="L631" s="2">
        <v>0.64800000000000002</v>
      </c>
      <c r="M631" s="2">
        <v>0.68400000000000005</v>
      </c>
      <c r="N631" s="2">
        <v>0.72</v>
      </c>
      <c r="O631" s="2">
        <v>0.76500000000000001</v>
      </c>
      <c r="P631" s="2">
        <v>0.81</v>
      </c>
      <c r="Q631" s="2">
        <v>0.85499999999999998</v>
      </c>
      <c r="R631" t="s">
        <v>6</v>
      </c>
      <c r="S631" t="s">
        <v>127</v>
      </c>
    </row>
    <row r="632" spans="1:19" x14ac:dyDescent="0.25">
      <c r="B632" t="s">
        <v>8</v>
      </c>
      <c r="C632" s="2">
        <v>0.44800000000000001</v>
      </c>
      <c r="D632" s="2">
        <v>0.48159999999999997</v>
      </c>
      <c r="E632" s="2">
        <v>0.51519999999999999</v>
      </c>
      <c r="F632" s="2">
        <v>0.56000000000000005</v>
      </c>
      <c r="G632" s="2">
        <v>0.59360000000000002</v>
      </c>
      <c r="H632" s="2">
        <v>0.62719999999999998</v>
      </c>
      <c r="I632" s="2">
        <v>0.67200000000000004</v>
      </c>
      <c r="J632" s="2">
        <v>0.71679999999999999</v>
      </c>
      <c r="K632" s="2">
        <v>0.76160000000000005</v>
      </c>
      <c r="L632" s="2">
        <v>0.80640000000000001</v>
      </c>
      <c r="M632" s="2">
        <v>0.85119999999999996</v>
      </c>
      <c r="N632" s="2">
        <v>0.89600000000000002</v>
      </c>
      <c r="O632" s="2">
        <v>0.95199999999999996</v>
      </c>
      <c r="P632" s="2">
        <v>1.008</v>
      </c>
      <c r="Q632" s="2">
        <v>1.0640000000000001</v>
      </c>
      <c r="R632" t="s">
        <v>6</v>
      </c>
      <c r="S632" t="s">
        <v>127</v>
      </c>
    </row>
    <row r="633" spans="1:19" x14ac:dyDescent="0.25">
      <c r="B633" t="s">
        <v>13</v>
      </c>
      <c r="C633" s="2">
        <v>0.56159999999999999</v>
      </c>
      <c r="D633" s="2">
        <v>0.60370000000000001</v>
      </c>
      <c r="E633" s="2">
        <v>0.64580000000000004</v>
      </c>
      <c r="F633" s="2">
        <v>0.70199999999999996</v>
      </c>
      <c r="G633" s="2">
        <v>0.74409999999999998</v>
      </c>
      <c r="H633" s="2">
        <v>0.78620000000000001</v>
      </c>
      <c r="I633" s="2">
        <v>0.84240000000000004</v>
      </c>
      <c r="J633" s="2">
        <v>0.89859999999999995</v>
      </c>
      <c r="K633" s="2">
        <v>0.95469999999999999</v>
      </c>
      <c r="L633" s="2">
        <v>1.0108999999999999</v>
      </c>
      <c r="M633" s="2">
        <v>1.0669999999999999</v>
      </c>
      <c r="N633" s="2">
        <v>1.1232</v>
      </c>
      <c r="O633" s="2">
        <v>1.1934</v>
      </c>
      <c r="P633" s="2">
        <v>1.2636000000000001</v>
      </c>
      <c r="Q633" s="2">
        <v>1.3338000000000001</v>
      </c>
      <c r="R633" t="s">
        <v>6</v>
      </c>
      <c r="S633" t="s">
        <v>127</v>
      </c>
    </row>
    <row r="634" spans="1:19" x14ac:dyDescent="0.25">
      <c r="B634" t="s">
        <v>14</v>
      </c>
      <c r="C634" s="2">
        <v>1.4972000000000001</v>
      </c>
      <c r="D634" s="2">
        <v>1.6094999999999999</v>
      </c>
      <c r="E634" s="2">
        <v>1.7218</v>
      </c>
      <c r="F634" s="2">
        <v>1.8714999999999999</v>
      </c>
      <c r="G634" s="2">
        <v>1.9838</v>
      </c>
      <c r="H634" s="2">
        <v>2.0960999999999999</v>
      </c>
      <c r="I634" s="2">
        <v>2.2458</v>
      </c>
      <c r="J634" s="2">
        <v>2.3955000000000002</v>
      </c>
      <c r="K634" s="2">
        <v>2.5451999999999999</v>
      </c>
      <c r="L634" s="2">
        <v>2.6949999999999998</v>
      </c>
      <c r="M634" s="2">
        <v>2.8506999999999998</v>
      </c>
      <c r="N634" s="2">
        <v>3.0543</v>
      </c>
      <c r="O634" s="2">
        <v>3.2578999999999998</v>
      </c>
      <c r="P634" s="2">
        <v>3.4615</v>
      </c>
      <c r="Q634" s="2">
        <v>3.6650999999999998</v>
      </c>
      <c r="R634" t="s">
        <v>5</v>
      </c>
      <c r="S634" t="s">
        <v>127</v>
      </c>
    </row>
    <row r="635" spans="1:19" x14ac:dyDescent="0.25">
      <c r="B635" t="s">
        <v>15</v>
      </c>
      <c r="C635" s="2">
        <v>0.56830000000000003</v>
      </c>
      <c r="D635" s="2">
        <v>0.61450000000000005</v>
      </c>
      <c r="E635" s="2">
        <v>0.66080000000000005</v>
      </c>
      <c r="F635" s="2">
        <v>0.72689999999999999</v>
      </c>
      <c r="G635" s="2">
        <v>0.77310000000000001</v>
      </c>
      <c r="H635" s="2">
        <v>0.82599999999999996</v>
      </c>
      <c r="I635" s="2">
        <v>0.89870000000000005</v>
      </c>
      <c r="J635" s="2">
        <v>0.97140000000000004</v>
      </c>
      <c r="K635" s="2">
        <v>1.0441</v>
      </c>
      <c r="L635" s="2">
        <v>1.1234</v>
      </c>
      <c r="M635" s="2">
        <v>1.2027000000000001</v>
      </c>
      <c r="N635" s="2">
        <v>1.282</v>
      </c>
      <c r="O635" s="2">
        <v>1.3612</v>
      </c>
      <c r="P635" s="2">
        <v>1.4404999999999999</v>
      </c>
      <c r="Q635" s="2">
        <v>1.5198</v>
      </c>
      <c r="R635" t="s">
        <v>3</v>
      </c>
      <c r="S635" t="s">
        <v>127</v>
      </c>
    </row>
    <row r="636" spans="1:19" x14ac:dyDescent="0.25">
      <c r="B636" t="s">
        <v>135</v>
      </c>
      <c r="C636" s="2">
        <v>1.1363000000000001</v>
      </c>
      <c r="D636" s="2">
        <v>1.2287999999999999</v>
      </c>
      <c r="E636" s="2">
        <v>1.3212999999999999</v>
      </c>
      <c r="F636" s="2">
        <v>1.4535</v>
      </c>
      <c r="G636" s="2">
        <v>1.5459000000000001</v>
      </c>
      <c r="H636" s="2">
        <v>1.6516999999999999</v>
      </c>
      <c r="I636" s="2">
        <v>1.7969999999999999</v>
      </c>
      <c r="J636" s="2">
        <v>1.9422999999999999</v>
      </c>
      <c r="K636" s="2">
        <v>2.0876999999999999</v>
      </c>
      <c r="L636" s="2">
        <v>2.2462</v>
      </c>
      <c r="M636" s="2">
        <v>2.4047999999999998</v>
      </c>
      <c r="N636" s="2">
        <v>2.5634000000000001</v>
      </c>
      <c r="O636" s="2">
        <v>2.7219000000000002</v>
      </c>
      <c r="P636" s="2">
        <v>2.8805000000000001</v>
      </c>
      <c r="Q636" s="2">
        <v>3.0390000000000001</v>
      </c>
      <c r="R636" t="s">
        <v>3</v>
      </c>
      <c r="S636" t="s">
        <v>127</v>
      </c>
    </row>
    <row r="637" spans="1:19" x14ac:dyDescent="0.25">
      <c r="B637" t="s">
        <v>136</v>
      </c>
      <c r="C637" s="2">
        <v>1.4193</v>
      </c>
      <c r="D637" s="2">
        <v>1.5348999999999999</v>
      </c>
      <c r="E637" s="2">
        <v>1.6504000000000001</v>
      </c>
      <c r="F637" s="2">
        <v>1.8153999999999999</v>
      </c>
      <c r="G637" s="2">
        <v>1.931</v>
      </c>
      <c r="H637" s="2">
        <v>2.0630000000000002</v>
      </c>
      <c r="I637" s="2">
        <v>2.2444999999999999</v>
      </c>
      <c r="J637" s="2">
        <v>2.4260999999999999</v>
      </c>
      <c r="K637" s="2">
        <v>2.6076000000000001</v>
      </c>
      <c r="L637" s="2">
        <v>2.8056999999999999</v>
      </c>
      <c r="M637" s="2">
        <v>3.0036999999999998</v>
      </c>
      <c r="N637" s="2">
        <v>3.2018</v>
      </c>
      <c r="O637" s="2">
        <v>3.3997999999999999</v>
      </c>
      <c r="P637" s="2">
        <v>3.5979000000000001</v>
      </c>
      <c r="Q637" s="2">
        <v>3.7959000000000001</v>
      </c>
      <c r="R637" t="s">
        <v>3</v>
      </c>
      <c r="S637" t="s">
        <v>127</v>
      </c>
    </row>
    <row r="638" spans="1:19" x14ac:dyDescent="0.25">
      <c r="B638" t="s">
        <v>265</v>
      </c>
      <c r="C638" s="2">
        <v>0.32</v>
      </c>
      <c r="D638" s="2">
        <v>0.34399999999999997</v>
      </c>
      <c r="E638" s="2">
        <v>0.36799999999999999</v>
      </c>
      <c r="F638" s="2">
        <v>0.4</v>
      </c>
      <c r="G638" s="2">
        <v>0.42399999999999999</v>
      </c>
      <c r="H638" s="2">
        <v>0.44800000000000001</v>
      </c>
      <c r="I638" s="2">
        <v>0.48</v>
      </c>
      <c r="J638" s="2">
        <v>0.51200000000000001</v>
      </c>
      <c r="K638" s="2">
        <v>0.54400000000000004</v>
      </c>
      <c r="L638" s="2">
        <v>0.57599999999999996</v>
      </c>
      <c r="M638" s="2">
        <v>0.60799999999999998</v>
      </c>
      <c r="N638" s="2">
        <v>0.64</v>
      </c>
      <c r="O638" s="2">
        <v>0.68</v>
      </c>
      <c r="P638" s="2">
        <v>0.72</v>
      </c>
      <c r="Q638" s="2">
        <v>0.76</v>
      </c>
      <c r="R638" t="s">
        <v>19</v>
      </c>
      <c r="S638" t="s">
        <v>127</v>
      </c>
    </row>
    <row r="639" spans="1:19" x14ac:dyDescent="0.25">
      <c r="B639" t="s">
        <v>266</v>
      </c>
      <c r="C639" s="2">
        <v>1.3280000000000001</v>
      </c>
      <c r="D639" s="2">
        <v>1.4276</v>
      </c>
      <c r="E639" s="2">
        <v>1.5271999999999999</v>
      </c>
      <c r="F639" s="2">
        <v>1.66</v>
      </c>
      <c r="G639" s="2">
        <v>1.7596000000000001</v>
      </c>
      <c r="H639" s="2">
        <v>1.8592</v>
      </c>
      <c r="I639" s="2">
        <v>1.992</v>
      </c>
      <c r="J639" s="2">
        <v>2.1248</v>
      </c>
      <c r="K639" s="2">
        <v>2.2576000000000001</v>
      </c>
      <c r="L639" s="2">
        <v>2.3904000000000001</v>
      </c>
      <c r="M639" s="2">
        <v>2.5232000000000001</v>
      </c>
      <c r="N639" s="2">
        <v>2.6560000000000001</v>
      </c>
      <c r="O639" s="2">
        <v>2.8220000000000001</v>
      </c>
      <c r="P639" s="2">
        <v>2.988</v>
      </c>
      <c r="Q639" s="2">
        <v>3.1539999999999999</v>
      </c>
      <c r="R639" t="s">
        <v>19</v>
      </c>
      <c r="S639" t="s">
        <v>127</v>
      </c>
    </row>
    <row r="640" spans="1:19" x14ac:dyDescent="0.25">
      <c r="B640" t="s">
        <v>267</v>
      </c>
      <c r="C640" s="2">
        <v>4.4240000000000004</v>
      </c>
      <c r="D640" s="2">
        <v>4.7557999999999998</v>
      </c>
      <c r="E640" s="2">
        <v>5.0876000000000001</v>
      </c>
      <c r="F640" s="2">
        <v>5.53</v>
      </c>
      <c r="G640" s="2">
        <v>5.8617999999999997</v>
      </c>
      <c r="H640" s="2">
        <v>6.1936</v>
      </c>
      <c r="I640" s="2">
        <v>6.6360000000000001</v>
      </c>
      <c r="J640" s="2">
        <v>7.0784000000000002</v>
      </c>
      <c r="K640" s="2">
        <v>7.5208000000000004</v>
      </c>
      <c r="L640" s="2">
        <v>7.9631999999999996</v>
      </c>
      <c r="M640" s="2">
        <v>8.4055999999999997</v>
      </c>
      <c r="N640" s="2">
        <v>8.8480000000000008</v>
      </c>
      <c r="O640" s="2">
        <v>9.4009999999999998</v>
      </c>
      <c r="P640" s="2">
        <v>9.9540000000000006</v>
      </c>
      <c r="Q640" s="2">
        <v>10.507</v>
      </c>
      <c r="R640" t="s">
        <v>0</v>
      </c>
      <c r="S640" t="s">
        <v>127</v>
      </c>
    </row>
    <row r="641" spans="1:19" x14ac:dyDescent="0.25">
      <c r="B641" s="3" t="s">
        <v>771</v>
      </c>
      <c r="C641" s="23"/>
      <c r="D641" s="23"/>
      <c r="E641" s="23"/>
      <c r="F641" s="23"/>
      <c r="G641" s="23"/>
      <c r="H641" s="23"/>
      <c r="I641" s="23"/>
      <c r="J641" s="23"/>
      <c r="K641" s="23"/>
      <c r="L641" s="23"/>
      <c r="M641" s="23"/>
      <c r="N641" s="23"/>
      <c r="O641" s="23"/>
      <c r="P641" s="23"/>
      <c r="Q641" s="23"/>
      <c r="R641" s="5" t="s">
        <v>771</v>
      </c>
      <c r="S641" t="s">
        <v>772</v>
      </c>
    </row>
    <row r="642" spans="1:19" x14ac:dyDescent="0.25">
      <c r="B642" s="3" t="s">
        <v>390</v>
      </c>
      <c r="C642" s="23"/>
      <c r="D642" s="23"/>
      <c r="E642" s="23"/>
      <c r="F642" s="23"/>
      <c r="G642" s="23"/>
      <c r="H642" s="23"/>
      <c r="I642" s="23"/>
      <c r="J642" s="23"/>
      <c r="K642" s="23"/>
      <c r="L642" s="23"/>
      <c r="M642" s="23"/>
      <c r="N642" s="23"/>
      <c r="O642" s="23"/>
      <c r="P642" s="23"/>
      <c r="Q642" s="23"/>
      <c r="R642" s="5" t="s">
        <v>396</v>
      </c>
      <c r="S642" t="s">
        <v>69</v>
      </c>
    </row>
    <row r="643" spans="1:19" x14ac:dyDescent="0.25">
      <c r="B643" s="3" t="s">
        <v>392</v>
      </c>
      <c r="C643" s="23"/>
      <c r="D643" s="23"/>
      <c r="E643" s="23"/>
      <c r="F643" s="23"/>
      <c r="G643" s="23"/>
      <c r="H643" s="23"/>
      <c r="I643" s="23"/>
      <c r="J643" s="23"/>
      <c r="K643" s="23"/>
      <c r="L643" s="23"/>
      <c r="M643" s="23"/>
      <c r="N643" s="23"/>
      <c r="O643" s="23"/>
      <c r="P643" s="23"/>
      <c r="Q643" s="23"/>
      <c r="R643" s="5" t="s">
        <v>396</v>
      </c>
      <c r="S643" t="s">
        <v>69</v>
      </c>
    </row>
    <row r="644" spans="1:19" x14ac:dyDescent="0.25">
      <c r="B644" s="3" t="s">
        <v>393</v>
      </c>
      <c r="C644" s="23"/>
      <c r="D644" s="23"/>
      <c r="E644" s="23"/>
      <c r="F644" s="23"/>
      <c r="G644" s="23"/>
      <c r="H644" s="23"/>
      <c r="I644" s="23"/>
      <c r="J644" s="23"/>
      <c r="K644" s="23"/>
      <c r="L644" s="23"/>
      <c r="M644" s="23"/>
      <c r="N644" s="23"/>
      <c r="O644" s="23"/>
      <c r="P644" s="23"/>
      <c r="Q644" s="23"/>
      <c r="R644" s="5" t="s">
        <v>396</v>
      </c>
      <c r="S644" t="s">
        <v>69</v>
      </c>
    </row>
    <row r="645" spans="1:19" x14ac:dyDescent="0.25">
      <c r="B645" s="3" t="s">
        <v>389</v>
      </c>
      <c r="C645" s="23"/>
      <c r="D645" s="23"/>
      <c r="E645" s="23"/>
      <c r="F645" s="23"/>
      <c r="G645" s="23"/>
      <c r="H645" s="23"/>
      <c r="I645" s="23"/>
      <c r="J645" s="23"/>
      <c r="K645" s="23"/>
      <c r="L645" s="23"/>
      <c r="M645" s="23"/>
      <c r="N645" s="23"/>
      <c r="O645" s="23"/>
      <c r="P645" s="23"/>
      <c r="Q645" s="23"/>
      <c r="R645" s="5" t="s">
        <v>396</v>
      </c>
      <c r="S645" t="s">
        <v>69</v>
      </c>
    </row>
    <row r="646" spans="1:19" x14ac:dyDescent="0.25">
      <c r="B646" s="3" t="s">
        <v>391</v>
      </c>
      <c r="C646" s="23"/>
      <c r="D646" s="23"/>
      <c r="E646" s="23"/>
      <c r="F646" s="23"/>
      <c r="G646" s="23"/>
      <c r="H646" s="23"/>
      <c r="I646" s="23"/>
      <c r="J646" s="23"/>
      <c r="K646" s="23"/>
      <c r="L646" s="23"/>
      <c r="M646" s="23"/>
      <c r="N646" s="23"/>
      <c r="O646" s="23"/>
      <c r="P646" s="23"/>
      <c r="Q646" s="23"/>
      <c r="R646" s="5" t="s">
        <v>396</v>
      </c>
      <c r="S646" t="s">
        <v>69</v>
      </c>
    </row>
    <row r="647" spans="1:19" x14ac:dyDescent="0.25">
      <c r="B647" s="3" t="s">
        <v>394</v>
      </c>
      <c r="C647" s="23"/>
      <c r="D647" s="23"/>
      <c r="E647" s="23"/>
      <c r="F647" s="23"/>
      <c r="G647" s="23"/>
      <c r="H647" s="23"/>
      <c r="I647" s="23"/>
      <c r="J647" s="23"/>
      <c r="K647" s="23"/>
      <c r="L647" s="23"/>
      <c r="M647" s="23"/>
      <c r="N647" s="23"/>
      <c r="O647" s="23"/>
      <c r="P647" s="23"/>
      <c r="Q647" s="23"/>
      <c r="R647" s="5" t="s">
        <v>396</v>
      </c>
      <c r="S647" t="s">
        <v>69</v>
      </c>
    </row>
    <row r="648" spans="1:19" x14ac:dyDescent="0.25">
      <c r="B648" s="3" t="s">
        <v>395</v>
      </c>
      <c r="C648" s="23"/>
      <c r="D648" s="23"/>
      <c r="E648" s="23"/>
      <c r="F648" s="23"/>
      <c r="G648" s="23"/>
      <c r="H648" s="23"/>
      <c r="I648" s="23"/>
      <c r="J648" s="23"/>
      <c r="K648" s="23"/>
      <c r="L648" s="23"/>
      <c r="M648" s="23"/>
      <c r="N648" s="23"/>
      <c r="O648" s="23"/>
      <c r="P648" s="23"/>
      <c r="Q648" s="23"/>
      <c r="R648" s="5" t="s">
        <v>396</v>
      </c>
      <c r="S648" t="s">
        <v>69</v>
      </c>
    </row>
    <row r="649" spans="1:19" x14ac:dyDescent="0.25">
      <c r="A649" t="s">
        <v>878</v>
      </c>
      <c r="B649" s="3" t="s">
        <v>397</v>
      </c>
      <c r="C649" s="23"/>
      <c r="D649" s="23"/>
      <c r="E649" s="23"/>
      <c r="F649" s="23"/>
      <c r="G649" s="23"/>
      <c r="H649" s="23"/>
      <c r="I649" s="23"/>
      <c r="J649" s="23"/>
      <c r="K649" s="23"/>
      <c r="L649" s="23"/>
      <c r="M649" s="23"/>
      <c r="N649" s="23"/>
      <c r="O649" s="23"/>
      <c r="P649" s="23"/>
      <c r="Q649" s="23"/>
      <c r="R649" s="5" t="s">
        <v>396</v>
      </c>
      <c r="S649" t="s">
        <v>69</v>
      </c>
    </row>
    <row r="650" spans="1:19" x14ac:dyDescent="0.25">
      <c r="B650" t="s">
        <v>270</v>
      </c>
      <c r="C650" s="21">
        <v>1</v>
      </c>
      <c r="D650" s="21">
        <v>2</v>
      </c>
      <c r="E650" s="21">
        <v>3</v>
      </c>
      <c r="F650" s="21">
        <v>4</v>
      </c>
      <c r="G650" s="21">
        <v>5</v>
      </c>
      <c r="H650" s="21">
        <v>6</v>
      </c>
      <c r="I650" s="21">
        <v>7</v>
      </c>
      <c r="J650" s="21">
        <v>8</v>
      </c>
      <c r="K650" s="21">
        <v>9</v>
      </c>
      <c r="L650" s="21">
        <v>10</v>
      </c>
      <c r="M650" s="21">
        <v>11</v>
      </c>
      <c r="N650" s="21">
        <v>12</v>
      </c>
      <c r="O650" s="21">
        <v>13</v>
      </c>
      <c r="P650" s="21">
        <v>14</v>
      </c>
      <c r="Q650" s="21">
        <v>15</v>
      </c>
      <c r="R650" s="5" t="s">
        <v>11</v>
      </c>
      <c r="S650" t="s">
        <v>126</v>
      </c>
    </row>
    <row r="651" spans="1:19" x14ac:dyDescent="0.25">
      <c r="A651" t="s">
        <v>879</v>
      </c>
      <c r="B651" t="s">
        <v>268</v>
      </c>
      <c r="C651" s="2">
        <v>0.28000000000000003</v>
      </c>
      <c r="D651" s="2">
        <v>0.30099999999999999</v>
      </c>
      <c r="E651" s="2">
        <v>0.32200000000000001</v>
      </c>
      <c r="F651" s="2">
        <v>0.35</v>
      </c>
      <c r="G651" s="2">
        <v>0.371</v>
      </c>
      <c r="H651" s="2">
        <v>0.39200000000000002</v>
      </c>
      <c r="I651" s="2">
        <v>0.42</v>
      </c>
      <c r="J651" s="2">
        <v>0.44800000000000001</v>
      </c>
      <c r="K651" s="2">
        <v>0.47599999999999998</v>
      </c>
      <c r="L651" s="2">
        <v>0.504</v>
      </c>
      <c r="M651" s="2">
        <v>0.53310000000000002</v>
      </c>
      <c r="N651" s="2">
        <v>0.57120000000000004</v>
      </c>
      <c r="O651" s="2">
        <v>0.60929999999999995</v>
      </c>
      <c r="P651" s="2">
        <v>0.64739999999999998</v>
      </c>
      <c r="Q651" s="2">
        <v>0.68540000000000001</v>
      </c>
      <c r="R651" t="s">
        <v>6</v>
      </c>
      <c r="S651" t="s">
        <v>127</v>
      </c>
    </row>
    <row r="652" spans="1:19" x14ac:dyDescent="0.25">
      <c r="B652" t="s">
        <v>14</v>
      </c>
      <c r="C652" s="2">
        <v>1.7407999999999999</v>
      </c>
      <c r="D652" s="2">
        <v>1.8714</v>
      </c>
      <c r="E652" s="2">
        <v>2.0019</v>
      </c>
      <c r="F652" s="2">
        <v>2.1760000000000002</v>
      </c>
      <c r="G652" s="2">
        <v>2.3066</v>
      </c>
      <c r="H652" s="2">
        <v>2.4371</v>
      </c>
      <c r="I652" s="2">
        <v>2.6112000000000002</v>
      </c>
      <c r="J652" s="2">
        <v>2.7852999999999999</v>
      </c>
      <c r="K652" s="2">
        <v>2.9594</v>
      </c>
      <c r="L652" s="2">
        <v>3.1334</v>
      </c>
      <c r="M652" s="2">
        <v>3.3144999999999998</v>
      </c>
      <c r="N652" s="2">
        <v>3.5512000000000001</v>
      </c>
      <c r="O652" s="2">
        <v>3.7879999999999998</v>
      </c>
      <c r="P652" s="2">
        <v>4.0247000000000002</v>
      </c>
      <c r="Q652" s="2">
        <v>4.2614999999999998</v>
      </c>
      <c r="R652" t="s">
        <v>5</v>
      </c>
      <c r="S652" t="s">
        <v>127</v>
      </c>
    </row>
    <row r="653" spans="1:19" x14ac:dyDescent="0.25">
      <c r="B653" t="s">
        <v>269</v>
      </c>
      <c r="C653" s="2">
        <v>0.496</v>
      </c>
      <c r="D653" s="2">
        <v>0.53320000000000001</v>
      </c>
      <c r="E653" s="2">
        <v>0.57040000000000002</v>
      </c>
      <c r="F653" s="2">
        <v>0.62</v>
      </c>
      <c r="G653" s="2">
        <v>0.65720000000000001</v>
      </c>
      <c r="H653" s="2">
        <v>0.69440000000000002</v>
      </c>
      <c r="I653" s="2">
        <v>0.74399999999999999</v>
      </c>
      <c r="J653" s="2">
        <v>0.79359999999999997</v>
      </c>
      <c r="K653" s="2">
        <v>0.84319999999999995</v>
      </c>
      <c r="L653" s="2">
        <v>0.89280000000000004</v>
      </c>
      <c r="M653" s="2">
        <v>0.94440000000000002</v>
      </c>
      <c r="N653" s="2">
        <v>1.0118</v>
      </c>
      <c r="O653" s="2">
        <v>1.0792999999999999</v>
      </c>
      <c r="P653" s="2">
        <v>1.1468</v>
      </c>
      <c r="Q653" s="2">
        <v>1.2141999999999999</v>
      </c>
      <c r="R653" t="s">
        <v>5</v>
      </c>
      <c r="S653" t="s">
        <v>127</v>
      </c>
    </row>
    <row r="654" spans="1:19" x14ac:dyDescent="0.25">
      <c r="B654" t="s">
        <v>155</v>
      </c>
      <c r="C654" s="2">
        <v>0.56830000000000003</v>
      </c>
      <c r="D654" s="2">
        <v>0.61450000000000005</v>
      </c>
      <c r="E654" s="2">
        <v>0.66080000000000005</v>
      </c>
      <c r="F654" s="2">
        <v>0.72689999999999999</v>
      </c>
      <c r="G654" s="2">
        <v>0.77310000000000001</v>
      </c>
      <c r="H654" s="2">
        <v>0.82599999999999996</v>
      </c>
      <c r="I654" s="2">
        <v>0.89870000000000005</v>
      </c>
      <c r="J654" s="2">
        <v>0.97140000000000004</v>
      </c>
      <c r="K654" s="2">
        <v>1.0441</v>
      </c>
      <c r="L654" s="2">
        <v>1.1234</v>
      </c>
      <c r="M654" s="2">
        <v>1.2027000000000001</v>
      </c>
      <c r="N654" s="2">
        <v>1.282</v>
      </c>
      <c r="O654" s="2">
        <v>1.3612</v>
      </c>
      <c r="P654" s="2">
        <v>1.4404999999999999</v>
      </c>
      <c r="Q654" s="2">
        <v>1.5198</v>
      </c>
      <c r="R654" t="s">
        <v>3</v>
      </c>
      <c r="S654" t="s">
        <v>127</v>
      </c>
    </row>
    <row r="655" spans="1:19" x14ac:dyDescent="0.25">
      <c r="B655" t="s">
        <v>135</v>
      </c>
      <c r="C655" s="2">
        <v>1.1363000000000001</v>
      </c>
      <c r="D655" s="2">
        <v>1.2287999999999999</v>
      </c>
      <c r="E655" s="2">
        <v>1.3212999999999999</v>
      </c>
      <c r="F655" s="2">
        <v>1.4535</v>
      </c>
      <c r="G655" s="2">
        <v>1.5459000000000001</v>
      </c>
      <c r="H655" s="2">
        <v>1.6516999999999999</v>
      </c>
      <c r="I655" s="2">
        <v>1.7969999999999999</v>
      </c>
      <c r="J655" s="2">
        <v>1.9422999999999999</v>
      </c>
      <c r="K655" s="2">
        <v>2.0876999999999999</v>
      </c>
      <c r="L655" s="2">
        <v>2.2462</v>
      </c>
      <c r="M655" s="2">
        <v>2.4047999999999998</v>
      </c>
      <c r="N655" s="2">
        <v>2.5634000000000001</v>
      </c>
      <c r="O655" s="2">
        <v>2.7219000000000002</v>
      </c>
      <c r="P655" s="2">
        <v>2.8805000000000001</v>
      </c>
      <c r="Q655" s="2">
        <v>3.0390000000000001</v>
      </c>
      <c r="R655" t="s">
        <v>3</v>
      </c>
      <c r="S655" t="s">
        <v>127</v>
      </c>
    </row>
    <row r="656" spans="1:19" x14ac:dyDescent="0.25">
      <c r="B656" t="s">
        <v>136</v>
      </c>
      <c r="C656" s="2">
        <v>1.4193</v>
      </c>
      <c r="D656" s="2">
        <v>1.5348999999999999</v>
      </c>
      <c r="E656" s="2">
        <v>1.6504000000000001</v>
      </c>
      <c r="F656" s="2">
        <v>1.8153999999999999</v>
      </c>
      <c r="G656" s="2">
        <v>1.931</v>
      </c>
      <c r="H656" s="2">
        <v>2.0630000000000002</v>
      </c>
      <c r="I656" s="2">
        <v>2.2444999999999999</v>
      </c>
      <c r="J656" s="2">
        <v>2.4260999999999999</v>
      </c>
      <c r="K656" s="2">
        <v>2.6076000000000001</v>
      </c>
      <c r="L656" s="2">
        <v>2.8056999999999999</v>
      </c>
      <c r="M656" s="2">
        <v>3.0036999999999998</v>
      </c>
      <c r="N656" s="2">
        <v>3.2018</v>
      </c>
      <c r="O656" s="2">
        <v>3.3997999999999999</v>
      </c>
      <c r="P656" s="2">
        <v>3.5979000000000001</v>
      </c>
      <c r="Q656" s="2">
        <v>3.7959000000000001</v>
      </c>
      <c r="R656" t="s">
        <v>3</v>
      </c>
      <c r="S656" t="s">
        <v>127</v>
      </c>
    </row>
    <row r="657" spans="1:19" x14ac:dyDescent="0.25">
      <c r="B657" t="s">
        <v>4</v>
      </c>
      <c r="C657" s="2">
        <v>2.3039999999999998</v>
      </c>
      <c r="D657" s="2">
        <v>2.4767999999999999</v>
      </c>
      <c r="E657" s="2">
        <v>2.6496</v>
      </c>
      <c r="F657" s="2">
        <v>2.88</v>
      </c>
      <c r="G657" s="2">
        <v>3.0528</v>
      </c>
      <c r="H657" s="2">
        <v>3.2256</v>
      </c>
      <c r="I657" s="2">
        <v>3.456</v>
      </c>
      <c r="J657" s="2">
        <v>3.6863999999999999</v>
      </c>
      <c r="K657" s="2">
        <v>3.9167999999999998</v>
      </c>
      <c r="L657" s="2">
        <v>4.1471999999999998</v>
      </c>
      <c r="M657" s="2">
        <v>4.3776000000000002</v>
      </c>
      <c r="N657" s="2">
        <v>4.6079999999999997</v>
      </c>
      <c r="O657" s="2">
        <v>4.8959999999999999</v>
      </c>
      <c r="P657" s="2">
        <v>5.1840000000000002</v>
      </c>
      <c r="Q657" s="2">
        <v>5.4720000000000004</v>
      </c>
      <c r="R657" t="s">
        <v>19</v>
      </c>
      <c r="S657" t="s">
        <v>127</v>
      </c>
    </row>
    <row r="658" spans="1:19" x14ac:dyDescent="0.25">
      <c r="B658" t="s">
        <v>271</v>
      </c>
      <c r="C658" s="2">
        <v>0.86960000000000004</v>
      </c>
      <c r="D658" s="2">
        <v>0.93479999999999996</v>
      </c>
      <c r="E658" s="2">
        <v>1</v>
      </c>
      <c r="F658" s="2">
        <v>1.087</v>
      </c>
      <c r="G658" s="2">
        <v>1.1521999999999999</v>
      </c>
      <c r="H658" s="2">
        <v>1.2174</v>
      </c>
      <c r="I658" s="2">
        <v>1.3044</v>
      </c>
      <c r="J658" s="2">
        <v>1.3914</v>
      </c>
      <c r="K658" s="2">
        <v>1.4782999999999999</v>
      </c>
      <c r="L658" s="2">
        <v>1.5652999999999999</v>
      </c>
      <c r="M658" s="2">
        <v>1.6521999999999999</v>
      </c>
      <c r="N658" s="2">
        <v>1.7392000000000001</v>
      </c>
      <c r="O658" s="2">
        <v>1.8479000000000001</v>
      </c>
      <c r="P658" s="2">
        <v>1.9565999999999999</v>
      </c>
      <c r="Q658" s="2">
        <v>2.0653000000000001</v>
      </c>
      <c r="R658" t="s">
        <v>0</v>
      </c>
      <c r="S658" t="s">
        <v>127</v>
      </c>
    </row>
    <row r="659" spans="1:19" x14ac:dyDescent="0.25">
      <c r="B659" s="3" t="s">
        <v>771</v>
      </c>
      <c r="C659" s="23"/>
      <c r="D659" s="23"/>
      <c r="E659" s="23"/>
      <c r="F659" s="23"/>
      <c r="G659" s="23"/>
      <c r="H659" s="23"/>
      <c r="I659" s="23"/>
      <c r="J659" s="23"/>
      <c r="K659" s="23"/>
      <c r="L659" s="23"/>
      <c r="M659" s="23"/>
      <c r="N659" s="23"/>
      <c r="O659" s="23"/>
      <c r="P659" s="23"/>
      <c r="Q659" s="23"/>
      <c r="R659" s="5" t="s">
        <v>771</v>
      </c>
      <c r="S659" t="s">
        <v>772</v>
      </c>
    </row>
    <row r="660" spans="1:19" x14ac:dyDescent="0.25">
      <c r="B660" s="3" t="s">
        <v>390</v>
      </c>
      <c r="C660" s="23"/>
      <c r="D660" s="23"/>
      <c r="E660" s="23"/>
      <c r="F660" s="23"/>
      <c r="G660" s="23"/>
      <c r="H660" s="23"/>
      <c r="I660" s="23"/>
      <c r="J660" s="23"/>
      <c r="K660" s="23"/>
      <c r="L660" s="23"/>
      <c r="M660" s="23"/>
      <c r="N660" s="23"/>
      <c r="O660" s="23"/>
      <c r="P660" s="23"/>
      <c r="Q660" s="23"/>
      <c r="R660" s="5" t="s">
        <v>396</v>
      </c>
      <c r="S660" t="s">
        <v>69</v>
      </c>
    </row>
    <row r="661" spans="1:19" x14ac:dyDescent="0.25">
      <c r="B661" s="3" t="s">
        <v>392</v>
      </c>
      <c r="C661" s="23"/>
      <c r="D661" s="23"/>
      <c r="E661" s="23"/>
      <c r="F661" s="23"/>
      <c r="G661" s="23"/>
      <c r="H661" s="23"/>
      <c r="I661" s="23"/>
      <c r="J661" s="23"/>
      <c r="K661" s="23"/>
      <c r="L661" s="23"/>
      <c r="M661" s="23"/>
      <c r="N661" s="23"/>
      <c r="O661" s="23"/>
      <c r="P661" s="23"/>
      <c r="Q661" s="23"/>
      <c r="R661" s="5" t="s">
        <v>396</v>
      </c>
      <c r="S661" t="s">
        <v>69</v>
      </c>
    </row>
    <row r="662" spans="1:19" x14ac:dyDescent="0.25">
      <c r="B662" s="3" t="s">
        <v>393</v>
      </c>
      <c r="C662" s="23"/>
      <c r="D662" s="23"/>
      <c r="E662" s="23"/>
      <c r="F662" s="23"/>
      <c r="G662" s="23"/>
      <c r="H662" s="23"/>
      <c r="I662" s="23"/>
      <c r="J662" s="23"/>
      <c r="K662" s="23"/>
      <c r="L662" s="23"/>
      <c r="M662" s="23"/>
      <c r="N662" s="23"/>
      <c r="O662" s="23"/>
      <c r="P662" s="23"/>
      <c r="Q662" s="23"/>
      <c r="R662" s="5" t="s">
        <v>396</v>
      </c>
      <c r="S662" t="s">
        <v>69</v>
      </c>
    </row>
    <row r="663" spans="1:19" x14ac:dyDescent="0.25">
      <c r="B663" s="3" t="s">
        <v>389</v>
      </c>
      <c r="C663" s="23"/>
      <c r="D663" s="23"/>
      <c r="E663" s="23"/>
      <c r="F663" s="23"/>
      <c r="G663" s="23"/>
      <c r="H663" s="23"/>
      <c r="I663" s="23"/>
      <c r="J663" s="23"/>
      <c r="K663" s="23"/>
      <c r="L663" s="23"/>
      <c r="M663" s="23"/>
      <c r="N663" s="23"/>
      <c r="O663" s="23"/>
      <c r="P663" s="23"/>
      <c r="Q663" s="23"/>
      <c r="R663" s="5" t="s">
        <v>396</v>
      </c>
      <c r="S663" t="s">
        <v>69</v>
      </c>
    </row>
    <row r="664" spans="1:19" x14ac:dyDescent="0.25">
      <c r="B664" s="3" t="s">
        <v>391</v>
      </c>
      <c r="C664" s="23"/>
      <c r="D664" s="23"/>
      <c r="E664" s="23"/>
      <c r="F664" s="23"/>
      <c r="G664" s="23"/>
      <c r="H664" s="23"/>
      <c r="I664" s="23"/>
      <c r="J664" s="23"/>
      <c r="K664" s="23"/>
      <c r="L664" s="23"/>
      <c r="M664" s="23"/>
      <c r="N664" s="23"/>
      <c r="O664" s="23"/>
      <c r="P664" s="23"/>
      <c r="Q664" s="23"/>
      <c r="R664" s="5" t="s">
        <v>396</v>
      </c>
      <c r="S664" t="s">
        <v>69</v>
      </c>
    </row>
    <row r="665" spans="1:19" x14ac:dyDescent="0.25">
      <c r="B665" s="3" t="s">
        <v>394</v>
      </c>
      <c r="C665" s="23"/>
      <c r="D665" s="23"/>
      <c r="E665" s="23"/>
      <c r="F665" s="23"/>
      <c r="G665" s="23"/>
      <c r="H665" s="23"/>
      <c r="I665" s="23"/>
      <c r="J665" s="23"/>
      <c r="K665" s="23"/>
      <c r="L665" s="23"/>
      <c r="M665" s="23"/>
      <c r="N665" s="23"/>
      <c r="O665" s="23"/>
      <c r="P665" s="23"/>
      <c r="Q665" s="23"/>
      <c r="R665" s="5" t="s">
        <v>396</v>
      </c>
      <c r="S665" t="s">
        <v>69</v>
      </c>
    </row>
    <row r="666" spans="1:19" x14ac:dyDescent="0.25">
      <c r="B666" s="3" t="s">
        <v>395</v>
      </c>
      <c r="C666" s="23"/>
      <c r="D666" s="23"/>
      <c r="E666" s="23"/>
      <c r="F666" s="23"/>
      <c r="G666" s="23"/>
      <c r="H666" s="23"/>
      <c r="I666" s="23"/>
      <c r="J666" s="23"/>
      <c r="K666" s="23"/>
      <c r="L666" s="23"/>
      <c r="M666" s="23"/>
      <c r="N666" s="23"/>
      <c r="O666" s="23"/>
      <c r="P666" s="23"/>
      <c r="Q666" s="23"/>
      <c r="R666" s="5" t="s">
        <v>396</v>
      </c>
      <c r="S666" t="s">
        <v>69</v>
      </c>
    </row>
    <row r="667" spans="1:19" x14ac:dyDescent="0.25">
      <c r="A667" t="s">
        <v>880</v>
      </c>
      <c r="B667" s="3" t="s">
        <v>397</v>
      </c>
      <c r="C667" s="23"/>
      <c r="D667" s="23"/>
      <c r="E667" s="23"/>
      <c r="F667" s="23"/>
      <c r="G667" s="23"/>
      <c r="H667" s="23"/>
      <c r="I667" s="23"/>
      <c r="J667" s="23"/>
      <c r="K667" s="23"/>
      <c r="L667" s="23"/>
      <c r="M667" s="23"/>
      <c r="N667" s="23"/>
      <c r="O667" s="23"/>
      <c r="P667" s="23"/>
      <c r="Q667" s="23"/>
      <c r="R667" s="5" t="s">
        <v>396</v>
      </c>
      <c r="S667" t="s">
        <v>69</v>
      </c>
    </row>
    <row r="668" spans="1:19" x14ac:dyDescent="0.25">
      <c r="B668" t="s">
        <v>272</v>
      </c>
      <c r="C668" s="21">
        <v>1</v>
      </c>
      <c r="D668" s="21">
        <v>2</v>
      </c>
      <c r="E668" s="21">
        <v>3</v>
      </c>
      <c r="F668" s="21">
        <v>4</v>
      </c>
      <c r="G668" s="21">
        <v>5</v>
      </c>
      <c r="H668" s="21">
        <v>6</v>
      </c>
      <c r="I668" s="21">
        <v>7</v>
      </c>
      <c r="J668" s="21">
        <v>8</v>
      </c>
      <c r="K668" s="21">
        <v>9</v>
      </c>
      <c r="L668" s="21">
        <v>10</v>
      </c>
      <c r="M668" s="21">
        <v>11</v>
      </c>
      <c r="N668" s="21">
        <v>12</v>
      </c>
      <c r="O668" s="21">
        <v>13</v>
      </c>
      <c r="P668" s="21">
        <v>14</v>
      </c>
      <c r="Q668" s="21">
        <v>15</v>
      </c>
      <c r="R668" s="5" t="s">
        <v>11</v>
      </c>
      <c r="S668" t="s">
        <v>126</v>
      </c>
    </row>
    <row r="669" spans="1:19" x14ac:dyDescent="0.25">
      <c r="A669" t="s">
        <v>881</v>
      </c>
      <c r="B669" t="s">
        <v>10</v>
      </c>
      <c r="C669" s="2">
        <v>0.79120000000000001</v>
      </c>
      <c r="D669" s="2">
        <v>0.85560000000000003</v>
      </c>
      <c r="E669" s="2">
        <v>0.92</v>
      </c>
      <c r="F669" s="2">
        <v>1.012</v>
      </c>
      <c r="G669" s="2">
        <v>1.0764</v>
      </c>
      <c r="H669" s="2">
        <v>1.1499999999999999</v>
      </c>
      <c r="I669" s="2">
        <v>1.2512000000000001</v>
      </c>
      <c r="J669" s="2">
        <v>1.3524</v>
      </c>
      <c r="K669" s="2">
        <v>1.4536</v>
      </c>
      <c r="L669" s="2">
        <v>1.5640000000000001</v>
      </c>
      <c r="M669" s="2">
        <v>1.6744000000000001</v>
      </c>
      <c r="N669" s="2">
        <v>1.7847999999999999</v>
      </c>
      <c r="O669" s="2">
        <v>1.8952</v>
      </c>
      <c r="P669" s="2">
        <v>2.0055999999999998</v>
      </c>
      <c r="Q669" s="2">
        <v>2.1160000000000001</v>
      </c>
      <c r="R669" t="s">
        <v>6</v>
      </c>
      <c r="S669" t="s">
        <v>127</v>
      </c>
    </row>
    <row r="670" spans="1:19" x14ac:dyDescent="0.25">
      <c r="B670" t="s">
        <v>9</v>
      </c>
      <c r="C670" s="2">
        <v>0.73360000000000003</v>
      </c>
      <c r="D670" s="2">
        <v>0.79330000000000001</v>
      </c>
      <c r="E670" s="2">
        <v>0.85299999999999998</v>
      </c>
      <c r="F670" s="2">
        <v>0.93830000000000002</v>
      </c>
      <c r="G670" s="2">
        <v>0.998</v>
      </c>
      <c r="H670" s="2">
        <v>1.0663</v>
      </c>
      <c r="I670" s="2">
        <v>1.1600999999999999</v>
      </c>
      <c r="J670" s="2">
        <v>1.2539</v>
      </c>
      <c r="K670" s="2">
        <v>1.3476999999999999</v>
      </c>
      <c r="L670" s="2">
        <v>1.4500999999999999</v>
      </c>
      <c r="M670" s="2">
        <v>1.5525</v>
      </c>
      <c r="N670" s="2">
        <v>1.6548</v>
      </c>
      <c r="O670" s="2">
        <v>1.7572000000000001</v>
      </c>
      <c r="P670" s="2">
        <v>1.8594999999999999</v>
      </c>
      <c r="Q670" s="2">
        <v>1.9619</v>
      </c>
      <c r="R670" t="s">
        <v>6</v>
      </c>
      <c r="S670" t="s">
        <v>127</v>
      </c>
    </row>
    <row r="671" spans="1:19" x14ac:dyDescent="0.25">
      <c r="B671" t="s">
        <v>8</v>
      </c>
      <c r="C671" s="2">
        <v>0.86260000000000003</v>
      </c>
      <c r="D671" s="2">
        <v>0.93279999999999996</v>
      </c>
      <c r="E671" s="2">
        <v>1.0029999999999999</v>
      </c>
      <c r="F671" s="2">
        <v>1.1032999999999999</v>
      </c>
      <c r="G671" s="2">
        <v>1.1735</v>
      </c>
      <c r="H671" s="2">
        <v>1.2538</v>
      </c>
      <c r="I671" s="2">
        <v>1.3641000000000001</v>
      </c>
      <c r="J671" s="2">
        <v>1.4743999999999999</v>
      </c>
      <c r="K671" s="2">
        <v>1.5847</v>
      </c>
      <c r="L671" s="2">
        <v>1.7051000000000001</v>
      </c>
      <c r="M671" s="2">
        <v>1.8254999999999999</v>
      </c>
      <c r="N671" s="2">
        <v>1.9458</v>
      </c>
      <c r="O671" s="2">
        <v>2.0661999999999998</v>
      </c>
      <c r="P671" s="2">
        <v>2.1865000000000001</v>
      </c>
      <c r="Q671" s="2">
        <v>2.3069000000000002</v>
      </c>
      <c r="R671" t="s">
        <v>6</v>
      </c>
      <c r="S671" t="s">
        <v>127</v>
      </c>
    </row>
    <row r="672" spans="1:19" x14ac:dyDescent="0.25">
      <c r="B672" t="s">
        <v>13</v>
      </c>
      <c r="C672" s="2">
        <v>1.1343000000000001</v>
      </c>
      <c r="D672" s="2">
        <v>1.2266999999999999</v>
      </c>
      <c r="E672" s="2">
        <v>1.319</v>
      </c>
      <c r="F672" s="2">
        <v>1.4509000000000001</v>
      </c>
      <c r="G672" s="2">
        <v>1.5431999999999999</v>
      </c>
      <c r="H672" s="2">
        <v>1.6488</v>
      </c>
      <c r="I672" s="2">
        <v>1.7938000000000001</v>
      </c>
      <c r="J672" s="2">
        <v>1.9389000000000001</v>
      </c>
      <c r="K672" s="2">
        <v>2.0840000000000001</v>
      </c>
      <c r="L672" s="2">
        <v>2.2423000000000002</v>
      </c>
      <c r="M672" s="2">
        <v>2.4005999999999998</v>
      </c>
      <c r="N672" s="2">
        <v>2.5589</v>
      </c>
      <c r="O672" s="2">
        <v>2.7170999999999998</v>
      </c>
      <c r="P672" s="2">
        <v>2.8754</v>
      </c>
      <c r="Q672" s="2">
        <v>3.0337000000000001</v>
      </c>
      <c r="R672" t="s">
        <v>6</v>
      </c>
      <c r="S672" t="s">
        <v>127</v>
      </c>
    </row>
    <row r="673" spans="2:19" x14ac:dyDescent="0.25">
      <c r="B673" t="s">
        <v>157</v>
      </c>
      <c r="C673" s="2">
        <v>0.50739999999999996</v>
      </c>
      <c r="D673" s="2">
        <v>0.54869999999999997</v>
      </c>
      <c r="E673" s="2">
        <v>0.59</v>
      </c>
      <c r="F673" s="2">
        <v>0.64900000000000002</v>
      </c>
      <c r="G673" s="2">
        <v>0.69030000000000002</v>
      </c>
      <c r="H673" s="2">
        <v>0.73750000000000004</v>
      </c>
      <c r="I673" s="2">
        <v>0.8024</v>
      </c>
      <c r="J673" s="2">
        <v>0.86729999999999996</v>
      </c>
      <c r="K673" s="2">
        <v>0.93220000000000003</v>
      </c>
      <c r="L673" s="2">
        <v>1.0029999999999999</v>
      </c>
      <c r="M673" s="2">
        <v>1.0738000000000001</v>
      </c>
      <c r="N673" s="2">
        <v>1.1446000000000001</v>
      </c>
      <c r="O673" s="2">
        <v>1.2154</v>
      </c>
      <c r="P673" s="2">
        <v>1.2862</v>
      </c>
      <c r="Q673" s="2">
        <v>1.357</v>
      </c>
      <c r="R673" t="s">
        <v>5</v>
      </c>
      <c r="S673" t="s">
        <v>127</v>
      </c>
    </row>
    <row r="674" spans="2:19" x14ac:dyDescent="0.25">
      <c r="B674" t="s">
        <v>158</v>
      </c>
      <c r="C674" s="2">
        <v>0.90469999999999995</v>
      </c>
      <c r="D674" s="2">
        <v>0.97840000000000005</v>
      </c>
      <c r="E674" s="2">
        <v>1.052</v>
      </c>
      <c r="F674" s="2">
        <v>1.1572</v>
      </c>
      <c r="G674" s="2">
        <v>1.2307999999999999</v>
      </c>
      <c r="H674" s="2">
        <v>1.3149999999999999</v>
      </c>
      <c r="I674" s="2">
        <v>1.4307000000000001</v>
      </c>
      <c r="J674" s="2">
        <v>1.5464</v>
      </c>
      <c r="K674" s="2">
        <v>1.6621999999999999</v>
      </c>
      <c r="L674" s="2">
        <v>1.7884</v>
      </c>
      <c r="M674" s="2">
        <v>1.9146000000000001</v>
      </c>
      <c r="N674" s="2">
        <v>2.0409000000000002</v>
      </c>
      <c r="O674" s="2">
        <v>2.1671</v>
      </c>
      <c r="P674" s="2">
        <v>2.2934000000000001</v>
      </c>
      <c r="Q674" s="2">
        <v>2.4196</v>
      </c>
      <c r="R674" t="s">
        <v>5</v>
      </c>
      <c r="S674" t="s">
        <v>127</v>
      </c>
    </row>
    <row r="675" spans="2:19" x14ac:dyDescent="0.25">
      <c r="B675" t="s">
        <v>155</v>
      </c>
      <c r="C675" s="2">
        <v>0.74590000000000001</v>
      </c>
      <c r="D675" s="2">
        <v>0.80659999999999998</v>
      </c>
      <c r="E675" s="2">
        <v>0.86729999999999996</v>
      </c>
      <c r="F675" s="2">
        <v>0.95399999999999996</v>
      </c>
      <c r="G675" s="2">
        <v>1.0146999999999999</v>
      </c>
      <c r="H675" s="2">
        <v>1.0841000000000001</v>
      </c>
      <c r="I675" s="2">
        <v>1.1795</v>
      </c>
      <c r="J675" s="2">
        <v>1.2748999999999999</v>
      </c>
      <c r="K675" s="2">
        <v>1.3703000000000001</v>
      </c>
      <c r="L675" s="2">
        <v>1.4743999999999999</v>
      </c>
      <c r="M675" s="2">
        <v>1.5785</v>
      </c>
      <c r="N675" s="2">
        <v>1.6826000000000001</v>
      </c>
      <c r="O675" s="2">
        <v>1.7866</v>
      </c>
      <c r="P675" s="2">
        <v>1.8907</v>
      </c>
      <c r="Q675" s="2">
        <v>1.9947999999999999</v>
      </c>
      <c r="R675" t="s">
        <v>3</v>
      </c>
      <c r="S675" t="s">
        <v>127</v>
      </c>
    </row>
    <row r="676" spans="2:19" x14ac:dyDescent="0.25">
      <c r="B676" t="s">
        <v>135</v>
      </c>
      <c r="C676" s="2">
        <v>1.4914000000000001</v>
      </c>
      <c r="D676" s="2">
        <v>1.6128</v>
      </c>
      <c r="E676" s="2">
        <v>1.7342</v>
      </c>
      <c r="F676" s="2">
        <v>1.9077</v>
      </c>
      <c r="G676" s="2">
        <v>2.0291000000000001</v>
      </c>
      <c r="H676" s="2">
        <v>2.1678000000000002</v>
      </c>
      <c r="I676" s="2">
        <v>2.3586</v>
      </c>
      <c r="J676" s="2">
        <v>2.5493000000000001</v>
      </c>
      <c r="K676" s="2">
        <v>2.7401</v>
      </c>
      <c r="L676" s="2">
        <v>2.9481999999999999</v>
      </c>
      <c r="M676" s="2">
        <v>3.1562999999999999</v>
      </c>
      <c r="N676" s="2">
        <v>3.3643999999999998</v>
      </c>
      <c r="O676" s="2">
        <v>3.5724999999999998</v>
      </c>
      <c r="P676" s="2">
        <v>3.7806000000000002</v>
      </c>
      <c r="Q676" s="2">
        <v>3.9887000000000001</v>
      </c>
      <c r="R676" t="s">
        <v>3</v>
      </c>
      <c r="S676" t="s">
        <v>127</v>
      </c>
    </row>
    <row r="677" spans="2:19" x14ac:dyDescent="0.25">
      <c r="B677" t="s">
        <v>136</v>
      </c>
      <c r="C677" s="2">
        <v>1.8629</v>
      </c>
      <c r="D677" s="2">
        <v>2.0145</v>
      </c>
      <c r="E677" s="2">
        <v>2.1661999999999999</v>
      </c>
      <c r="F677" s="2">
        <v>2.3828</v>
      </c>
      <c r="G677" s="2">
        <v>2.5344000000000002</v>
      </c>
      <c r="H677" s="2">
        <v>2.7077</v>
      </c>
      <c r="I677" s="2">
        <v>2.9460000000000002</v>
      </c>
      <c r="J677" s="2">
        <v>3.1842000000000001</v>
      </c>
      <c r="K677" s="2">
        <v>3.4224999999999999</v>
      </c>
      <c r="L677" s="2">
        <v>3.6825000000000001</v>
      </c>
      <c r="M677" s="2">
        <v>3.9424000000000001</v>
      </c>
      <c r="N677" s="2">
        <v>4.2023000000000001</v>
      </c>
      <c r="O677" s="2">
        <v>4.4622999999999999</v>
      </c>
      <c r="P677" s="2">
        <v>4.7222</v>
      </c>
      <c r="Q677" s="2">
        <v>4.9821</v>
      </c>
      <c r="R677" t="s">
        <v>3</v>
      </c>
      <c r="S677" t="s">
        <v>127</v>
      </c>
    </row>
    <row r="678" spans="2:19" x14ac:dyDescent="0.25">
      <c r="B678" t="s">
        <v>938</v>
      </c>
      <c r="C678" s="2">
        <v>0.21279999999999999</v>
      </c>
      <c r="D678" s="2">
        <v>0.2288</v>
      </c>
      <c r="E678" s="2">
        <v>0.2447</v>
      </c>
      <c r="F678" s="2">
        <v>0.26600000000000001</v>
      </c>
      <c r="G678" s="2">
        <v>0.28199999999999997</v>
      </c>
      <c r="H678" s="2">
        <v>0.2979</v>
      </c>
      <c r="I678" s="2">
        <v>0.31919999999999998</v>
      </c>
      <c r="J678" s="2">
        <v>0.34050000000000002</v>
      </c>
      <c r="K678" s="2">
        <v>0.36180000000000001</v>
      </c>
      <c r="L678" s="2">
        <v>0.38300000000000001</v>
      </c>
      <c r="M678" s="2">
        <v>0.40429999999999999</v>
      </c>
      <c r="N678" s="2">
        <v>0.42559999999999998</v>
      </c>
      <c r="O678" s="2">
        <v>0.45219999999999999</v>
      </c>
      <c r="P678" s="2">
        <v>0.4788</v>
      </c>
      <c r="Q678" s="2">
        <v>0.50539999999999996</v>
      </c>
      <c r="R678" t="s">
        <v>922</v>
      </c>
      <c r="S678" t="s">
        <v>130</v>
      </c>
    </row>
    <row r="679" spans="2:19" x14ac:dyDescent="0.25">
      <c r="B679" t="s">
        <v>937</v>
      </c>
      <c r="C679">
        <v>103</v>
      </c>
      <c r="D679">
        <v>113</v>
      </c>
      <c r="E679">
        <v>124</v>
      </c>
      <c r="F679">
        <v>136</v>
      </c>
      <c r="G679">
        <v>149</v>
      </c>
      <c r="H679">
        <v>163</v>
      </c>
      <c r="I679">
        <v>177</v>
      </c>
      <c r="J679">
        <v>193</v>
      </c>
      <c r="K679">
        <v>209</v>
      </c>
      <c r="L679">
        <v>226</v>
      </c>
      <c r="M679">
        <v>244</v>
      </c>
      <c r="N679">
        <v>263</v>
      </c>
      <c r="O679">
        <v>282</v>
      </c>
      <c r="P679">
        <v>303</v>
      </c>
      <c r="Q679">
        <v>324</v>
      </c>
      <c r="R679" t="s">
        <v>923</v>
      </c>
      <c r="S679" t="s">
        <v>226</v>
      </c>
    </row>
    <row r="680" spans="2:19" x14ac:dyDescent="0.25">
      <c r="B680" t="s">
        <v>4</v>
      </c>
      <c r="C680" s="2">
        <v>1.2</v>
      </c>
      <c r="D680" s="2">
        <v>1.29</v>
      </c>
      <c r="E680" s="2">
        <v>1.38</v>
      </c>
      <c r="F680" s="2">
        <v>1.5</v>
      </c>
      <c r="G680" s="2">
        <v>1.59</v>
      </c>
      <c r="H680" s="2">
        <v>1.68</v>
      </c>
      <c r="I680" s="2">
        <v>1.8</v>
      </c>
      <c r="J680" s="2">
        <v>1.92</v>
      </c>
      <c r="K680" s="2">
        <v>2.04</v>
      </c>
      <c r="L680" s="2">
        <v>2.16</v>
      </c>
      <c r="M680" s="2">
        <v>2.2799999999999998</v>
      </c>
      <c r="N680" s="2">
        <v>2.4</v>
      </c>
      <c r="O680" s="2">
        <v>2.5499999999999998</v>
      </c>
      <c r="P680" s="2">
        <v>2.7</v>
      </c>
      <c r="Q680" s="2">
        <v>2.85</v>
      </c>
      <c r="R680" t="s">
        <v>19</v>
      </c>
      <c r="S680" t="s">
        <v>130</v>
      </c>
    </row>
    <row r="681" spans="2:19" x14ac:dyDescent="0.25">
      <c r="B681" t="s">
        <v>273</v>
      </c>
      <c r="C681" s="2">
        <v>0.67200000000000004</v>
      </c>
      <c r="D681" s="2">
        <v>0.72240000000000004</v>
      </c>
      <c r="E681" s="2">
        <v>0.77280000000000004</v>
      </c>
      <c r="F681" s="2">
        <v>0.84</v>
      </c>
      <c r="G681" s="2">
        <v>0.89039999999999997</v>
      </c>
      <c r="H681" s="2">
        <v>0.94079999999999997</v>
      </c>
      <c r="I681" s="2">
        <v>1.008</v>
      </c>
      <c r="J681" s="2">
        <v>1.0751999999999999</v>
      </c>
      <c r="K681" s="2">
        <v>1.1424000000000001</v>
      </c>
      <c r="L681" s="2">
        <v>1.2096</v>
      </c>
      <c r="M681" s="2">
        <v>1.2767999999999999</v>
      </c>
      <c r="N681" s="2">
        <v>1.3440000000000001</v>
      </c>
      <c r="O681" s="2">
        <v>1.4279999999999999</v>
      </c>
      <c r="P681" s="2">
        <v>1.512</v>
      </c>
      <c r="Q681" s="2">
        <v>1.5960000000000001</v>
      </c>
      <c r="R681" t="s">
        <v>0</v>
      </c>
      <c r="S681" t="s">
        <v>127</v>
      </c>
    </row>
    <row r="682" spans="2:19" x14ac:dyDescent="0.25">
      <c r="B682" t="s">
        <v>274</v>
      </c>
      <c r="C682" s="2">
        <v>0.92800000000000005</v>
      </c>
      <c r="D682" s="2">
        <v>0.99760000000000004</v>
      </c>
      <c r="E682" s="2">
        <v>1.0671999999999999</v>
      </c>
      <c r="F682" s="2">
        <v>1.1599999999999999</v>
      </c>
      <c r="G682" s="2">
        <v>1.2296</v>
      </c>
      <c r="H682" s="2">
        <v>1.2991999999999999</v>
      </c>
      <c r="I682" s="2">
        <v>1.3919999999999999</v>
      </c>
      <c r="J682" s="2">
        <v>1.4847999999999999</v>
      </c>
      <c r="K682" s="2">
        <v>1.5775999999999999</v>
      </c>
      <c r="L682" s="2">
        <v>1.6704000000000001</v>
      </c>
      <c r="M682" s="2">
        <v>1.7632000000000001</v>
      </c>
      <c r="N682" s="2">
        <v>1.8560000000000001</v>
      </c>
      <c r="O682" s="2">
        <v>1.972</v>
      </c>
      <c r="P682" s="2">
        <v>2.0880000000000001</v>
      </c>
      <c r="Q682" s="2">
        <v>2.2040000000000002</v>
      </c>
      <c r="R682" t="s">
        <v>0</v>
      </c>
      <c r="S682" t="s">
        <v>127</v>
      </c>
    </row>
    <row r="683" spans="2:19" x14ac:dyDescent="0.25">
      <c r="B683" t="s">
        <v>275</v>
      </c>
      <c r="C683" s="20">
        <v>4</v>
      </c>
      <c r="D683" s="20">
        <v>4</v>
      </c>
      <c r="E683" s="20">
        <v>4</v>
      </c>
      <c r="F683" s="20">
        <v>4</v>
      </c>
      <c r="G683" s="20">
        <v>4</v>
      </c>
      <c r="H683" s="20">
        <v>4</v>
      </c>
      <c r="I683" s="20">
        <v>4</v>
      </c>
      <c r="J683" s="20">
        <v>4</v>
      </c>
      <c r="K683" s="20">
        <v>4</v>
      </c>
      <c r="L683" s="20">
        <v>4</v>
      </c>
      <c r="M683" s="20">
        <v>4</v>
      </c>
      <c r="N683" s="20">
        <v>4</v>
      </c>
      <c r="O683" s="20">
        <v>4</v>
      </c>
      <c r="P683" s="20">
        <v>4</v>
      </c>
      <c r="Q683" s="20">
        <v>4</v>
      </c>
      <c r="R683" t="s">
        <v>19</v>
      </c>
      <c r="S683" t="s">
        <v>127</v>
      </c>
    </row>
    <row r="684" spans="2:19" x14ac:dyDescent="0.25">
      <c r="B684" s="3" t="s">
        <v>771</v>
      </c>
      <c r="C684" s="23"/>
      <c r="D684" s="23"/>
      <c r="E684" s="23"/>
      <c r="F684" s="23"/>
      <c r="G684" s="23"/>
      <c r="H684" s="23"/>
      <c r="I684" s="23"/>
      <c r="J684" s="23"/>
      <c r="K684" s="23"/>
      <c r="L684" s="23"/>
      <c r="M684" s="23"/>
      <c r="N684" s="23"/>
      <c r="O684" s="23"/>
      <c r="P684" s="23"/>
      <c r="Q684" s="23"/>
      <c r="R684" s="5" t="s">
        <v>771</v>
      </c>
      <c r="S684" t="s">
        <v>772</v>
      </c>
    </row>
    <row r="685" spans="2:19" x14ac:dyDescent="0.25">
      <c r="B685" s="3" t="s">
        <v>390</v>
      </c>
      <c r="C685" s="23"/>
      <c r="D685" s="23"/>
      <c r="E685" s="23"/>
      <c r="F685" s="23"/>
      <c r="G685" s="23"/>
      <c r="H685" s="23"/>
      <c r="I685" s="23"/>
      <c r="J685" s="23"/>
      <c r="K685" s="23"/>
      <c r="L685" s="23"/>
      <c r="M685" s="23"/>
      <c r="N685" s="23"/>
      <c r="O685" s="23"/>
      <c r="P685" s="23"/>
      <c r="Q685" s="23"/>
      <c r="R685" s="5" t="s">
        <v>396</v>
      </c>
      <c r="S685" t="s">
        <v>69</v>
      </c>
    </row>
    <row r="686" spans="2:19" x14ac:dyDescent="0.25">
      <c r="B686" s="3" t="s">
        <v>392</v>
      </c>
      <c r="C686" s="23"/>
      <c r="D686" s="23"/>
      <c r="E686" s="23"/>
      <c r="F686" s="23"/>
      <c r="G686" s="23"/>
      <c r="H686" s="23"/>
      <c r="I686" s="23"/>
      <c r="J686" s="23"/>
      <c r="K686" s="23"/>
      <c r="L686" s="23"/>
      <c r="M686" s="23"/>
      <c r="N686" s="23"/>
      <c r="O686" s="23"/>
      <c r="P686" s="23"/>
      <c r="Q686" s="23"/>
      <c r="R686" s="5" t="s">
        <v>396</v>
      </c>
      <c r="S686" t="s">
        <v>69</v>
      </c>
    </row>
    <row r="687" spans="2:19" x14ac:dyDescent="0.25">
      <c r="B687" s="3" t="s">
        <v>393</v>
      </c>
      <c r="C687" s="23"/>
      <c r="D687" s="23"/>
      <c r="E687" s="23"/>
      <c r="F687" s="23"/>
      <c r="G687" s="23"/>
      <c r="H687" s="23"/>
      <c r="I687" s="23"/>
      <c r="J687" s="23"/>
      <c r="K687" s="23"/>
      <c r="L687" s="23"/>
      <c r="M687" s="23"/>
      <c r="N687" s="23"/>
      <c r="O687" s="23"/>
      <c r="P687" s="23"/>
      <c r="Q687" s="23"/>
      <c r="R687" s="5" t="s">
        <v>396</v>
      </c>
      <c r="S687" t="s">
        <v>69</v>
      </c>
    </row>
    <row r="688" spans="2:19" x14ac:dyDescent="0.25">
      <c r="B688" s="3" t="s">
        <v>389</v>
      </c>
      <c r="C688" s="23"/>
      <c r="D688" s="23"/>
      <c r="E688" s="23"/>
      <c r="F688" s="23"/>
      <c r="G688" s="23"/>
      <c r="H688" s="23"/>
      <c r="I688" s="23"/>
      <c r="J688" s="23"/>
      <c r="K688" s="23"/>
      <c r="L688" s="23"/>
      <c r="M688" s="23"/>
      <c r="N688" s="23"/>
      <c r="O688" s="23"/>
      <c r="P688" s="23"/>
      <c r="Q688" s="23"/>
      <c r="R688" s="5" t="s">
        <v>396</v>
      </c>
      <c r="S688" t="s">
        <v>69</v>
      </c>
    </row>
    <row r="689" spans="1:20" x14ac:dyDescent="0.25">
      <c r="B689" s="3" t="s">
        <v>391</v>
      </c>
      <c r="C689" s="23"/>
      <c r="D689" s="23"/>
      <c r="E689" s="23"/>
      <c r="F689" s="23"/>
      <c r="G689" s="23"/>
      <c r="H689" s="23"/>
      <c r="I689" s="23"/>
      <c r="J689" s="23"/>
      <c r="K689" s="23"/>
      <c r="L689" s="23"/>
      <c r="M689" s="23"/>
      <c r="N689" s="23"/>
      <c r="O689" s="23"/>
      <c r="P689" s="23"/>
      <c r="Q689" s="23"/>
      <c r="R689" s="5" t="s">
        <v>396</v>
      </c>
      <c r="S689" t="s">
        <v>69</v>
      </c>
    </row>
    <row r="690" spans="1:20" x14ac:dyDescent="0.25">
      <c r="B690" s="3" t="s">
        <v>394</v>
      </c>
      <c r="C690" s="23"/>
      <c r="D690" s="23"/>
      <c r="E690" s="23"/>
      <c r="F690" s="23"/>
      <c r="G690" s="23"/>
      <c r="H690" s="23"/>
      <c r="I690" s="23"/>
      <c r="J690" s="23"/>
      <c r="K690" s="23"/>
      <c r="L690" s="23"/>
      <c r="M690" s="23"/>
      <c r="N690" s="23"/>
      <c r="O690" s="23"/>
      <c r="P690" s="23"/>
      <c r="Q690" s="23"/>
      <c r="R690" s="5" t="s">
        <v>396</v>
      </c>
      <c r="S690" t="s">
        <v>69</v>
      </c>
    </row>
    <row r="691" spans="1:20" x14ac:dyDescent="0.25">
      <c r="B691" s="3" t="s">
        <v>395</v>
      </c>
      <c r="C691" s="23"/>
      <c r="D691" s="23"/>
      <c r="E691" s="23"/>
      <c r="F691" s="23"/>
      <c r="G691" s="23"/>
      <c r="H691" s="23"/>
      <c r="I691" s="23"/>
      <c r="J691" s="23"/>
      <c r="K691" s="23"/>
      <c r="L691" s="23"/>
      <c r="M691" s="23"/>
      <c r="N691" s="23"/>
      <c r="O691" s="23"/>
      <c r="P691" s="23"/>
      <c r="Q691" s="23"/>
      <c r="R691" s="5" t="s">
        <v>396</v>
      </c>
      <c r="S691" t="s">
        <v>69</v>
      </c>
    </row>
    <row r="692" spans="1:20" x14ac:dyDescent="0.25">
      <c r="A692" t="s">
        <v>882</v>
      </c>
      <c r="B692" s="3" t="s">
        <v>397</v>
      </c>
      <c r="C692" s="23"/>
      <c r="D692" s="23"/>
      <c r="E692" s="23"/>
      <c r="F692" s="23"/>
      <c r="G692" s="23"/>
      <c r="H692" s="23"/>
      <c r="I692" s="23"/>
      <c r="J692" s="23"/>
      <c r="K692" s="23"/>
      <c r="L692" s="23"/>
      <c r="M692" s="23"/>
      <c r="N692" s="23"/>
      <c r="O692" s="23"/>
      <c r="P692" s="23"/>
      <c r="Q692" s="23"/>
      <c r="R692" s="5" t="s">
        <v>396</v>
      </c>
      <c r="S692" t="s">
        <v>69</v>
      </c>
    </row>
    <row r="693" spans="1:20" x14ac:dyDescent="0.25">
      <c r="B693" t="s">
        <v>276</v>
      </c>
      <c r="C693" s="21">
        <v>1</v>
      </c>
      <c r="D693" s="21">
        <v>2</v>
      </c>
      <c r="E693" s="21">
        <v>3</v>
      </c>
      <c r="F693" s="21">
        <v>4</v>
      </c>
      <c r="G693" s="21">
        <v>5</v>
      </c>
      <c r="H693" s="21">
        <v>6</v>
      </c>
      <c r="I693" s="21">
        <v>7</v>
      </c>
      <c r="J693" s="21">
        <v>8</v>
      </c>
      <c r="K693" s="21">
        <v>9</v>
      </c>
      <c r="L693" s="21">
        <v>10</v>
      </c>
      <c r="M693" s="21">
        <v>11</v>
      </c>
      <c r="N693" s="21">
        <v>12</v>
      </c>
      <c r="O693" s="21">
        <v>13</v>
      </c>
      <c r="P693" s="21">
        <v>14</v>
      </c>
      <c r="Q693" s="21">
        <v>15</v>
      </c>
      <c r="R693" s="5" t="s">
        <v>11</v>
      </c>
      <c r="S693" t="s">
        <v>126</v>
      </c>
    </row>
    <row r="694" spans="1:20" x14ac:dyDescent="0.25">
      <c r="A694" t="s">
        <v>883</v>
      </c>
      <c r="B694" t="s">
        <v>10</v>
      </c>
      <c r="C694" s="2">
        <v>0.3775</v>
      </c>
      <c r="D694" s="2">
        <v>0.4083</v>
      </c>
      <c r="E694" s="2">
        <v>0.439</v>
      </c>
      <c r="F694" s="2">
        <v>0.4829</v>
      </c>
      <c r="G694" s="2">
        <v>0.51359999999999995</v>
      </c>
      <c r="H694" s="2">
        <v>0.54879999999999995</v>
      </c>
      <c r="I694" s="2">
        <v>0.59699999999999998</v>
      </c>
      <c r="J694" s="2">
        <v>0.64529999999999998</v>
      </c>
      <c r="K694" s="2">
        <v>0.69359999999999999</v>
      </c>
      <c r="L694" s="2">
        <v>0.74629999999999996</v>
      </c>
      <c r="M694" s="2">
        <v>0.79900000000000004</v>
      </c>
      <c r="N694" s="2">
        <v>0.85170000000000001</v>
      </c>
      <c r="O694" s="2">
        <v>0.90429999999999999</v>
      </c>
      <c r="P694" s="2">
        <v>0.95699999999999996</v>
      </c>
      <c r="Q694" s="2">
        <v>1.0097</v>
      </c>
      <c r="R694" t="s">
        <v>6</v>
      </c>
      <c r="S694" t="s">
        <v>127</v>
      </c>
    </row>
    <row r="695" spans="1:20" x14ac:dyDescent="0.25">
      <c r="B695" t="s">
        <v>9</v>
      </c>
      <c r="C695" s="2">
        <v>0.38869999999999999</v>
      </c>
      <c r="D695" s="2">
        <v>0.4204</v>
      </c>
      <c r="E695" s="2">
        <v>0.45200000000000001</v>
      </c>
      <c r="F695" s="2">
        <v>0.49719999999999998</v>
      </c>
      <c r="G695" s="2">
        <v>0.52880000000000005</v>
      </c>
      <c r="H695" s="2">
        <v>0.56499999999999995</v>
      </c>
      <c r="I695" s="2">
        <v>0.61470000000000002</v>
      </c>
      <c r="J695" s="2">
        <v>0.66439999999999999</v>
      </c>
      <c r="K695" s="2">
        <v>0.71419999999999995</v>
      </c>
      <c r="L695" s="2">
        <v>0.76839999999999997</v>
      </c>
      <c r="M695" s="2">
        <v>0.8226</v>
      </c>
      <c r="N695" s="2">
        <v>0.87690000000000001</v>
      </c>
      <c r="O695" s="2">
        <v>0.93110000000000004</v>
      </c>
      <c r="P695" s="2">
        <v>0.98540000000000005</v>
      </c>
      <c r="Q695" s="2">
        <v>1.0396000000000001</v>
      </c>
      <c r="R695" t="s">
        <v>6</v>
      </c>
      <c r="S695" t="s">
        <v>127</v>
      </c>
    </row>
    <row r="696" spans="1:20" ht="30" customHeight="1" x14ac:dyDescent="0.25">
      <c r="B696" t="s">
        <v>278</v>
      </c>
      <c r="C696" s="2">
        <v>0.2417</v>
      </c>
      <c r="D696" s="2">
        <v>0.26129999999999998</v>
      </c>
      <c r="E696" s="2">
        <v>0.28100000000000003</v>
      </c>
      <c r="F696" s="2">
        <v>0.30909999999999999</v>
      </c>
      <c r="G696" s="2">
        <v>0.32879999999999998</v>
      </c>
      <c r="H696" s="2">
        <v>0.3513</v>
      </c>
      <c r="I696" s="2">
        <v>0.38219999999999998</v>
      </c>
      <c r="J696" s="2">
        <v>0.41310000000000002</v>
      </c>
      <c r="K696" s="2">
        <v>0.44400000000000001</v>
      </c>
      <c r="L696" s="2">
        <v>0.47770000000000001</v>
      </c>
      <c r="M696" s="2">
        <v>0.51139999999999997</v>
      </c>
      <c r="N696" s="2">
        <v>0.54510000000000003</v>
      </c>
      <c r="O696" s="2">
        <v>0.57889999999999997</v>
      </c>
      <c r="P696" s="2">
        <v>0.61260000000000003</v>
      </c>
      <c r="Q696" s="2">
        <v>0.64629999999999999</v>
      </c>
      <c r="R696" t="s">
        <v>6</v>
      </c>
      <c r="S696" t="s">
        <v>127</v>
      </c>
    </row>
    <row r="697" spans="1:20" x14ac:dyDescent="0.25">
      <c r="B697" t="s">
        <v>277</v>
      </c>
      <c r="C697" s="2">
        <v>0.24679999999999999</v>
      </c>
      <c r="D697" s="2">
        <v>0.26690000000000003</v>
      </c>
      <c r="E697" s="2">
        <v>0.28699999999999998</v>
      </c>
      <c r="F697" s="2">
        <v>0.31569999999999998</v>
      </c>
      <c r="G697" s="2">
        <v>0.33579999999999999</v>
      </c>
      <c r="H697" s="2">
        <v>0.35880000000000001</v>
      </c>
      <c r="I697" s="2">
        <v>0.39029999999999998</v>
      </c>
      <c r="J697" s="2">
        <v>0.4219</v>
      </c>
      <c r="K697" s="2">
        <v>0.45350000000000001</v>
      </c>
      <c r="L697" s="2">
        <v>0.4879</v>
      </c>
      <c r="M697" s="2">
        <v>0.52229999999999999</v>
      </c>
      <c r="N697" s="2">
        <v>0.55679999999999996</v>
      </c>
      <c r="O697" s="2">
        <v>0.59119999999999995</v>
      </c>
      <c r="P697" s="2">
        <v>0.62570000000000003</v>
      </c>
      <c r="Q697" s="2">
        <v>0.66010000000000002</v>
      </c>
      <c r="R697" t="s">
        <v>6</v>
      </c>
      <c r="S697" t="s">
        <v>127</v>
      </c>
    </row>
    <row r="698" spans="1:20" x14ac:dyDescent="0.25">
      <c r="B698" t="s">
        <v>7</v>
      </c>
      <c r="C698" s="2">
        <v>0.63039999999999996</v>
      </c>
      <c r="D698" s="2">
        <v>0.68169999999999997</v>
      </c>
      <c r="E698" s="2">
        <v>0.73299999999999998</v>
      </c>
      <c r="F698" s="2">
        <v>0.80630000000000002</v>
      </c>
      <c r="G698" s="2">
        <v>0.85760000000000003</v>
      </c>
      <c r="H698" s="2">
        <v>0.9163</v>
      </c>
      <c r="I698" s="2">
        <v>0.99690000000000001</v>
      </c>
      <c r="J698" s="2">
        <v>1.0774999999999999</v>
      </c>
      <c r="K698" s="2">
        <v>1.1580999999999999</v>
      </c>
      <c r="L698" s="2">
        <v>1.2461</v>
      </c>
      <c r="M698" s="2">
        <v>1.3341000000000001</v>
      </c>
      <c r="N698" s="2">
        <v>1.4219999999999999</v>
      </c>
      <c r="O698" s="2">
        <v>1.51</v>
      </c>
      <c r="P698" s="2">
        <v>1.5979000000000001</v>
      </c>
      <c r="Q698" s="2">
        <v>1.6859</v>
      </c>
      <c r="R698" t="s">
        <v>6</v>
      </c>
      <c r="S698" t="s">
        <v>127</v>
      </c>
    </row>
    <row r="699" spans="1:20" x14ac:dyDescent="0.25">
      <c r="B699" t="s">
        <v>279</v>
      </c>
      <c r="C699" s="2">
        <v>0.64329999999999998</v>
      </c>
      <c r="D699" s="2">
        <v>0.6956</v>
      </c>
      <c r="E699" s="2">
        <v>0.748</v>
      </c>
      <c r="F699" s="2">
        <v>0.82279999999999998</v>
      </c>
      <c r="G699" s="2">
        <v>0.87519999999999998</v>
      </c>
      <c r="H699" s="2">
        <v>0.93500000000000005</v>
      </c>
      <c r="I699" s="2">
        <v>1.0173000000000001</v>
      </c>
      <c r="J699" s="2">
        <v>1.0995999999999999</v>
      </c>
      <c r="K699" s="2">
        <v>1.1818</v>
      </c>
      <c r="L699" s="2">
        <v>1.2716000000000001</v>
      </c>
      <c r="M699" s="2">
        <v>1.3613999999999999</v>
      </c>
      <c r="N699" s="2">
        <v>1.4511000000000001</v>
      </c>
      <c r="O699" s="2">
        <v>1.5408999999999999</v>
      </c>
      <c r="P699" s="2">
        <v>1.6306</v>
      </c>
      <c r="Q699" s="2">
        <v>1.7203999999999999</v>
      </c>
      <c r="R699" t="s">
        <v>5</v>
      </c>
      <c r="S699" t="s">
        <v>127</v>
      </c>
    </row>
    <row r="700" spans="1:20" x14ac:dyDescent="0.25">
      <c r="B700" t="s">
        <v>15</v>
      </c>
      <c r="C700" s="2">
        <v>0.63929999999999998</v>
      </c>
      <c r="D700" s="2">
        <v>0.69140000000000001</v>
      </c>
      <c r="E700" s="2">
        <v>0.74339999999999995</v>
      </c>
      <c r="F700" s="2">
        <v>0.81769999999999998</v>
      </c>
      <c r="G700" s="2">
        <v>0.86980000000000002</v>
      </c>
      <c r="H700" s="2">
        <v>0.92930000000000001</v>
      </c>
      <c r="I700" s="2">
        <v>1.0109999999999999</v>
      </c>
      <c r="J700" s="2">
        <v>1.0928</v>
      </c>
      <c r="K700" s="2">
        <v>1.1746000000000001</v>
      </c>
      <c r="L700" s="2">
        <v>1.2638</v>
      </c>
      <c r="M700" s="2">
        <v>1.353</v>
      </c>
      <c r="N700" s="2">
        <v>1.4421999999999999</v>
      </c>
      <c r="O700" s="2">
        <v>1.5314000000000001</v>
      </c>
      <c r="P700" s="2">
        <v>1.6206</v>
      </c>
      <c r="Q700" s="2">
        <v>1.7098</v>
      </c>
      <c r="R700" t="s">
        <v>3</v>
      </c>
      <c r="S700" t="s">
        <v>127</v>
      </c>
    </row>
    <row r="701" spans="1:20" x14ac:dyDescent="0.25">
      <c r="B701" t="s">
        <v>135</v>
      </c>
      <c r="C701" s="2">
        <v>1.2784</v>
      </c>
      <c r="D701" s="2">
        <v>1.3824000000000001</v>
      </c>
      <c r="E701" s="2">
        <v>1.4864999999999999</v>
      </c>
      <c r="F701" s="2">
        <v>1.6351</v>
      </c>
      <c r="G701" s="2">
        <v>1.7392000000000001</v>
      </c>
      <c r="H701" s="2">
        <v>1.8581000000000001</v>
      </c>
      <c r="I701" s="2">
        <v>2.0215999999999998</v>
      </c>
      <c r="J701" s="2">
        <v>2.1850999999999998</v>
      </c>
      <c r="K701" s="2">
        <v>2.3485999999999998</v>
      </c>
      <c r="L701" s="2">
        <v>2.5270000000000001</v>
      </c>
      <c r="M701" s="2">
        <v>2.7054</v>
      </c>
      <c r="N701" s="2">
        <v>2.8837999999999999</v>
      </c>
      <c r="O701" s="2">
        <v>3.0621999999999998</v>
      </c>
      <c r="P701" s="2">
        <v>3.2404999999999999</v>
      </c>
      <c r="Q701" s="2">
        <v>3.4188999999999998</v>
      </c>
      <c r="R701" t="s">
        <v>3</v>
      </c>
      <c r="S701" t="s">
        <v>127</v>
      </c>
    </row>
    <row r="702" spans="1:20" x14ac:dyDescent="0.25">
      <c r="B702" t="s">
        <v>136</v>
      </c>
      <c r="C702" s="2">
        <v>1.5968</v>
      </c>
      <c r="D702" s="2">
        <v>1.7266999999999999</v>
      </c>
      <c r="E702" s="2">
        <v>1.8567</v>
      </c>
      <c r="F702" s="2">
        <v>2.0424000000000002</v>
      </c>
      <c r="G702" s="2">
        <v>2.1722999999999999</v>
      </c>
      <c r="H702" s="2">
        <v>2.3209</v>
      </c>
      <c r="I702" s="2">
        <v>2.5251000000000001</v>
      </c>
      <c r="J702" s="2">
        <v>2.7292999999999998</v>
      </c>
      <c r="K702" s="2">
        <v>2.9336000000000002</v>
      </c>
      <c r="L702" s="2">
        <v>3.1564000000000001</v>
      </c>
      <c r="M702" s="2">
        <v>3.3792</v>
      </c>
      <c r="N702" s="2">
        <v>3.6019999999999999</v>
      </c>
      <c r="O702" s="2">
        <v>3.8248000000000002</v>
      </c>
      <c r="P702" s="2">
        <v>4.0476000000000001</v>
      </c>
      <c r="Q702" s="2">
        <v>4.2704000000000004</v>
      </c>
      <c r="R702" t="s">
        <v>3</v>
      </c>
      <c r="S702" t="s">
        <v>127</v>
      </c>
    </row>
    <row r="703" spans="1:20" x14ac:dyDescent="0.25">
      <c r="B703" t="s">
        <v>939</v>
      </c>
      <c r="C703" s="2">
        <v>0.1056</v>
      </c>
      <c r="D703" s="2">
        <v>0.1135</v>
      </c>
      <c r="E703" s="2">
        <v>0.12139999999999999</v>
      </c>
      <c r="F703" s="2">
        <v>0.13200000000000001</v>
      </c>
      <c r="G703" s="2">
        <v>0.1399</v>
      </c>
      <c r="H703" s="2">
        <v>0.14779999999999999</v>
      </c>
      <c r="I703" s="2">
        <v>0.15840000000000001</v>
      </c>
      <c r="J703" s="2">
        <v>0.16900000000000001</v>
      </c>
      <c r="K703" s="2">
        <v>0.17949999999999999</v>
      </c>
      <c r="L703" s="2">
        <v>0.19009999999999999</v>
      </c>
      <c r="M703" s="2">
        <v>0.2006</v>
      </c>
      <c r="N703" s="2">
        <v>0.2112</v>
      </c>
      <c r="O703" s="2">
        <v>0.22439999999999999</v>
      </c>
      <c r="P703" s="2">
        <v>0.23760000000000001</v>
      </c>
      <c r="Q703" s="2">
        <v>0.25080000000000002</v>
      </c>
      <c r="R703" t="s">
        <v>19</v>
      </c>
      <c r="S703" t="s">
        <v>127</v>
      </c>
      <c r="T703" t="s">
        <v>955</v>
      </c>
    </row>
    <row r="704" spans="1:20" x14ac:dyDescent="0.25">
      <c r="B704" t="s">
        <v>940</v>
      </c>
      <c r="C704">
        <v>67</v>
      </c>
      <c r="D704">
        <v>74</v>
      </c>
      <c r="E704">
        <v>81</v>
      </c>
      <c r="F704">
        <v>89</v>
      </c>
      <c r="G704">
        <v>98</v>
      </c>
      <c r="H704">
        <v>107</v>
      </c>
      <c r="I704">
        <v>116</v>
      </c>
      <c r="J704">
        <v>126</v>
      </c>
      <c r="K704">
        <v>137</v>
      </c>
      <c r="L704">
        <v>148</v>
      </c>
      <c r="M704">
        <v>160</v>
      </c>
      <c r="N704">
        <v>172</v>
      </c>
      <c r="O704">
        <v>185</v>
      </c>
      <c r="P704">
        <v>199</v>
      </c>
      <c r="Q704">
        <v>213</v>
      </c>
      <c r="R704" t="s">
        <v>19</v>
      </c>
      <c r="S704" t="s">
        <v>226</v>
      </c>
      <c r="T704" t="s">
        <v>956</v>
      </c>
    </row>
    <row r="705" spans="1:20" x14ac:dyDescent="0.25">
      <c r="B705" t="s">
        <v>941</v>
      </c>
      <c r="C705" s="2">
        <v>0.69599999999999995</v>
      </c>
      <c r="D705" s="2">
        <v>0.74819999999999998</v>
      </c>
      <c r="E705" s="2">
        <v>0.8004</v>
      </c>
      <c r="F705" s="2">
        <v>0.87</v>
      </c>
      <c r="G705" s="2">
        <v>0.92220000000000002</v>
      </c>
      <c r="H705" s="2">
        <v>0.97440000000000004</v>
      </c>
      <c r="I705" s="2">
        <v>1.044</v>
      </c>
      <c r="J705" s="2">
        <v>1.1135999999999999</v>
      </c>
      <c r="K705" s="2">
        <v>1.1832</v>
      </c>
      <c r="L705" s="2">
        <v>1.2527999999999999</v>
      </c>
      <c r="M705" s="2">
        <v>1.3224</v>
      </c>
      <c r="N705" s="2">
        <v>1.3919999999999999</v>
      </c>
      <c r="O705" s="2">
        <v>1.4790000000000001</v>
      </c>
      <c r="P705" s="2">
        <v>1.5660000000000001</v>
      </c>
      <c r="Q705" s="2">
        <v>1.653</v>
      </c>
      <c r="R705" t="s">
        <v>19</v>
      </c>
      <c r="S705" t="s">
        <v>127</v>
      </c>
      <c r="T705" t="s">
        <v>955</v>
      </c>
    </row>
    <row r="706" spans="1:20" x14ac:dyDescent="0.25">
      <c r="B706" t="s">
        <v>942</v>
      </c>
      <c r="C706">
        <v>451</v>
      </c>
      <c r="D706">
        <v>496</v>
      </c>
      <c r="E706">
        <v>544</v>
      </c>
      <c r="F706">
        <v>597</v>
      </c>
      <c r="G706">
        <v>653</v>
      </c>
      <c r="H706">
        <v>713</v>
      </c>
      <c r="I706">
        <v>777</v>
      </c>
      <c r="J706">
        <v>845</v>
      </c>
      <c r="K706">
        <v>916</v>
      </c>
      <c r="L706">
        <v>991</v>
      </c>
      <c r="M706">
        <v>1070</v>
      </c>
      <c r="N706">
        <v>1153</v>
      </c>
      <c r="O706">
        <v>1239</v>
      </c>
      <c r="P706">
        <v>1329</v>
      </c>
      <c r="Q706">
        <v>1423</v>
      </c>
      <c r="R706" t="s">
        <v>19</v>
      </c>
      <c r="S706" t="s">
        <v>226</v>
      </c>
      <c r="T706" t="s">
        <v>956</v>
      </c>
    </row>
    <row r="707" spans="1:20" x14ac:dyDescent="0.25">
      <c r="B707" t="s">
        <v>281</v>
      </c>
      <c r="C707" s="2">
        <v>0.96</v>
      </c>
      <c r="D707" s="2">
        <v>1.032</v>
      </c>
      <c r="E707" s="2">
        <v>1.1040000000000001</v>
      </c>
      <c r="F707" s="2">
        <v>1.2</v>
      </c>
      <c r="G707" s="2">
        <v>1.272</v>
      </c>
      <c r="H707" s="2">
        <v>1.3440000000000001</v>
      </c>
      <c r="I707" s="2">
        <v>1.44</v>
      </c>
      <c r="J707" s="2">
        <v>1.536</v>
      </c>
      <c r="K707" s="2">
        <v>1.6319999999999999</v>
      </c>
      <c r="L707" s="2">
        <v>1.728</v>
      </c>
      <c r="M707" s="2">
        <v>1.8240000000000001</v>
      </c>
      <c r="N707" s="2">
        <v>1.92</v>
      </c>
      <c r="O707" s="2">
        <v>2.04</v>
      </c>
      <c r="P707" s="2">
        <v>2.16</v>
      </c>
      <c r="Q707" s="2">
        <v>2.2799999999999998</v>
      </c>
      <c r="R707" t="s">
        <v>19</v>
      </c>
      <c r="S707" t="s">
        <v>127</v>
      </c>
    </row>
    <row r="708" spans="1:20" x14ac:dyDescent="0.25">
      <c r="B708" t="s">
        <v>280</v>
      </c>
      <c r="C708" s="2">
        <v>0.36</v>
      </c>
      <c r="D708" s="2">
        <v>0.38700000000000001</v>
      </c>
      <c r="E708" s="2">
        <v>0.41399999999999998</v>
      </c>
      <c r="F708" s="2">
        <v>0.45</v>
      </c>
      <c r="G708" s="2">
        <v>0.47699999999999998</v>
      </c>
      <c r="H708" s="2">
        <v>0.504</v>
      </c>
      <c r="I708" s="2">
        <v>0.54</v>
      </c>
      <c r="J708" s="2">
        <v>0.57599999999999996</v>
      </c>
      <c r="K708" s="2">
        <v>0.61199999999999999</v>
      </c>
      <c r="L708" s="2">
        <v>0.64800000000000002</v>
      </c>
      <c r="M708" s="2">
        <v>0.68400000000000005</v>
      </c>
      <c r="N708" s="2">
        <v>0.72</v>
      </c>
      <c r="O708" s="2">
        <v>0.76500000000000001</v>
      </c>
      <c r="P708" s="2">
        <v>0.81</v>
      </c>
      <c r="Q708" s="2">
        <v>0.85499999999999998</v>
      </c>
      <c r="R708" t="s">
        <v>19</v>
      </c>
      <c r="S708" t="s">
        <v>127</v>
      </c>
    </row>
    <row r="709" spans="1:20" x14ac:dyDescent="0.25">
      <c r="B709" t="s">
        <v>943</v>
      </c>
      <c r="C709" s="2">
        <v>0.9</v>
      </c>
      <c r="D709" s="2">
        <v>0.96750000000000003</v>
      </c>
      <c r="E709" s="2">
        <v>1.0349999999999999</v>
      </c>
      <c r="F709" s="2">
        <v>1.125</v>
      </c>
      <c r="G709" s="2">
        <v>1.1924999999999999</v>
      </c>
      <c r="H709" s="2">
        <v>1.26</v>
      </c>
      <c r="I709" s="2">
        <v>1.35</v>
      </c>
      <c r="J709" s="2">
        <v>1.44</v>
      </c>
      <c r="K709" s="2">
        <v>1.53</v>
      </c>
      <c r="L709" s="2">
        <v>1.62</v>
      </c>
      <c r="M709" s="2">
        <v>1.71</v>
      </c>
      <c r="N709" s="2">
        <v>1.8</v>
      </c>
      <c r="O709" s="2">
        <v>1.9125000000000001</v>
      </c>
      <c r="P709" s="2">
        <v>2.0249999999999999</v>
      </c>
      <c r="Q709" s="2">
        <v>2.1375000000000002</v>
      </c>
      <c r="R709" t="s">
        <v>0</v>
      </c>
      <c r="S709" t="s">
        <v>127</v>
      </c>
      <c r="T709" t="s">
        <v>955</v>
      </c>
    </row>
    <row r="710" spans="1:20" x14ac:dyDescent="0.25">
      <c r="B710" t="s">
        <v>944</v>
      </c>
      <c r="C710">
        <v>577</v>
      </c>
      <c r="D710">
        <v>635</v>
      </c>
      <c r="E710">
        <v>698</v>
      </c>
      <c r="F710">
        <v>765</v>
      </c>
      <c r="G710">
        <v>837</v>
      </c>
      <c r="H710">
        <v>914</v>
      </c>
      <c r="I710">
        <v>996</v>
      </c>
      <c r="J710">
        <v>1083</v>
      </c>
      <c r="K710">
        <v>1174</v>
      </c>
      <c r="L710">
        <v>1270</v>
      </c>
      <c r="M710">
        <v>1371</v>
      </c>
      <c r="N710">
        <v>1477</v>
      </c>
      <c r="O710">
        <v>1588</v>
      </c>
      <c r="P710">
        <v>1703</v>
      </c>
      <c r="Q710">
        <v>1824</v>
      </c>
      <c r="R710" t="s">
        <v>0</v>
      </c>
      <c r="S710" t="s">
        <v>226</v>
      </c>
      <c r="T710" t="s">
        <v>956</v>
      </c>
    </row>
    <row r="711" spans="1:20" x14ac:dyDescent="0.25">
      <c r="B711" t="s">
        <v>173</v>
      </c>
      <c r="C711" s="2">
        <v>2.8479999999999999</v>
      </c>
      <c r="D711" s="2">
        <v>3.0615999999999999</v>
      </c>
      <c r="E711" s="2">
        <v>3.2751999999999999</v>
      </c>
      <c r="F711" s="2">
        <v>3.56</v>
      </c>
      <c r="G711" s="2">
        <v>3.7736000000000001</v>
      </c>
      <c r="H711" s="2">
        <v>3.9872000000000001</v>
      </c>
      <c r="I711" s="2">
        <v>4.2720000000000002</v>
      </c>
      <c r="J711" s="2">
        <v>4.5568</v>
      </c>
      <c r="K711" s="2">
        <v>4.8415999999999997</v>
      </c>
      <c r="L711" s="2">
        <v>5.1264000000000003</v>
      </c>
      <c r="M711" s="2">
        <v>5.4112</v>
      </c>
      <c r="N711" s="2">
        <v>5.6959999999999997</v>
      </c>
      <c r="O711" s="2">
        <v>6.0519999999999996</v>
      </c>
      <c r="P711" s="2">
        <v>6.4080000000000004</v>
      </c>
      <c r="Q711" s="2">
        <v>6.7640000000000002</v>
      </c>
      <c r="R711" t="s">
        <v>0</v>
      </c>
      <c r="S711" t="s">
        <v>127</v>
      </c>
    </row>
    <row r="712" spans="1:20" x14ac:dyDescent="0.25">
      <c r="B712" s="3" t="s">
        <v>771</v>
      </c>
      <c r="C712" s="23"/>
      <c r="D712" s="23"/>
      <c r="E712" s="23"/>
      <c r="F712" s="23"/>
      <c r="G712" s="23"/>
      <c r="H712" s="23"/>
      <c r="I712" s="23"/>
      <c r="J712" s="23"/>
      <c r="K712" s="23"/>
      <c r="L712" s="23"/>
      <c r="M712" s="23"/>
      <c r="N712" s="23"/>
      <c r="O712" s="23"/>
      <c r="P712" s="23"/>
      <c r="Q712" s="23"/>
      <c r="R712" s="5" t="s">
        <v>771</v>
      </c>
      <c r="S712" t="s">
        <v>772</v>
      </c>
    </row>
    <row r="713" spans="1:20" x14ac:dyDescent="0.25">
      <c r="B713" s="3" t="s">
        <v>390</v>
      </c>
      <c r="C713" s="23"/>
      <c r="D713" s="23"/>
      <c r="E713" s="23"/>
      <c r="F713" s="23"/>
      <c r="G713" s="23"/>
      <c r="H713" s="23"/>
      <c r="I713" s="23"/>
      <c r="J713" s="23"/>
      <c r="K713" s="23"/>
      <c r="L713" s="23"/>
      <c r="M713" s="23"/>
      <c r="N713" s="23"/>
      <c r="O713" s="23"/>
      <c r="P713" s="23"/>
      <c r="Q713" s="23"/>
      <c r="R713" s="5" t="s">
        <v>396</v>
      </c>
      <c r="S713" t="s">
        <v>69</v>
      </c>
    </row>
    <row r="714" spans="1:20" x14ac:dyDescent="0.25">
      <c r="B714" s="3" t="s">
        <v>392</v>
      </c>
      <c r="C714" s="23"/>
      <c r="D714" s="23"/>
      <c r="E714" s="23"/>
      <c r="F714" s="23"/>
      <c r="G714" s="23"/>
      <c r="H714" s="23"/>
      <c r="I714" s="23"/>
      <c r="J714" s="23"/>
      <c r="K714" s="23"/>
      <c r="L714" s="23"/>
      <c r="M714" s="23"/>
      <c r="N714" s="23"/>
      <c r="O714" s="23"/>
      <c r="P714" s="23"/>
      <c r="Q714" s="23"/>
      <c r="R714" s="5" t="s">
        <v>396</v>
      </c>
      <c r="S714" t="s">
        <v>69</v>
      </c>
    </row>
    <row r="715" spans="1:20" x14ac:dyDescent="0.25">
      <c r="B715" s="3" t="s">
        <v>393</v>
      </c>
      <c r="C715" s="23"/>
      <c r="D715" s="23"/>
      <c r="E715" s="23"/>
      <c r="F715" s="23"/>
      <c r="G715" s="23"/>
      <c r="H715" s="23"/>
      <c r="I715" s="23"/>
      <c r="J715" s="23"/>
      <c r="K715" s="23"/>
      <c r="L715" s="23"/>
      <c r="M715" s="23"/>
      <c r="N715" s="23"/>
      <c r="O715" s="23"/>
      <c r="P715" s="23"/>
      <c r="Q715" s="23"/>
      <c r="R715" s="5" t="s">
        <v>396</v>
      </c>
      <c r="S715" t="s">
        <v>69</v>
      </c>
    </row>
    <row r="716" spans="1:20" x14ac:dyDescent="0.25">
      <c r="B716" s="3" t="s">
        <v>389</v>
      </c>
      <c r="C716" s="23"/>
      <c r="D716" s="23"/>
      <c r="E716" s="23"/>
      <c r="F716" s="23"/>
      <c r="G716" s="23"/>
      <c r="H716" s="23"/>
      <c r="I716" s="23"/>
      <c r="J716" s="23"/>
      <c r="K716" s="23"/>
      <c r="L716" s="23"/>
      <c r="M716" s="23"/>
      <c r="N716" s="23"/>
      <c r="O716" s="23"/>
      <c r="P716" s="23"/>
      <c r="Q716" s="23"/>
      <c r="R716" s="5" t="s">
        <v>396</v>
      </c>
      <c r="S716" t="s">
        <v>69</v>
      </c>
    </row>
    <row r="717" spans="1:20" x14ac:dyDescent="0.25">
      <c r="B717" s="3" t="s">
        <v>391</v>
      </c>
      <c r="C717" s="23"/>
      <c r="D717" s="23"/>
      <c r="E717" s="23"/>
      <c r="F717" s="23"/>
      <c r="G717" s="23"/>
      <c r="H717" s="23"/>
      <c r="I717" s="23"/>
      <c r="J717" s="23"/>
      <c r="K717" s="23"/>
      <c r="L717" s="23"/>
      <c r="M717" s="23"/>
      <c r="N717" s="23"/>
      <c r="O717" s="23"/>
      <c r="P717" s="23"/>
      <c r="Q717" s="23"/>
      <c r="R717" s="5" t="s">
        <v>396</v>
      </c>
      <c r="S717" t="s">
        <v>69</v>
      </c>
    </row>
    <row r="718" spans="1:20" x14ac:dyDescent="0.25">
      <c r="B718" s="3" t="s">
        <v>394</v>
      </c>
      <c r="C718" s="23"/>
      <c r="D718" s="23"/>
      <c r="E718" s="23"/>
      <c r="F718" s="23"/>
      <c r="G718" s="23"/>
      <c r="H718" s="23"/>
      <c r="I718" s="23"/>
      <c r="J718" s="23"/>
      <c r="K718" s="23"/>
      <c r="L718" s="23"/>
      <c r="M718" s="23"/>
      <c r="N718" s="23"/>
      <c r="O718" s="23"/>
      <c r="P718" s="23"/>
      <c r="Q718" s="23"/>
      <c r="R718" s="5" t="s">
        <v>396</v>
      </c>
      <c r="S718" t="s">
        <v>69</v>
      </c>
    </row>
    <row r="719" spans="1:20" x14ac:dyDescent="0.25">
      <c r="B719" s="3" t="s">
        <v>395</v>
      </c>
      <c r="C719" s="23"/>
      <c r="D719" s="23"/>
      <c r="E719" s="23"/>
      <c r="F719" s="23"/>
      <c r="G719" s="23"/>
      <c r="H719" s="23"/>
      <c r="I719" s="23"/>
      <c r="J719" s="23"/>
      <c r="K719" s="23"/>
      <c r="L719" s="23"/>
      <c r="M719" s="23"/>
      <c r="N719" s="23"/>
      <c r="O719" s="23"/>
      <c r="P719" s="23"/>
      <c r="Q719" s="23"/>
      <c r="R719" s="5" t="s">
        <v>396</v>
      </c>
      <c r="S719" t="s">
        <v>69</v>
      </c>
    </row>
    <row r="720" spans="1:20" x14ac:dyDescent="0.25">
      <c r="A720" t="s">
        <v>884</v>
      </c>
      <c r="B720" s="3" t="s">
        <v>397</v>
      </c>
      <c r="C720" s="23"/>
      <c r="D720" s="23"/>
      <c r="E720" s="23"/>
      <c r="F720" s="23"/>
      <c r="G720" s="23"/>
      <c r="H720" s="23"/>
      <c r="I720" s="23"/>
      <c r="J720" s="23"/>
      <c r="K720" s="23"/>
      <c r="L720" s="23"/>
      <c r="M720" s="23"/>
      <c r="N720" s="23"/>
      <c r="O720" s="23"/>
      <c r="P720" s="23"/>
      <c r="Q720" s="23"/>
      <c r="R720" s="5" t="s">
        <v>396</v>
      </c>
      <c r="S720" t="s">
        <v>69</v>
      </c>
    </row>
    <row r="721" spans="1:19" x14ac:dyDescent="0.25">
      <c r="B721" t="s">
        <v>282</v>
      </c>
      <c r="C721" s="21">
        <v>1</v>
      </c>
      <c r="D721" s="21">
        <v>2</v>
      </c>
      <c r="E721" s="21">
        <v>3</v>
      </c>
      <c r="F721" s="21">
        <v>4</v>
      </c>
      <c r="G721" s="21">
        <v>5</v>
      </c>
      <c r="H721" s="21">
        <v>6</v>
      </c>
      <c r="I721" s="21">
        <v>7</v>
      </c>
      <c r="J721" s="21">
        <v>8</v>
      </c>
      <c r="K721" s="21">
        <v>9</v>
      </c>
      <c r="L721" s="21">
        <v>10</v>
      </c>
      <c r="M721" s="21">
        <v>11</v>
      </c>
      <c r="N721" s="21">
        <v>12</v>
      </c>
      <c r="O721" s="21">
        <v>13</v>
      </c>
      <c r="P721" s="21">
        <v>14</v>
      </c>
      <c r="Q721" s="21">
        <v>15</v>
      </c>
      <c r="R721" s="5" t="s">
        <v>11</v>
      </c>
      <c r="S721" t="s">
        <v>126</v>
      </c>
    </row>
    <row r="722" spans="1:19" x14ac:dyDescent="0.25">
      <c r="A722" t="s">
        <v>885</v>
      </c>
      <c r="B722" t="s">
        <v>10</v>
      </c>
      <c r="C722" s="2">
        <v>0.95920000000000005</v>
      </c>
      <c r="D722" s="2">
        <v>1.0246</v>
      </c>
      <c r="E722" s="2">
        <v>1.0900000000000001</v>
      </c>
      <c r="F722" s="2">
        <v>1.1772</v>
      </c>
      <c r="G722" s="2">
        <v>1.2425999999999999</v>
      </c>
      <c r="H722" s="2">
        <v>1.3189</v>
      </c>
      <c r="I722" s="2">
        <v>1.417</v>
      </c>
      <c r="J722" s="2">
        <v>1.5150999999999999</v>
      </c>
      <c r="K722" s="2">
        <v>1.6132</v>
      </c>
      <c r="L722" s="2">
        <v>1.7113</v>
      </c>
      <c r="M722" s="2">
        <v>1.8093999999999999</v>
      </c>
      <c r="N722" s="2">
        <v>1.9075</v>
      </c>
      <c r="O722" s="2">
        <v>2.0055999999999998</v>
      </c>
      <c r="P722" s="2">
        <v>2.1036999999999999</v>
      </c>
      <c r="Q722" s="2">
        <v>2.2018</v>
      </c>
      <c r="R722" t="s">
        <v>6</v>
      </c>
      <c r="S722" t="s">
        <v>127</v>
      </c>
    </row>
    <row r="723" spans="1:19" x14ac:dyDescent="0.25">
      <c r="B723" t="s">
        <v>9</v>
      </c>
      <c r="C723" s="2">
        <v>0.82630000000000003</v>
      </c>
      <c r="D723" s="2">
        <v>0.88270000000000004</v>
      </c>
      <c r="E723" s="2">
        <v>0.93899999999999995</v>
      </c>
      <c r="F723" s="2">
        <v>1.0141</v>
      </c>
      <c r="G723" s="2">
        <v>1.0705</v>
      </c>
      <c r="H723" s="2">
        <v>1.1362000000000001</v>
      </c>
      <c r="I723" s="2">
        <v>1.2206999999999999</v>
      </c>
      <c r="J723" s="2">
        <v>1.3051999999999999</v>
      </c>
      <c r="K723" s="2">
        <v>1.3896999999999999</v>
      </c>
      <c r="L723" s="2">
        <v>1.4742</v>
      </c>
      <c r="M723" s="2">
        <v>1.5587</v>
      </c>
      <c r="N723" s="2">
        <v>1.6433</v>
      </c>
      <c r="O723" s="2">
        <v>1.7278</v>
      </c>
      <c r="P723" s="2">
        <v>1.8123</v>
      </c>
      <c r="Q723" s="2">
        <v>1.8968</v>
      </c>
      <c r="R723" t="s">
        <v>6</v>
      </c>
      <c r="S723" t="s">
        <v>127</v>
      </c>
    </row>
    <row r="724" spans="1:19" x14ac:dyDescent="0.25">
      <c r="B724" t="s">
        <v>8</v>
      </c>
      <c r="C724" s="2">
        <v>1.0330999999999999</v>
      </c>
      <c r="D724" s="2">
        <v>1.1035999999999999</v>
      </c>
      <c r="E724" s="2">
        <v>1.1739999999999999</v>
      </c>
      <c r="F724" s="2">
        <v>1.2679</v>
      </c>
      <c r="G724" s="2">
        <v>1.3384</v>
      </c>
      <c r="H724" s="2">
        <v>1.4205000000000001</v>
      </c>
      <c r="I724" s="2">
        <v>1.5262</v>
      </c>
      <c r="J724" s="2">
        <v>1.6318999999999999</v>
      </c>
      <c r="K724" s="2">
        <v>1.7375</v>
      </c>
      <c r="L724" s="2">
        <v>1.8431999999999999</v>
      </c>
      <c r="M724" s="2">
        <v>1.9488000000000001</v>
      </c>
      <c r="N724" s="2">
        <v>2.0545</v>
      </c>
      <c r="O724" s="2">
        <v>2.1602000000000001</v>
      </c>
      <c r="P724" s="2">
        <v>2.2658</v>
      </c>
      <c r="Q724" s="2">
        <v>2.3715000000000002</v>
      </c>
      <c r="R724" t="s">
        <v>6</v>
      </c>
      <c r="S724" t="s">
        <v>127</v>
      </c>
    </row>
    <row r="725" spans="1:19" x14ac:dyDescent="0.25">
      <c r="B725" t="s">
        <v>13</v>
      </c>
      <c r="C725" s="2">
        <v>1.3605</v>
      </c>
      <c r="D725" s="2">
        <v>1.4532</v>
      </c>
      <c r="E725" s="2">
        <v>1.546</v>
      </c>
      <c r="F725" s="2">
        <v>1.6697</v>
      </c>
      <c r="G725" s="2">
        <v>1.7624</v>
      </c>
      <c r="H725" s="2">
        <v>1.8707</v>
      </c>
      <c r="I725" s="2">
        <v>2.0097999999999998</v>
      </c>
      <c r="J725" s="2">
        <v>2.1488999999999998</v>
      </c>
      <c r="K725" s="2">
        <v>2.2881</v>
      </c>
      <c r="L725" s="2">
        <v>2.4272</v>
      </c>
      <c r="M725" s="2">
        <v>2.5663999999999998</v>
      </c>
      <c r="N725" s="2">
        <v>2.7054999999999998</v>
      </c>
      <c r="O725" s="2">
        <v>2.8445999999999998</v>
      </c>
      <c r="P725" s="2">
        <v>2.9838</v>
      </c>
      <c r="Q725" s="2">
        <v>3.1229</v>
      </c>
      <c r="R725" t="s">
        <v>6</v>
      </c>
      <c r="S725" t="s">
        <v>127</v>
      </c>
    </row>
    <row r="726" spans="1:19" x14ac:dyDescent="0.25">
      <c r="B726" t="s">
        <v>157</v>
      </c>
      <c r="C726" s="2">
        <v>0.62539999999999996</v>
      </c>
      <c r="D726" s="2">
        <v>0.67630000000000001</v>
      </c>
      <c r="E726" s="2">
        <v>0.72719999999999996</v>
      </c>
      <c r="F726" s="2">
        <v>0.79990000000000006</v>
      </c>
      <c r="G726" s="2">
        <v>0.8508</v>
      </c>
      <c r="H726" s="2">
        <v>0.90900000000000003</v>
      </c>
      <c r="I726" s="2">
        <v>0.98899999999999999</v>
      </c>
      <c r="J726" s="2">
        <v>1.069</v>
      </c>
      <c r="K726" s="2">
        <v>1.149</v>
      </c>
      <c r="L726" s="2">
        <v>1.2362</v>
      </c>
      <c r="M726" s="2">
        <v>1.3234999999999999</v>
      </c>
      <c r="N726" s="2">
        <v>1.4108000000000001</v>
      </c>
      <c r="O726" s="2">
        <v>1.498</v>
      </c>
      <c r="P726" s="2">
        <v>1.5852999999999999</v>
      </c>
      <c r="Q726" s="2">
        <v>1.6726000000000001</v>
      </c>
      <c r="R726" t="s">
        <v>5</v>
      </c>
      <c r="S726" t="s">
        <v>127</v>
      </c>
    </row>
    <row r="727" spans="1:19" x14ac:dyDescent="0.25">
      <c r="B727" t="s">
        <v>158</v>
      </c>
      <c r="C727" s="2">
        <v>1.1309</v>
      </c>
      <c r="D727" s="2">
        <v>1.2230000000000001</v>
      </c>
      <c r="E727" s="2">
        <v>1.3149999999999999</v>
      </c>
      <c r="F727" s="2">
        <v>1.4464999999999999</v>
      </c>
      <c r="G727" s="2">
        <v>1.5386</v>
      </c>
      <c r="H727" s="2">
        <v>1.6437999999999999</v>
      </c>
      <c r="I727" s="2">
        <v>1.7884</v>
      </c>
      <c r="J727" s="2">
        <v>1.9331</v>
      </c>
      <c r="K727" s="2">
        <v>2.0777000000000001</v>
      </c>
      <c r="L727" s="2">
        <v>2.2355</v>
      </c>
      <c r="M727" s="2">
        <v>2.3933</v>
      </c>
      <c r="N727" s="2">
        <v>2.5510999999999999</v>
      </c>
      <c r="O727" s="2">
        <v>2.7088999999999999</v>
      </c>
      <c r="P727" s="2">
        <v>2.8666999999999998</v>
      </c>
      <c r="Q727" s="2">
        <v>3.0245000000000002</v>
      </c>
      <c r="R727" t="s">
        <v>5</v>
      </c>
      <c r="S727" t="s">
        <v>127</v>
      </c>
    </row>
    <row r="728" spans="1:19" x14ac:dyDescent="0.25">
      <c r="B728" t="s">
        <v>155</v>
      </c>
      <c r="C728" s="2">
        <v>0.82050000000000001</v>
      </c>
      <c r="D728" s="2">
        <v>0.88719999999999999</v>
      </c>
      <c r="E728" s="2">
        <v>0.95399999999999996</v>
      </c>
      <c r="F728" s="2">
        <v>1.0494000000000001</v>
      </c>
      <c r="G728" s="2">
        <v>1.1162000000000001</v>
      </c>
      <c r="H728" s="2">
        <v>1.1924999999999999</v>
      </c>
      <c r="I728" s="2">
        <v>1.2975000000000001</v>
      </c>
      <c r="J728" s="2">
        <v>1.4024000000000001</v>
      </c>
      <c r="K728" s="2">
        <v>1.5074000000000001</v>
      </c>
      <c r="L728" s="2">
        <v>1.6218999999999999</v>
      </c>
      <c r="M728" s="2">
        <v>1.7363</v>
      </c>
      <c r="N728" s="2">
        <v>1.8508</v>
      </c>
      <c r="O728" s="2">
        <v>1.9653</v>
      </c>
      <c r="P728" s="2">
        <v>2.0798000000000001</v>
      </c>
      <c r="Q728" s="2">
        <v>2.1943000000000001</v>
      </c>
      <c r="R728" t="s">
        <v>3</v>
      </c>
      <c r="S728" t="s">
        <v>127</v>
      </c>
    </row>
    <row r="729" spans="1:19" x14ac:dyDescent="0.25">
      <c r="B729" t="s">
        <v>135</v>
      </c>
      <c r="C729" s="2">
        <v>1.6406000000000001</v>
      </c>
      <c r="D729" s="2">
        <v>1.7741</v>
      </c>
      <c r="E729" s="2">
        <v>1.9077</v>
      </c>
      <c r="F729" s="2">
        <v>2.0983999999999998</v>
      </c>
      <c r="G729" s="2">
        <v>2.2320000000000002</v>
      </c>
      <c r="H729" s="2">
        <v>2.3845999999999998</v>
      </c>
      <c r="I729" s="2">
        <v>2.5943999999999998</v>
      </c>
      <c r="J729" s="2">
        <v>2.8043</v>
      </c>
      <c r="K729" s="2">
        <v>3.0141</v>
      </c>
      <c r="L729" s="2">
        <v>3.2429999999999999</v>
      </c>
      <c r="M729" s="2">
        <v>3.4719000000000002</v>
      </c>
      <c r="N729" s="2">
        <v>3.7008999999999999</v>
      </c>
      <c r="O729" s="2">
        <v>3.9298000000000002</v>
      </c>
      <c r="P729" s="2">
        <v>4.1586999999999996</v>
      </c>
      <c r="Q729" s="2">
        <v>4.3875999999999999</v>
      </c>
      <c r="R729" t="s">
        <v>3</v>
      </c>
      <c r="S729" t="s">
        <v>127</v>
      </c>
    </row>
    <row r="730" spans="1:19" x14ac:dyDescent="0.25">
      <c r="B730" t="s">
        <v>136</v>
      </c>
      <c r="C730" s="2">
        <v>2.0491999999999999</v>
      </c>
      <c r="D730" s="2">
        <v>2.2160000000000002</v>
      </c>
      <c r="E730" s="2">
        <v>2.3828</v>
      </c>
      <c r="F730" s="2">
        <v>2.621</v>
      </c>
      <c r="G730" s="2">
        <v>2.7877999999999998</v>
      </c>
      <c r="H730" s="2">
        <v>2.9784999999999999</v>
      </c>
      <c r="I730" s="2">
        <v>3.2406000000000001</v>
      </c>
      <c r="J730" s="2">
        <v>3.5026999999999999</v>
      </c>
      <c r="K730" s="2">
        <v>3.7648000000000001</v>
      </c>
      <c r="L730" s="2">
        <v>4.0507</v>
      </c>
      <c r="M730" s="2">
        <v>4.3365999999999998</v>
      </c>
      <c r="N730" s="2">
        <v>4.6226000000000003</v>
      </c>
      <c r="O730" s="2">
        <v>4.9085000000000001</v>
      </c>
      <c r="P730" s="2">
        <v>5.1943999999999999</v>
      </c>
      <c r="Q730" s="2">
        <v>5.4804000000000004</v>
      </c>
      <c r="R730" t="s">
        <v>3</v>
      </c>
      <c r="S730" t="s">
        <v>127</v>
      </c>
    </row>
    <row r="731" spans="1:19" x14ac:dyDescent="0.25">
      <c r="B731" t="s">
        <v>234</v>
      </c>
      <c r="C731" s="2">
        <v>1.992</v>
      </c>
      <c r="D731" s="2">
        <v>2.1414</v>
      </c>
      <c r="E731" s="2">
        <v>2.2907999999999999</v>
      </c>
      <c r="F731" s="2">
        <v>2.4900000000000002</v>
      </c>
      <c r="G731" s="2">
        <v>2.6394000000000002</v>
      </c>
      <c r="H731" s="2">
        <v>2.7888000000000002</v>
      </c>
      <c r="I731" s="2">
        <v>2.988</v>
      </c>
      <c r="J731" s="2">
        <v>3.1871999999999998</v>
      </c>
      <c r="K731" s="2">
        <v>3.3864000000000001</v>
      </c>
      <c r="L731" s="2">
        <v>3.5855999999999999</v>
      </c>
      <c r="M731" s="2">
        <v>3.7848000000000002</v>
      </c>
      <c r="N731" s="2">
        <v>3.984</v>
      </c>
      <c r="O731" s="2">
        <v>4.2329999999999997</v>
      </c>
      <c r="P731" s="2">
        <v>4.4820000000000002</v>
      </c>
      <c r="Q731" s="2">
        <v>4.7309999999999999</v>
      </c>
      <c r="R731" t="s">
        <v>19</v>
      </c>
      <c r="S731" t="s">
        <v>127</v>
      </c>
    </row>
    <row r="732" spans="1:19" x14ac:dyDescent="0.25">
      <c r="B732" t="s">
        <v>235</v>
      </c>
      <c r="C732" s="2">
        <v>2.952</v>
      </c>
      <c r="D732" s="2">
        <v>3.1734</v>
      </c>
      <c r="E732" s="2">
        <v>3.3948</v>
      </c>
      <c r="F732" s="2">
        <v>3.69</v>
      </c>
      <c r="G732" s="2">
        <v>3.9114</v>
      </c>
      <c r="H732" s="2">
        <v>4.1327999999999996</v>
      </c>
      <c r="I732" s="2">
        <v>4.4279999999999999</v>
      </c>
      <c r="J732" s="2">
        <v>4.7232000000000003</v>
      </c>
      <c r="K732" s="2">
        <v>5.0183999999999997</v>
      </c>
      <c r="L732" s="2">
        <v>5.3136000000000001</v>
      </c>
      <c r="M732" s="2">
        <v>5.6087999999999996</v>
      </c>
      <c r="N732" s="2">
        <v>5.9039999999999999</v>
      </c>
      <c r="O732" s="2">
        <v>6.2729999999999997</v>
      </c>
      <c r="P732" s="2">
        <v>6.6420000000000003</v>
      </c>
      <c r="Q732" s="2">
        <v>7.0110000000000001</v>
      </c>
      <c r="R732" t="s">
        <v>19</v>
      </c>
      <c r="S732" t="s">
        <v>127</v>
      </c>
    </row>
    <row r="733" spans="1:19" x14ac:dyDescent="0.25">
      <c r="B733" t="s">
        <v>131</v>
      </c>
      <c r="C733" s="2">
        <v>1.6</v>
      </c>
      <c r="D733" s="2">
        <v>1.72</v>
      </c>
      <c r="E733" s="2">
        <v>1.84</v>
      </c>
      <c r="F733" s="2">
        <v>2</v>
      </c>
      <c r="G733" s="2">
        <v>2.12</v>
      </c>
      <c r="H733" s="2">
        <v>2.2400000000000002</v>
      </c>
      <c r="I733" s="2">
        <v>2.4</v>
      </c>
      <c r="J733" s="2">
        <v>2.56</v>
      </c>
      <c r="K733" s="2">
        <v>2.72</v>
      </c>
      <c r="L733" s="2">
        <v>2.88</v>
      </c>
      <c r="M733" s="2">
        <v>3.04</v>
      </c>
      <c r="N733" s="2">
        <v>3.2</v>
      </c>
      <c r="O733" s="2">
        <v>3.4</v>
      </c>
      <c r="P733" s="2">
        <v>3.6</v>
      </c>
      <c r="Q733" s="2">
        <v>3.8</v>
      </c>
      <c r="R733" t="s">
        <v>0</v>
      </c>
      <c r="S733" t="s">
        <v>127</v>
      </c>
    </row>
    <row r="734" spans="1:19" x14ac:dyDescent="0.25">
      <c r="B734" t="s">
        <v>283</v>
      </c>
      <c r="C734" s="2">
        <v>0.24</v>
      </c>
      <c r="D734" s="2">
        <v>0.25800000000000001</v>
      </c>
      <c r="E734" s="2">
        <v>0.27600000000000002</v>
      </c>
      <c r="F734" s="2">
        <v>0.3</v>
      </c>
      <c r="G734" s="2">
        <v>0.318</v>
      </c>
      <c r="H734" s="2">
        <v>0.33600000000000002</v>
      </c>
      <c r="I734" s="2">
        <v>0.36</v>
      </c>
      <c r="J734" s="2">
        <v>0.38400000000000001</v>
      </c>
      <c r="K734" s="2">
        <v>0.40799999999999997</v>
      </c>
      <c r="L734" s="2">
        <v>0.432</v>
      </c>
      <c r="M734" s="2">
        <v>0.45600000000000002</v>
      </c>
      <c r="N734" s="2">
        <v>0.48</v>
      </c>
      <c r="O734" s="2">
        <v>0.51</v>
      </c>
      <c r="P734" s="2">
        <v>0.54</v>
      </c>
      <c r="Q734" s="2">
        <v>0.56999999999999995</v>
      </c>
      <c r="R734" t="s">
        <v>24</v>
      </c>
      <c r="S734" t="s">
        <v>127</v>
      </c>
    </row>
    <row r="735" spans="1:19" x14ac:dyDescent="0.25">
      <c r="B735" s="3" t="s">
        <v>771</v>
      </c>
      <c r="C735" s="23"/>
      <c r="D735" s="23"/>
      <c r="E735" s="23"/>
      <c r="F735" s="23"/>
      <c r="G735" s="23"/>
      <c r="H735" s="23"/>
      <c r="I735" s="23"/>
      <c r="J735" s="23"/>
      <c r="K735" s="23"/>
      <c r="L735" s="23"/>
      <c r="M735" s="23"/>
      <c r="N735" s="23"/>
      <c r="O735" s="23"/>
      <c r="P735" s="23"/>
      <c r="Q735" s="23"/>
      <c r="R735" s="5" t="s">
        <v>771</v>
      </c>
      <c r="S735" t="s">
        <v>772</v>
      </c>
    </row>
    <row r="736" spans="1:19" x14ac:dyDescent="0.25">
      <c r="B736" s="3" t="s">
        <v>390</v>
      </c>
      <c r="C736" s="23"/>
      <c r="D736" s="23"/>
      <c r="E736" s="23"/>
      <c r="F736" s="23"/>
      <c r="G736" s="23"/>
      <c r="H736" s="23"/>
      <c r="I736" s="23"/>
      <c r="J736" s="23"/>
      <c r="K736" s="23"/>
      <c r="L736" s="23"/>
      <c r="M736" s="23"/>
      <c r="N736" s="23"/>
      <c r="O736" s="23"/>
      <c r="P736" s="23"/>
      <c r="Q736" s="23"/>
      <c r="R736" s="5" t="s">
        <v>396</v>
      </c>
      <c r="S736" t="s">
        <v>69</v>
      </c>
    </row>
    <row r="737" spans="1:19" x14ac:dyDescent="0.25">
      <c r="B737" s="3" t="s">
        <v>392</v>
      </c>
      <c r="C737" s="23"/>
      <c r="D737" s="23"/>
      <c r="E737" s="23"/>
      <c r="F737" s="23"/>
      <c r="G737" s="23"/>
      <c r="H737" s="23"/>
      <c r="I737" s="23"/>
      <c r="J737" s="23"/>
      <c r="K737" s="23"/>
      <c r="L737" s="23"/>
      <c r="M737" s="23"/>
      <c r="N737" s="23"/>
      <c r="O737" s="23"/>
      <c r="P737" s="23"/>
      <c r="Q737" s="23"/>
      <c r="R737" s="5" t="s">
        <v>396</v>
      </c>
      <c r="S737" t="s">
        <v>69</v>
      </c>
    </row>
    <row r="738" spans="1:19" x14ac:dyDescent="0.25">
      <c r="B738" s="3" t="s">
        <v>393</v>
      </c>
      <c r="C738" s="23"/>
      <c r="D738" s="23"/>
      <c r="E738" s="23"/>
      <c r="F738" s="23"/>
      <c r="G738" s="23"/>
      <c r="H738" s="23"/>
      <c r="I738" s="23"/>
      <c r="J738" s="23"/>
      <c r="K738" s="23"/>
      <c r="L738" s="23"/>
      <c r="M738" s="23"/>
      <c r="N738" s="23"/>
      <c r="O738" s="23"/>
      <c r="P738" s="23"/>
      <c r="Q738" s="23"/>
      <c r="R738" s="5" t="s">
        <v>396</v>
      </c>
      <c r="S738" t="s">
        <v>69</v>
      </c>
    </row>
    <row r="739" spans="1:19" x14ac:dyDescent="0.25">
      <c r="B739" s="3" t="s">
        <v>389</v>
      </c>
      <c r="C739" s="23"/>
      <c r="D739" s="23"/>
      <c r="E739" s="23"/>
      <c r="F739" s="23"/>
      <c r="G739" s="23"/>
      <c r="H739" s="23"/>
      <c r="I739" s="23"/>
      <c r="J739" s="23"/>
      <c r="K739" s="23"/>
      <c r="L739" s="23"/>
      <c r="M739" s="23"/>
      <c r="N739" s="23"/>
      <c r="O739" s="23"/>
      <c r="P739" s="23"/>
      <c r="Q739" s="23"/>
      <c r="R739" s="5" t="s">
        <v>396</v>
      </c>
      <c r="S739" t="s">
        <v>69</v>
      </c>
    </row>
    <row r="740" spans="1:19" x14ac:dyDescent="0.25">
      <c r="B740" s="3" t="s">
        <v>391</v>
      </c>
      <c r="C740" s="23"/>
      <c r="D740" s="23"/>
      <c r="E740" s="23"/>
      <c r="F740" s="23"/>
      <c r="G740" s="23"/>
      <c r="H740" s="23"/>
      <c r="I740" s="23"/>
      <c r="J740" s="23"/>
      <c r="K740" s="23"/>
      <c r="L740" s="23"/>
      <c r="M740" s="23"/>
      <c r="N740" s="23"/>
      <c r="O740" s="23"/>
      <c r="P740" s="23"/>
      <c r="Q740" s="23"/>
      <c r="R740" s="5" t="s">
        <v>396</v>
      </c>
      <c r="S740" t="s">
        <v>69</v>
      </c>
    </row>
    <row r="741" spans="1:19" x14ac:dyDescent="0.25">
      <c r="B741" s="3" t="s">
        <v>394</v>
      </c>
      <c r="C741" s="23"/>
      <c r="D741" s="23"/>
      <c r="E741" s="23"/>
      <c r="F741" s="23"/>
      <c r="G741" s="23"/>
      <c r="H741" s="23"/>
      <c r="I741" s="23"/>
      <c r="J741" s="23"/>
      <c r="K741" s="23"/>
      <c r="L741" s="23"/>
      <c r="M741" s="23"/>
      <c r="N741" s="23"/>
      <c r="O741" s="23"/>
      <c r="P741" s="23"/>
      <c r="Q741" s="23"/>
      <c r="R741" s="5" t="s">
        <v>396</v>
      </c>
      <c r="S741" t="s">
        <v>69</v>
      </c>
    </row>
    <row r="742" spans="1:19" x14ac:dyDescent="0.25">
      <c r="B742" s="3" t="s">
        <v>395</v>
      </c>
      <c r="C742" s="23"/>
      <c r="D742" s="23"/>
      <c r="E742" s="23"/>
      <c r="F742" s="23"/>
      <c r="G742" s="23"/>
      <c r="H742" s="23"/>
      <c r="I742" s="23"/>
      <c r="J742" s="23"/>
      <c r="K742" s="23"/>
      <c r="L742" s="23"/>
      <c r="M742" s="23"/>
      <c r="N742" s="23"/>
      <c r="O742" s="23"/>
      <c r="P742" s="23"/>
      <c r="Q742" s="23"/>
      <c r="R742" s="5" t="s">
        <v>396</v>
      </c>
      <c r="S742" t="s">
        <v>69</v>
      </c>
    </row>
    <row r="743" spans="1:19" x14ac:dyDescent="0.25">
      <c r="A743" t="s">
        <v>886</v>
      </c>
      <c r="B743" s="3" t="s">
        <v>397</v>
      </c>
      <c r="C743" s="23"/>
      <c r="D743" s="23"/>
      <c r="E743" s="23"/>
      <c r="F743" s="23"/>
      <c r="G743" s="23"/>
      <c r="H743" s="23"/>
      <c r="I743" s="23"/>
      <c r="J743" s="23"/>
      <c r="K743" s="23"/>
      <c r="L743" s="23"/>
      <c r="M743" s="23"/>
      <c r="N743" s="23"/>
      <c r="O743" s="23"/>
      <c r="P743" s="23"/>
      <c r="Q743" s="23"/>
      <c r="R743" s="5" t="s">
        <v>396</v>
      </c>
      <c r="S743" t="s">
        <v>69</v>
      </c>
    </row>
    <row r="744" spans="1:19" x14ac:dyDescent="0.25">
      <c r="B744" t="s">
        <v>284</v>
      </c>
      <c r="C744" s="21">
        <v>1</v>
      </c>
      <c r="D744" s="21">
        <v>2</v>
      </c>
      <c r="E744" s="21">
        <v>3</v>
      </c>
      <c r="F744" s="21">
        <v>4</v>
      </c>
      <c r="G744" s="21">
        <v>5</v>
      </c>
      <c r="H744" s="21">
        <v>6</v>
      </c>
      <c r="I744" s="21">
        <v>7</v>
      </c>
      <c r="J744" s="21">
        <v>8</v>
      </c>
      <c r="K744" s="21">
        <v>9</v>
      </c>
      <c r="L744" s="21">
        <v>10</v>
      </c>
      <c r="M744" s="21">
        <v>11</v>
      </c>
      <c r="N744" s="21">
        <v>12</v>
      </c>
      <c r="O744" s="21">
        <v>13</v>
      </c>
      <c r="P744" s="21">
        <v>14</v>
      </c>
      <c r="Q744" s="21">
        <v>15</v>
      </c>
      <c r="R744" s="5" t="s">
        <v>11</v>
      </c>
      <c r="S744" t="s">
        <v>126</v>
      </c>
    </row>
    <row r="745" spans="1:19" x14ac:dyDescent="0.25">
      <c r="A745" t="s">
        <v>887</v>
      </c>
      <c r="B745" t="s">
        <v>10</v>
      </c>
      <c r="C745" s="2">
        <v>0.39650000000000002</v>
      </c>
      <c r="D745" s="2">
        <v>0.42870000000000003</v>
      </c>
      <c r="E745" s="2">
        <v>0.46100000000000002</v>
      </c>
      <c r="F745" s="2">
        <v>0.5071</v>
      </c>
      <c r="G745" s="2">
        <v>0.53939999999999999</v>
      </c>
      <c r="H745" s="2">
        <v>0.57630000000000003</v>
      </c>
      <c r="I745" s="2">
        <v>0.627</v>
      </c>
      <c r="J745" s="2">
        <v>0.67769999999999997</v>
      </c>
      <c r="K745" s="2">
        <v>0.72840000000000005</v>
      </c>
      <c r="L745" s="2">
        <v>0.78369999999999995</v>
      </c>
      <c r="M745" s="2">
        <v>0.84709999999999996</v>
      </c>
      <c r="N745" s="2">
        <v>0.92159999999999997</v>
      </c>
      <c r="O745" s="2">
        <v>0.99619999999999997</v>
      </c>
      <c r="P745" s="2">
        <v>1.0707</v>
      </c>
      <c r="Q745" s="2">
        <v>1.1519999999999999</v>
      </c>
      <c r="R745" t="s">
        <v>6</v>
      </c>
      <c r="S745" t="s">
        <v>127</v>
      </c>
    </row>
    <row r="746" spans="1:19" x14ac:dyDescent="0.25">
      <c r="B746" t="s">
        <v>9</v>
      </c>
      <c r="C746" s="2">
        <v>0.39729999999999999</v>
      </c>
      <c r="D746" s="2">
        <v>0.42970000000000003</v>
      </c>
      <c r="E746" s="2">
        <v>0.46200000000000002</v>
      </c>
      <c r="F746" s="2">
        <v>0.50819999999999999</v>
      </c>
      <c r="G746" s="2">
        <v>0.54049999999999998</v>
      </c>
      <c r="H746" s="2">
        <v>0.57750000000000001</v>
      </c>
      <c r="I746" s="2">
        <v>0.62829999999999997</v>
      </c>
      <c r="J746" s="2">
        <v>0.67910000000000004</v>
      </c>
      <c r="K746" s="2">
        <v>0.73</v>
      </c>
      <c r="L746" s="2">
        <v>0.78539999999999999</v>
      </c>
      <c r="M746" s="2">
        <v>0.84889999999999999</v>
      </c>
      <c r="N746" s="2">
        <v>0.92359999999999998</v>
      </c>
      <c r="O746" s="2">
        <v>0.99829999999999997</v>
      </c>
      <c r="P746" s="2">
        <v>1.073</v>
      </c>
      <c r="Q746" s="2">
        <v>1.1545000000000001</v>
      </c>
      <c r="R746" t="s">
        <v>6</v>
      </c>
      <c r="S746" t="s">
        <v>127</v>
      </c>
    </row>
    <row r="747" spans="1:19" x14ac:dyDescent="0.25">
      <c r="B747" t="s">
        <v>8</v>
      </c>
      <c r="C747" s="2">
        <v>0.49880000000000002</v>
      </c>
      <c r="D747" s="2">
        <v>0.53939999999999999</v>
      </c>
      <c r="E747" s="2">
        <v>0.57999999999999996</v>
      </c>
      <c r="F747" s="2">
        <v>0.63800000000000001</v>
      </c>
      <c r="G747" s="2">
        <v>0.67859999999999998</v>
      </c>
      <c r="H747" s="2">
        <v>0.72499999999999998</v>
      </c>
      <c r="I747" s="2">
        <v>0.78879999999999995</v>
      </c>
      <c r="J747" s="2">
        <v>0.85260000000000002</v>
      </c>
      <c r="K747" s="2">
        <v>0.91639999999999999</v>
      </c>
      <c r="L747" s="2">
        <v>0.98599999999999999</v>
      </c>
      <c r="M747" s="2">
        <v>1.0658000000000001</v>
      </c>
      <c r="N747" s="2">
        <v>1.1595</v>
      </c>
      <c r="O747" s="2">
        <v>1.2533000000000001</v>
      </c>
      <c r="P747" s="2">
        <v>1.3471</v>
      </c>
      <c r="Q747" s="2">
        <v>1.4494</v>
      </c>
      <c r="R747" t="s">
        <v>6</v>
      </c>
      <c r="S747" t="s">
        <v>127</v>
      </c>
    </row>
    <row r="748" spans="1:19" x14ac:dyDescent="0.25">
      <c r="B748" t="s">
        <v>277</v>
      </c>
      <c r="C748" s="2">
        <v>0.2898</v>
      </c>
      <c r="D748" s="2">
        <v>0.31340000000000001</v>
      </c>
      <c r="E748" s="2">
        <v>0.33700000000000002</v>
      </c>
      <c r="F748" s="2">
        <v>0.37069999999999997</v>
      </c>
      <c r="G748" s="2">
        <v>0.39429999999999998</v>
      </c>
      <c r="H748" s="2">
        <v>0.42130000000000001</v>
      </c>
      <c r="I748" s="2">
        <v>0.45829999999999999</v>
      </c>
      <c r="J748" s="2">
        <v>0.49540000000000001</v>
      </c>
      <c r="K748" s="2">
        <v>0.53249999999999997</v>
      </c>
      <c r="L748" s="2">
        <v>0.57289999999999996</v>
      </c>
      <c r="M748" s="2">
        <v>0.61919999999999997</v>
      </c>
      <c r="N748" s="2">
        <v>0.67369999999999997</v>
      </c>
      <c r="O748" s="2">
        <v>0.72819999999999996</v>
      </c>
      <c r="P748" s="2">
        <v>0.78269999999999995</v>
      </c>
      <c r="Q748" s="2">
        <v>0.84219999999999995</v>
      </c>
      <c r="R748" t="s">
        <v>6</v>
      </c>
      <c r="S748" t="s">
        <v>127</v>
      </c>
    </row>
    <row r="749" spans="1:19" x14ac:dyDescent="0.25">
      <c r="B749" t="s">
        <v>7</v>
      </c>
      <c r="C749" s="2">
        <v>0.65449999999999997</v>
      </c>
      <c r="D749" s="2">
        <v>0.7077</v>
      </c>
      <c r="E749" s="2">
        <v>0.76100000000000001</v>
      </c>
      <c r="F749" s="2">
        <v>0.83709999999999996</v>
      </c>
      <c r="G749" s="2">
        <v>0.89039999999999997</v>
      </c>
      <c r="H749" s="2">
        <v>0.95130000000000003</v>
      </c>
      <c r="I749" s="2">
        <v>1.0349999999999999</v>
      </c>
      <c r="J749" s="2">
        <v>1.1187</v>
      </c>
      <c r="K749" s="2">
        <v>1.2023999999999999</v>
      </c>
      <c r="L749" s="2">
        <v>1.2937000000000001</v>
      </c>
      <c r="M749" s="2">
        <v>1.3983000000000001</v>
      </c>
      <c r="N749" s="2">
        <v>1.5214000000000001</v>
      </c>
      <c r="O749" s="2">
        <v>1.6444000000000001</v>
      </c>
      <c r="P749" s="2">
        <v>1.7675000000000001</v>
      </c>
      <c r="Q749" s="2">
        <v>1.9016999999999999</v>
      </c>
      <c r="R749" t="s">
        <v>6</v>
      </c>
      <c r="S749" t="s">
        <v>127</v>
      </c>
    </row>
    <row r="750" spans="1:19" x14ac:dyDescent="0.25">
      <c r="B750" t="s">
        <v>14</v>
      </c>
      <c r="C750" s="2">
        <v>0.99590000000000001</v>
      </c>
      <c r="D750" s="2">
        <v>1.0769</v>
      </c>
      <c r="E750" s="2">
        <v>1.1579999999999999</v>
      </c>
      <c r="F750" s="2">
        <v>1.2738</v>
      </c>
      <c r="G750" s="2">
        <v>1.3549</v>
      </c>
      <c r="H750" s="2">
        <v>1.4475</v>
      </c>
      <c r="I750" s="2">
        <v>1.5749</v>
      </c>
      <c r="J750" s="2">
        <v>1.7022999999999999</v>
      </c>
      <c r="K750" s="2">
        <v>1.8295999999999999</v>
      </c>
      <c r="L750" s="2">
        <v>1.9685999999999999</v>
      </c>
      <c r="M750" s="2">
        <v>2.1278000000000001</v>
      </c>
      <c r="N750" s="2">
        <v>2.3151000000000002</v>
      </c>
      <c r="O750" s="2">
        <v>2.5023</v>
      </c>
      <c r="P750" s="2">
        <v>2.6896</v>
      </c>
      <c r="Q750" s="2">
        <v>2.8938000000000001</v>
      </c>
      <c r="R750" t="s">
        <v>5</v>
      </c>
      <c r="S750" t="s">
        <v>127</v>
      </c>
    </row>
    <row r="751" spans="1:19" x14ac:dyDescent="0.25">
      <c r="B751" t="s">
        <v>155</v>
      </c>
      <c r="C751" s="2">
        <v>0.63929999999999998</v>
      </c>
      <c r="D751" s="2">
        <v>0.69140000000000001</v>
      </c>
      <c r="E751" s="2">
        <v>0.74339999999999995</v>
      </c>
      <c r="F751" s="2">
        <v>0.81769999999999998</v>
      </c>
      <c r="G751" s="2">
        <v>0.86980000000000002</v>
      </c>
      <c r="H751" s="2">
        <v>0.92930000000000001</v>
      </c>
      <c r="I751" s="2">
        <v>1.0109999999999999</v>
      </c>
      <c r="J751" s="2">
        <v>1.0928</v>
      </c>
      <c r="K751" s="2">
        <v>1.1746000000000001</v>
      </c>
      <c r="L751" s="2">
        <v>1.2638</v>
      </c>
      <c r="M751" s="2">
        <v>1.353</v>
      </c>
      <c r="N751" s="2">
        <v>1.4421999999999999</v>
      </c>
      <c r="O751" s="2">
        <v>1.5314000000000001</v>
      </c>
      <c r="P751" s="2">
        <v>1.6206</v>
      </c>
      <c r="Q751" s="2">
        <v>1.7098</v>
      </c>
      <c r="R751" t="s">
        <v>3</v>
      </c>
      <c r="S751" t="s">
        <v>127</v>
      </c>
    </row>
    <row r="752" spans="1:19" x14ac:dyDescent="0.25">
      <c r="B752" t="s">
        <v>135</v>
      </c>
      <c r="C752" s="2">
        <v>1.2784</v>
      </c>
      <c r="D752" s="2">
        <v>1.3824000000000001</v>
      </c>
      <c r="E752" s="2">
        <v>1.4864999999999999</v>
      </c>
      <c r="F752" s="2">
        <v>1.6351</v>
      </c>
      <c r="G752" s="2">
        <v>1.7392000000000001</v>
      </c>
      <c r="H752" s="2">
        <v>1.8581000000000001</v>
      </c>
      <c r="I752" s="2">
        <v>2.0215999999999998</v>
      </c>
      <c r="J752" s="2">
        <v>2.1850999999999998</v>
      </c>
      <c r="K752" s="2">
        <v>2.3485999999999998</v>
      </c>
      <c r="L752" s="2">
        <v>2.5270000000000001</v>
      </c>
      <c r="M752" s="2">
        <v>2.7054</v>
      </c>
      <c r="N752" s="2">
        <v>2.8837999999999999</v>
      </c>
      <c r="O752" s="2">
        <v>3.0621999999999998</v>
      </c>
      <c r="P752" s="2">
        <v>3.2404999999999999</v>
      </c>
      <c r="Q752" s="2">
        <v>3.4188999999999998</v>
      </c>
      <c r="R752" t="s">
        <v>3</v>
      </c>
      <c r="S752" t="s">
        <v>127</v>
      </c>
    </row>
    <row r="753" spans="2:19" x14ac:dyDescent="0.25">
      <c r="B753" t="s">
        <v>136</v>
      </c>
      <c r="C753" s="2">
        <v>1.5968</v>
      </c>
      <c r="D753" s="2">
        <v>1.7266999999999999</v>
      </c>
      <c r="E753" s="2">
        <v>1.8567</v>
      </c>
      <c r="F753" s="2">
        <v>2.0424000000000002</v>
      </c>
      <c r="G753" s="2">
        <v>2.1722999999999999</v>
      </c>
      <c r="H753" s="2">
        <v>2.3209</v>
      </c>
      <c r="I753" s="2">
        <v>2.5251000000000001</v>
      </c>
      <c r="J753" s="2">
        <v>2.7292999999999998</v>
      </c>
      <c r="K753" s="2">
        <v>2.9336000000000002</v>
      </c>
      <c r="L753" s="2">
        <v>3.1564000000000001</v>
      </c>
      <c r="M753" s="2">
        <v>3.3792</v>
      </c>
      <c r="N753" s="2">
        <v>3.6019999999999999</v>
      </c>
      <c r="O753" s="2">
        <v>3.8248000000000002</v>
      </c>
      <c r="P753" s="2">
        <v>4.0476000000000001</v>
      </c>
      <c r="Q753" s="2">
        <v>4.2704000000000004</v>
      </c>
      <c r="R753" t="s">
        <v>3</v>
      </c>
      <c r="S753" t="s">
        <v>127</v>
      </c>
    </row>
    <row r="754" spans="2:19" x14ac:dyDescent="0.25">
      <c r="B754" t="s">
        <v>4</v>
      </c>
      <c r="C754" s="2">
        <v>1.1719999999999999</v>
      </c>
      <c r="D754" s="2">
        <v>1.2599</v>
      </c>
      <c r="E754" s="2">
        <v>1.3478000000000001</v>
      </c>
      <c r="F754" s="2">
        <v>1.4650000000000001</v>
      </c>
      <c r="G754" s="2">
        <v>1.5528999999999999</v>
      </c>
      <c r="H754" s="2">
        <v>1.6408</v>
      </c>
      <c r="I754" s="2">
        <v>1.758</v>
      </c>
      <c r="J754" s="2">
        <v>1.8752</v>
      </c>
      <c r="K754" s="2">
        <v>1.9923999999999999</v>
      </c>
      <c r="L754" s="2">
        <v>2.1095999999999999</v>
      </c>
      <c r="M754" s="2">
        <v>2.2267999999999999</v>
      </c>
      <c r="N754" s="2">
        <v>2.3439999999999999</v>
      </c>
      <c r="O754" s="2">
        <v>2.4904999999999999</v>
      </c>
      <c r="P754" s="2">
        <v>2.637</v>
      </c>
      <c r="Q754" s="2">
        <v>2.7835000000000001</v>
      </c>
      <c r="R754" t="s">
        <v>19</v>
      </c>
      <c r="S754" t="s">
        <v>127</v>
      </c>
    </row>
    <row r="755" spans="2:19" x14ac:dyDescent="0.25">
      <c r="B755" t="s">
        <v>285</v>
      </c>
      <c r="C755" s="2">
        <v>0.42</v>
      </c>
      <c r="D755" s="2">
        <v>0.45150000000000001</v>
      </c>
      <c r="E755" s="2">
        <v>0.48299999999999998</v>
      </c>
      <c r="F755" s="2">
        <v>0.52500000000000002</v>
      </c>
      <c r="G755" s="2">
        <v>0.55649999999999999</v>
      </c>
      <c r="H755" s="2">
        <v>0.58799999999999997</v>
      </c>
      <c r="I755" s="2">
        <v>0.63</v>
      </c>
      <c r="J755" s="2">
        <v>0.67200000000000004</v>
      </c>
      <c r="K755" s="2">
        <v>0.71399999999999997</v>
      </c>
      <c r="L755" s="2">
        <v>0.75600000000000001</v>
      </c>
      <c r="M755" s="2">
        <v>0.79800000000000004</v>
      </c>
      <c r="N755" s="2">
        <v>0.84</v>
      </c>
      <c r="O755" s="2">
        <v>0.89249999999999996</v>
      </c>
      <c r="P755" s="2">
        <v>0.94499999999999995</v>
      </c>
      <c r="Q755" s="2">
        <v>0.99750000000000005</v>
      </c>
      <c r="R755" t="s">
        <v>19</v>
      </c>
      <c r="S755" t="s">
        <v>127</v>
      </c>
    </row>
    <row r="756" spans="2:19" x14ac:dyDescent="0.25">
      <c r="B756" t="s">
        <v>286</v>
      </c>
      <c r="C756" s="2">
        <v>4.008</v>
      </c>
      <c r="D756" s="2">
        <v>4.3086000000000002</v>
      </c>
      <c r="E756" s="2">
        <v>4.6092000000000004</v>
      </c>
      <c r="F756" s="2">
        <v>5.01</v>
      </c>
      <c r="G756" s="2">
        <v>5.3106</v>
      </c>
      <c r="H756" s="2">
        <v>5.6112000000000002</v>
      </c>
      <c r="I756" s="2">
        <v>6.0119999999999996</v>
      </c>
      <c r="J756" s="2">
        <v>6.4127999999999998</v>
      </c>
      <c r="K756" s="2">
        <v>6.8136000000000001</v>
      </c>
      <c r="L756" s="2">
        <v>7.2144000000000004</v>
      </c>
      <c r="M756" s="2">
        <v>7.6151999999999997</v>
      </c>
      <c r="N756" s="2">
        <v>8.016</v>
      </c>
      <c r="O756" s="2">
        <v>8.5169999999999995</v>
      </c>
      <c r="P756" s="2">
        <v>9.0180000000000007</v>
      </c>
      <c r="Q756" s="2">
        <v>9.5190000000000001</v>
      </c>
      <c r="R756" t="s">
        <v>0</v>
      </c>
      <c r="S756" t="s">
        <v>127</v>
      </c>
    </row>
    <row r="757" spans="2:19" x14ac:dyDescent="0.25">
      <c r="B757" t="s">
        <v>287</v>
      </c>
      <c r="C757" s="2">
        <v>3.8899999999999997E-2</v>
      </c>
      <c r="D757" s="2">
        <v>4.1799999999999997E-2</v>
      </c>
      <c r="E757" s="2">
        <v>4.4699999999999997E-2</v>
      </c>
      <c r="F757" s="2">
        <v>4.8599999999999997E-2</v>
      </c>
      <c r="G757" s="2">
        <v>5.1499999999999997E-2</v>
      </c>
      <c r="H757" s="2">
        <v>5.4399999999999997E-2</v>
      </c>
      <c r="I757" s="2">
        <v>5.8299999999999998E-2</v>
      </c>
      <c r="J757" s="2">
        <v>6.2199999999999998E-2</v>
      </c>
      <c r="K757" s="2">
        <v>6.6100000000000006E-2</v>
      </c>
      <c r="L757" s="2">
        <v>7.0000000000000007E-2</v>
      </c>
      <c r="M757" s="2">
        <v>7.3899999999999993E-2</v>
      </c>
      <c r="N757" s="2">
        <v>7.7799999999999994E-2</v>
      </c>
      <c r="O757" s="2">
        <v>8.2600000000000007E-2</v>
      </c>
      <c r="P757" s="2">
        <v>8.7499999999999994E-2</v>
      </c>
      <c r="Q757" s="2">
        <v>9.2299999999999993E-2</v>
      </c>
      <c r="R757" t="s">
        <v>0</v>
      </c>
      <c r="S757" t="s">
        <v>127</v>
      </c>
    </row>
    <row r="758" spans="2:19" x14ac:dyDescent="0.25">
      <c r="B758" t="s">
        <v>288</v>
      </c>
      <c r="C758" s="2">
        <v>7.3000000000000001E-3</v>
      </c>
      <c r="D758" s="2">
        <v>7.7999999999999996E-3</v>
      </c>
      <c r="E758" s="2">
        <v>8.3999999999999995E-3</v>
      </c>
      <c r="F758" s="2">
        <v>9.1000000000000004E-3</v>
      </c>
      <c r="G758" s="2">
        <v>9.5999999999999992E-3</v>
      </c>
      <c r="H758" s="2">
        <v>1.0200000000000001E-2</v>
      </c>
      <c r="I758" s="2">
        <v>1.09E-2</v>
      </c>
      <c r="J758" s="2">
        <v>1.1599999999999999E-2</v>
      </c>
      <c r="K758" s="2">
        <v>1.23E-2</v>
      </c>
      <c r="L758" s="2">
        <v>1.3100000000000001E-2</v>
      </c>
      <c r="M758" s="2">
        <v>1.38E-2</v>
      </c>
      <c r="N758" s="2">
        <v>1.4500000000000001E-2</v>
      </c>
      <c r="O758" s="2">
        <v>1.54E-2</v>
      </c>
      <c r="P758" s="2">
        <v>1.6299999999999999E-2</v>
      </c>
      <c r="Q758" s="2">
        <v>1.72E-2</v>
      </c>
      <c r="R758" t="s">
        <v>0</v>
      </c>
      <c r="S758" t="s">
        <v>127</v>
      </c>
    </row>
    <row r="759" spans="2:19" x14ac:dyDescent="0.25">
      <c r="B759" s="21" t="s">
        <v>289</v>
      </c>
      <c r="C759" s="2">
        <v>0.44740000000000002</v>
      </c>
      <c r="D759" s="2">
        <v>0.47789999999999999</v>
      </c>
      <c r="E759" s="2">
        <v>0.50839999999999996</v>
      </c>
      <c r="F759" s="2">
        <v>0.54910000000000003</v>
      </c>
      <c r="G759" s="2">
        <v>0.5796</v>
      </c>
      <c r="H759" s="2">
        <v>0.61509999999999998</v>
      </c>
      <c r="I759" s="2">
        <v>0.66090000000000004</v>
      </c>
      <c r="J759" s="2">
        <v>0.70660000000000001</v>
      </c>
      <c r="K759" s="2">
        <v>0.75239999999999996</v>
      </c>
      <c r="L759" s="2">
        <v>0.79820000000000002</v>
      </c>
      <c r="M759" s="2">
        <v>0.84389999999999998</v>
      </c>
      <c r="N759" s="2">
        <v>0.88970000000000005</v>
      </c>
      <c r="O759" s="2">
        <v>0.93540000000000001</v>
      </c>
      <c r="P759" s="2">
        <v>0.98119999999999996</v>
      </c>
      <c r="Q759" s="2">
        <v>1.0268999999999999</v>
      </c>
      <c r="R759" t="s">
        <v>0</v>
      </c>
      <c r="S759" t="s">
        <v>127</v>
      </c>
    </row>
    <row r="760" spans="2:19" x14ac:dyDescent="0.25">
      <c r="B760" s="21" t="s">
        <v>290</v>
      </c>
      <c r="C760" s="2">
        <v>0.43959999999999999</v>
      </c>
      <c r="D760" s="2">
        <v>0.46949999999999997</v>
      </c>
      <c r="E760" s="2">
        <v>0.4995</v>
      </c>
      <c r="F760" s="2">
        <v>0.53949999999999998</v>
      </c>
      <c r="G760" s="2">
        <v>0.56940000000000002</v>
      </c>
      <c r="H760" s="2">
        <v>0.60440000000000005</v>
      </c>
      <c r="I760" s="2">
        <v>0.64939999999999998</v>
      </c>
      <c r="J760" s="2">
        <v>0.69430000000000003</v>
      </c>
      <c r="K760" s="2">
        <v>0.73929999999999996</v>
      </c>
      <c r="L760" s="2">
        <v>0.78420000000000001</v>
      </c>
      <c r="M760" s="2">
        <v>0.82920000000000005</v>
      </c>
      <c r="N760" s="2">
        <v>0.87409999999999999</v>
      </c>
      <c r="O760" s="2">
        <v>0.91910000000000003</v>
      </c>
      <c r="P760" s="2">
        <v>0.96399999999999997</v>
      </c>
      <c r="Q760" s="2">
        <v>1.0089999999999999</v>
      </c>
      <c r="R760" t="s">
        <v>0</v>
      </c>
      <c r="S760" t="s">
        <v>127</v>
      </c>
    </row>
    <row r="761" spans="2:19" x14ac:dyDescent="0.25">
      <c r="B761" s="21" t="s">
        <v>291</v>
      </c>
      <c r="C761" s="2">
        <v>0.53820000000000001</v>
      </c>
      <c r="D761" s="2">
        <v>0.57489999999999997</v>
      </c>
      <c r="E761" s="2">
        <v>0.61160000000000003</v>
      </c>
      <c r="F761" s="2">
        <v>0.66049999999999998</v>
      </c>
      <c r="G761" s="2">
        <v>0.69720000000000004</v>
      </c>
      <c r="H761" s="2">
        <v>0.74</v>
      </c>
      <c r="I761" s="2">
        <v>0.79510000000000003</v>
      </c>
      <c r="J761" s="2">
        <v>0.85009999999999997</v>
      </c>
      <c r="K761" s="2">
        <v>0.9052</v>
      </c>
      <c r="L761" s="2">
        <v>0.96020000000000005</v>
      </c>
      <c r="M761" s="2">
        <v>1.0153000000000001</v>
      </c>
      <c r="N761" s="2">
        <v>1.0703</v>
      </c>
      <c r="O761" s="2">
        <v>1.1254</v>
      </c>
      <c r="P761" s="2">
        <v>1.1803999999999999</v>
      </c>
      <c r="Q761" s="2">
        <v>1.2355</v>
      </c>
      <c r="R761" t="s">
        <v>0</v>
      </c>
      <c r="S761" t="s">
        <v>127</v>
      </c>
    </row>
    <row r="762" spans="2:19" x14ac:dyDescent="0.25">
      <c r="B762" s="21" t="s">
        <v>299</v>
      </c>
      <c r="C762" s="2">
        <v>0.30890000000000001</v>
      </c>
      <c r="D762" s="2">
        <v>0.32990000000000003</v>
      </c>
      <c r="E762" s="2">
        <v>0.35099999999999998</v>
      </c>
      <c r="F762" s="2">
        <v>0.37909999999999999</v>
      </c>
      <c r="G762" s="2">
        <v>0.40010000000000001</v>
      </c>
      <c r="H762" s="2">
        <v>0.42470000000000002</v>
      </c>
      <c r="I762" s="2">
        <v>0.45629999999999998</v>
      </c>
      <c r="J762" s="2">
        <v>0.4879</v>
      </c>
      <c r="K762" s="2">
        <v>0.51949999999999996</v>
      </c>
      <c r="L762" s="2">
        <v>0.55110000000000003</v>
      </c>
      <c r="M762" s="2">
        <v>0.5827</v>
      </c>
      <c r="N762" s="2">
        <v>0.61429999999999996</v>
      </c>
      <c r="O762" s="2">
        <v>0.64580000000000004</v>
      </c>
      <c r="P762" s="2">
        <v>0.6774</v>
      </c>
      <c r="Q762" s="2">
        <v>0.70899999999999996</v>
      </c>
      <c r="R762" t="s">
        <v>0</v>
      </c>
      <c r="S762" t="s">
        <v>127</v>
      </c>
    </row>
    <row r="763" spans="2:19" x14ac:dyDescent="0.25">
      <c r="B763" s="21" t="s">
        <v>298</v>
      </c>
      <c r="C763" s="2">
        <v>0.30980000000000002</v>
      </c>
      <c r="D763" s="2">
        <v>0.33090000000000003</v>
      </c>
      <c r="E763" s="2">
        <v>0.35199999999999998</v>
      </c>
      <c r="F763" s="2">
        <v>0.38019999999999998</v>
      </c>
      <c r="G763" s="2">
        <v>0.40129999999999999</v>
      </c>
      <c r="H763" s="2">
        <v>0.4259</v>
      </c>
      <c r="I763" s="2">
        <v>0.45760000000000001</v>
      </c>
      <c r="J763" s="2">
        <v>0.48930000000000001</v>
      </c>
      <c r="K763" s="2">
        <v>0.52100000000000002</v>
      </c>
      <c r="L763" s="2">
        <v>0.55259999999999998</v>
      </c>
      <c r="M763" s="2">
        <v>0.58430000000000004</v>
      </c>
      <c r="N763" s="2">
        <v>0.61599999999999999</v>
      </c>
      <c r="O763" s="2">
        <v>0.64770000000000005</v>
      </c>
      <c r="P763" s="2">
        <v>0.6794</v>
      </c>
      <c r="Q763" s="2">
        <v>0.71099999999999997</v>
      </c>
      <c r="R763" t="s">
        <v>0</v>
      </c>
      <c r="S763" t="s">
        <v>127</v>
      </c>
    </row>
    <row r="764" spans="2:19" x14ac:dyDescent="0.25">
      <c r="B764" s="21" t="s">
        <v>292</v>
      </c>
      <c r="C764" s="2">
        <v>0.73939999999999995</v>
      </c>
      <c r="D764" s="2">
        <v>0.78990000000000005</v>
      </c>
      <c r="E764" s="2">
        <v>0.84030000000000005</v>
      </c>
      <c r="F764" s="2">
        <v>0.90749999999999997</v>
      </c>
      <c r="G764" s="2">
        <v>0.95789999999999997</v>
      </c>
      <c r="H764" s="2">
        <v>1.0166999999999999</v>
      </c>
      <c r="I764" s="2">
        <v>1.0924</v>
      </c>
      <c r="J764" s="2">
        <v>1.1679999999999999</v>
      </c>
      <c r="K764" s="2">
        <v>1.2436</v>
      </c>
      <c r="L764" s="2">
        <v>1.3191999999999999</v>
      </c>
      <c r="M764" s="2">
        <v>1.3948</v>
      </c>
      <c r="N764" s="2">
        <v>1.4704999999999999</v>
      </c>
      <c r="O764" s="2">
        <v>1.5461</v>
      </c>
      <c r="P764" s="2">
        <v>1.6216999999999999</v>
      </c>
      <c r="Q764" s="2">
        <v>1.6973</v>
      </c>
      <c r="R764" t="s">
        <v>0</v>
      </c>
      <c r="S764" t="s">
        <v>127</v>
      </c>
    </row>
    <row r="765" spans="2:19" x14ac:dyDescent="0.25">
      <c r="B765" s="21" t="s">
        <v>296</v>
      </c>
      <c r="C765" s="2">
        <v>0.61599999999999999</v>
      </c>
      <c r="D765" s="2">
        <v>0.65800000000000003</v>
      </c>
      <c r="E765" s="2">
        <v>0.7</v>
      </c>
      <c r="F765" s="2">
        <v>0.75600000000000001</v>
      </c>
      <c r="G765" s="2">
        <v>0.79800000000000004</v>
      </c>
      <c r="H765" s="2">
        <v>0.84699999999999998</v>
      </c>
      <c r="I765" s="2">
        <v>0.91</v>
      </c>
      <c r="J765" s="2">
        <v>0.97299999999999998</v>
      </c>
      <c r="K765" s="2">
        <v>1.036</v>
      </c>
      <c r="L765" s="2">
        <v>1.099</v>
      </c>
      <c r="M765" s="2">
        <v>1.1619999999999999</v>
      </c>
      <c r="N765" s="2">
        <v>1.2250000000000001</v>
      </c>
      <c r="O765" s="2">
        <v>1.288</v>
      </c>
      <c r="P765" s="2">
        <v>1.351</v>
      </c>
      <c r="Q765" s="2">
        <v>1.4139999999999999</v>
      </c>
      <c r="R765" t="s">
        <v>0</v>
      </c>
      <c r="S765" t="s">
        <v>127</v>
      </c>
    </row>
    <row r="766" spans="2:19" x14ac:dyDescent="0.25">
      <c r="B766" s="21" t="s">
        <v>297</v>
      </c>
      <c r="C766" s="2">
        <v>0.74360000000000004</v>
      </c>
      <c r="D766" s="2">
        <v>0.79430000000000001</v>
      </c>
      <c r="E766" s="2">
        <v>0.84499999999999997</v>
      </c>
      <c r="F766" s="2">
        <v>0.91259999999999997</v>
      </c>
      <c r="G766" s="2">
        <v>0.96330000000000005</v>
      </c>
      <c r="H766" s="2">
        <v>1.0225</v>
      </c>
      <c r="I766" s="2">
        <v>1.0985</v>
      </c>
      <c r="J766" s="2">
        <v>1.1746000000000001</v>
      </c>
      <c r="K766" s="2">
        <v>1.2505999999999999</v>
      </c>
      <c r="L766" s="2">
        <v>1.3267</v>
      </c>
      <c r="M766" s="2">
        <v>1.4027000000000001</v>
      </c>
      <c r="N766" s="2">
        <v>1.4787999999999999</v>
      </c>
      <c r="O766" s="2">
        <v>1.5548</v>
      </c>
      <c r="P766" s="2">
        <v>1.6309</v>
      </c>
      <c r="Q766" s="2">
        <v>1.7069000000000001</v>
      </c>
      <c r="R766" t="s">
        <v>0</v>
      </c>
      <c r="S766" t="s">
        <v>127</v>
      </c>
    </row>
    <row r="767" spans="2:19" x14ac:dyDescent="0.25">
      <c r="B767" s="21" t="s">
        <v>295</v>
      </c>
      <c r="C767" s="2">
        <v>0.63929999999999998</v>
      </c>
      <c r="D767" s="2">
        <v>0.69140000000000001</v>
      </c>
      <c r="E767" s="2">
        <v>0.74339999999999995</v>
      </c>
      <c r="F767" s="2">
        <v>0.81769999999999998</v>
      </c>
      <c r="G767" s="2">
        <v>0.86980000000000002</v>
      </c>
      <c r="H767" s="2">
        <v>0.92930000000000001</v>
      </c>
      <c r="I767" s="2">
        <v>1.0109999999999999</v>
      </c>
      <c r="J767" s="2">
        <v>1.0928</v>
      </c>
      <c r="K767" s="2">
        <v>1.1746000000000001</v>
      </c>
      <c r="L767" s="2">
        <v>1.2638</v>
      </c>
      <c r="M767" s="2">
        <v>1.353</v>
      </c>
      <c r="N767" s="2">
        <v>1.4421999999999999</v>
      </c>
      <c r="O767" s="2">
        <v>1.5314000000000001</v>
      </c>
      <c r="P767" s="2">
        <v>1.6206</v>
      </c>
      <c r="Q767" s="2">
        <v>1.7098</v>
      </c>
      <c r="R767" t="s">
        <v>0</v>
      </c>
      <c r="S767" t="s">
        <v>127</v>
      </c>
    </row>
    <row r="768" spans="2:19" x14ac:dyDescent="0.25">
      <c r="B768" s="21" t="s">
        <v>293</v>
      </c>
      <c r="C768" s="2">
        <v>1.2784</v>
      </c>
      <c r="D768" s="2">
        <v>1.3824000000000001</v>
      </c>
      <c r="E768" s="2">
        <v>1.4864999999999999</v>
      </c>
      <c r="F768" s="2">
        <v>1.6351</v>
      </c>
      <c r="G768" s="2">
        <v>1.7392000000000001</v>
      </c>
      <c r="H768" s="2">
        <v>1.8581000000000001</v>
      </c>
      <c r="I768" s="2">
        <v>2.0215999999999998</v>
      </c>
      <c r="J768" s="2">
        <v>2.1850999999999998</v>
      </c>
      <c r="K768" s="2">
        <v>2.3485999999999998</v>
      </c>
      <c r="L768" s="2">
        <v>2.5270000000000001</v>
      </c>
      <c r="M768" s="2">
        <v>2.7054</v>
      </c>
      <c r="N768" s="2">
        <v>2.8837999999999999</v>
      </c>
      <c r="O768" s="2">
        <v>3.0621999999999998</v>
      </c>
      <c r="P768" s="2">
        <v>3.2404999999999999</v>
      </c>
      <c r="Q768" s="2">
        <v>3.4188999999999998</v>
      </c>
      <c r="R768" t="s">
        <v>0</v>
      </c>
      <c r="S768" t="s">
        <v>127</v>
      </c>
    </row>
    <row r="769" spans="1:19" x14ac:dyDescent="0.25">
      <c r="B769" s="21" t="s">
        <v>294</v>
      </c>
      <c r="C769" s="2">
        <v>1.5968</v>
      </c>
      <c r="D769" s="2">
        <v>1.7266999999999999</v>
      </c>
      <c r="E769" s="2">
        <v>1.8567</v>
      </c>
      <c r="F769" s="2">
        <v>2.0424000000000002</v>
      </c>
      <c r="G769" s="2">
        <v>2.1722999999999999</v>
      </c>
      <c r="H769" s="2">
        <v>2.3209</v>
      </c>
      <c r="I769" s="2">
        <v>2.5251000000000001</v>
      </c>
      <c r="J769" s="2">
        <v>2.7292999999999998</v>
      </c>
      <c r="K769" s="2">
        <v>2.9336000000000002</v>
      </c>
      <c r="L769" s="2">
        <v>3.1564000000000001</v>
      </c>
      <c r="M769" s="2">
        <v>3.3792</v>
      </c>
      <c r="N769" s="2">
        <v>3.6019999999999999</v>
      </c>
      <c r="O769" s="2">
        <v>3.8248000000000002</v>
      </c>
      <c r="P769" s="2">
        <v>4.0476000000000001</v>
      </c>
      <c r="Q769" s="2">
        <v>4.2704000000000004</v>
      </c>
      <c r="R769" t="s">
        <v>0</v>
      </c>
      <c r="S769" t="s">
        <v>127</v>
      </c>
    </row>
    <row r="770" spans="1:19" x14ac:dyDescent="0.25">
      <c r="B770" s="3" t="s">
        <v>771</v>
      </c>
      <c r="C770" s="23"/>
      <c r="D770" s="23"/>
      <c r="E770" s="23"/>
      <c r="F770" s="23"/>
      <c r="G770" s="23"/>
      <c r="H770" s="23"/>
      <c r="I770" s="23"/>
      <c r="J770" s="23"/>
      <c r="K770" s="23"/>
      <c r="L770" s="23"/>
      <c r="M770" s="23"/>
      <c r="N770" s="23"/>
      <c r="O770" s="23"/>
      <c r="P770" s="23"/>
      <c r="Q770" s="23"/>
      <c r="R770" s="5" t="s">
        <v>771</v>
      </c>
      <c r="S770" t="s">
        <v>772</v>
      </c>
    </row>
    <row r="771" spans="1:19" x14ac:dyDescent="0.25">
      <c r="B771" s="3" t="s">
        <v>390</v>
      </c>
      <c r="C771" s="23"/>
      <c r="D771" s="23"/>
      <c r="E771" s="23"/>
      <c r="F771" s="23"/>
      <c r="G771" s="23"/>
      <c r="H771" s="23"/>
      <c r="I771" s="23"/>
      <c r="J771" s="23"/>
      <c r="K771" s="23"/>
      <c r="L771" s="23"/>
      <c r="M771" s="23"/>
      <c r="N771" s="23"/>
      <c r="O771" s="23"/>
      <c r="P771" s="23"/>
      <c r="Q771" s="23"/>
      <c r="R771" s="5" t="s">
        <v>396</v>
      </c>
      <c r="S771" t="s">
        <v>69</v>
      </c>
    </row>
    <row r="772" spans="1:19" x14ac:dyDescent="0.25">
      <c r="B772" s="3" t="s">
        <v>392</v>
      </c>
      <c r="C772" s="23"/>
      <c r="D772" s="23"/>
      <c r="E772" s="23"/>
      <c r="F772" s="23"/>
      <c r="G772" s="23"/>
      <c r="H772" s="23"/>
      <c r="I772" s="23"/>
      <c r="J772" s="23"/>
      <c r="K772" s="23"/>
      <c r="L772" s="23"/>
      <c r="M772" s="23"/>
      <c r="N772" s="23"/>
      <c r="O772" s="23"/>
      <c r="P772" s="23"/>
      <c r="Q772" s="23"/>
      <c r="R772" s="5" t="s">
        <v>396</v>
      </c>
      <c r="S772" t="s">
        <v>69</v>
      </c>
    </row>
    <row r="773" spans="1:19" x14ac:dyDescent="0.25">
      <c r="B773" s="3" t="s">
        <v>393</v>
      </c>
      <c r="C773" s="23"/>
      <c r="D773" s="23"/>
      <c r="E773" s="23"/>
      <c r="F773" s="23"/>
      <c r="G773" s="23"/>
      <c r="H773" s="23"/>
      <c r="I773" s="23"/>
      <c r="J773" s="23"/>
      <c r="K773" s="23"/>
      <c r="L773" s="23"/>
      <c r="M773" s="23"/>
      <c r="N773" s="23"/>
      <c r="O773" s="23"/>
      <c r="P773" s="23"/>
      <c r="Q773" s="23"/>
      <c r="R773" s="5" t="s">
        <v>396</v>
      </c>
      <c r="S773" t="s">
        <v>69</v>
      </c>
    </row>
    <row r="774" spans="1:19" x14ac:dyDescent="0.25">
      <c r="B774" s="3" t="s">
        <v>389</v>
      </c>
      <c r="C774" s="23"/>
      <c r="D774" s="23"/>
      <c r="E774" s="23"/>
      <c r="F774" s="23"/>
      <c r="G774" s="23"/>
      <c r="H774" s="23"/>
      <c r="I774" s="23"/>
      <c r="J774" s="23"/>
      <c r="K774" s="23"/>
      <c r="L774" s="23"/>
      <c r="M774" s="23"/>
      <c r="N774" s="23"/>
      <c r="O774" s="23"/>
      <c r="P774" s="23"/>
      <c r="Q774" s="23"/>
      <c r="R774" s="5" t="s">
        <v>396</v>
      </c>
      <c r="S774" t="s">
        <v>69</v>
      </c>
    </row>
    <row r="775" spans="1:19" x14ac:dyDescent="0.25">
      <c r="B775" s="3" t="s">
        <v>391</v>
      </c>
      <c r="C775" s="23"/>
      <c r="D775" s="23"/>
      <c r="E775" s="23"/>
      <c r="F775" s="23"/>
      <c r="G775" s="23"/>
      <c r="H775" s="23"/>
      <c r="I775" s="23"/>
      <c r="J775" s="23"/>
      <c r="K775" s="23"/>
      <c r="L775" s="23"/>
      <c r="M775" s="23"/>
      <c r="N775" s="23"/>
      <c r="O775" s="23"/>
      <c r="P775" s="23"/>
      <c r="Q775" s="23"/>
      <c r="R775" s="5" t="s">
        <v>396</v>
      </c>
      <c r="S775" t="s">
        <v>69</v>
      </c>
    </row>
    <row r="776" spans="1:19" x14ac:dyDescent="0.25">
      <c r="B776" s="3" t="s">
        <v>394</v>
      </c>
      <c r="C776" s="23"/>
      <c r="D776" s="23"/>
      <c r="E776" s="23"/>
      <c r="F776" s="23"/>
      <c r="G776" s="23"/>
      <c r="H776" s="23"/>
      <c r="I776" s="23"/>
      <c r="J776" s="23"/>
      <c r="K776" s="23"/>
      <c r="L776" s="23"/>
      <c r="M776" s="23"/>
      <c r="N776" s="23"/>
      <c r="O776" s="23"/>
      <c r="P776" s="23"/>
      <c r="Q776" s="23"/>
      <c r="R776" s="5" t="s">
        <v>396</v>
      </c>
      <c r="S776" t="s">
        <v>69</v>
      </c>
    </row>
    <row r="777" spans="1:19" x14ac:dyDescent="0.25">
      <c r="B777" s="3" t="s">
        <v>395</v>
      </c>
      <c r="C777" s="23"/>
      <c r="D777" s="23"/>
      <c r="E777" s="23"/>
      <c r="F777" s="23"/>
      <c r="G777" s="23"/>
      <c r="H777" s="23"/>
      <c r="I777" s="23"/>
      <c r="J777" s="23"/>
      <c r="K777" s="23"/>
      <c r="L777" s="23"/>
      <c r="M777" s="23"/>
      <c r="N777" s="23"/>
      <c r="O777" s="23"/>
      <c r="P777" s="23"/>
      <c r="Q777" s="23"/>
      <c r="R777" s="5" t="s">
        <v>396</v>
      </c>
      <c r="S777" t="s">
        <v>69</v>
      </c>
    </row>
    <row r="778" spans="1:19" x14ac:dyDescent="0.25">
      <c r="A778" t="s">
        <v>888</v>
      </c>
      <c r="B778" s="3" t="s">
        <v>397</v>
      </c>
      <c r="C778" s="23"/>
      <c r="D778" s="23"/>
      <c r="E778" s="23"/>
      <c r="F778" s="23"/>
      <c r="G778" s="23"/>
      <c r="H778" s="23"/>
      <c r="I778" s="23"/>
      <c r="J778" s="23"/>
      <c r="K778" s="23"/>
      <c r="L778" s="23"/>
      <c r="M778" s="23"/>
      <c r="N778" s="23"/>
      <c r="O778" s="23"/>
      <c r="P778" s="23"/>
      <c r="Q778" s="23"/>
      <c r="R778" s="5" t="s">
        <v>396</v>
      </c>
      <c r="S778" t="s">
        <v>69</v>
      </c>
    </row>
    <row r="779" spans="1:19" x14ac:dyDescent="0.25">
      <c r="B779" s="21" t="s">
        <v>300</v>
      </c>
      <c r="C779" s="21">
        <v>1</v>
      </c>
      <c r="D779" s="21">
        <v>2</v>
      </c>
      <c r="E779" s="21">
        <v>3</v>
      </c>
      <c r="F779" s="21">
        <v>4</v>
      </c>
      <c r="G779" s="21">
        <v>5</v>
      </c>
      <c r="H779" s="21">
        <v>6</v>
      </c>
      <c r="I779" s="21">
        <v>7</v>
      </c>
      <c r="J779" s="21">
        <v>8</v>
      </c>
      <c r="K779" s="21">
        <v>9</v>
      </c>
      <c r="L779" s="21">
        <v>10</v>
      </c>
      <c r="M779" s="21">
        <v>11</v>
      </c>
      <c r="N779" s="21">
        <v>12</v>
      </c>
      <c r="O779" s="21">
        <v>13</v>
      </c>
      <c r="P779" s="21">
        <v>14</v>
      </c>
      <c r="Q779" s="21">
        <v>15</v>
      </c>
      <c r="R779" s="5" t="s">
        <v>11</v>
      </c>
      <c r="S779" t="s">
        <v>126</v>
      </c>
    </row>
    <row r="780" spans="1:19" x14ac:dyDescent="0.25">
      <c r="A780" t="s">
        <v>889</v>
      </c>
      <c r="B780" t="s">
        <v>10</v>
      </c>
      <c r="C780" s="2">
        <v>0.52459999999999996</v>
      </c>
      <c r="D780" s="2">
        <v>0.56730000000000003</v>
      </c>
      <c r="E780" s="2">
        <v>0.61</v>
      </c>
      <c r="F780" s="2">
        <v>0.67100000000000004</v>
      </c>
      <c r="G780" s="2">
        <v>0.7137</v>
      </c>
      <c r="H780" s="2">
        <v>0.76249999999999996</v>
      </c>
      <c r="I780" s="2">
        <v>0.8296</v>
      </c>
      <c r="J780" s="2">
        <v>0.89670000000000005</v>
      </c>
      <c r="K780" s="2">
        <v>0.96379999999999999</v>
      </c>
      <c r="L780" s="2">
        <v>1.0369999999999999</v>
      </c>
      <c r="M780" s="2">
        <v>1.1102000000000001</v>
      </c>
      <c r="N780" s="2">
        <v>1.1834</v>
      </c>
      <c r="O780" s="2">
        <v>1.2565999999999999</v>
      </c>
      <c r="P780" s="2">
        <v>1.3298000000000001</v>
      </c>
      <c r="Q780" s="2">
        <v>1.403</v>
      </c>
      <c r="R780" t="s">
        <v>6</v>
      </c>
      <c r="S780" t="s">
        <v>127</v>
      </c>
    </row>
    <row r="781" spans="1:19" x14ac:dyDescent="0.25">
      <c r="B781" t="s">
        <v>9</v>
      </c>
      <c r="C781" s="2">
        <v>0.51600000000000001</v>
      </c>
      <c r="D781" s="2">
        <v>0.55800000000000005</v>
      </c>
      <c r="E781" s="2">
        <v>0.6</v>
      </c>
      <c r="F781" s="2">
        <v>0.66</v>
      </c>
      <c r="G781" s="2">
        <v>0.70199999999999996</v>
      </c>
      <c r="H781" s="2">
        <v>0.75</v>
      </c>
      <c r="I781" s="2">
        <v>0.81599999999999995</v>
      </c>
      <c r="J781" s="2">
        <v>0.88200000000000001</v>
      </c>
      <c r="K781" s="2">
        <v>0.94799999999999995</v>
      </c>
      <c r="L781" s="2">
        <v>1.02</v>
      </c>
      <c r="M781" s="2">
        <v>1.0920000000000001</v>
      </c>
      <c r="N781" s="2">
        <v>1.1639999999999999</v>
      </c>
      <c r="O781" s="2">
        <v>1.236</v>
      </c>
      <c r="P781" s="2">
        <v>1.3080000000000001</v>
      </c>
      <c r="Q781" s="2">
        <v>1.38</v>
      </c>
      <c r="R781" t="s">
        <v>6</v>
      </c>
      <c r="S781" t="s">
        <v>127</v>
      </c>
    </row>
    <row r="782" spans="1:19" x14ac:dyDescent="0.25">
      <c r="B782" t="s">
        <v>278</v>
      </c>
      <c r="C782" s="2">
        <v>0.31819999999999998</v>
      </c>
      <c r="D782" s="2">
        <v>0.34410000000000002</v>
      </c>
      <c r="E782" s="2">
        <v>0.37</v>
      </c>
      <c r="F782" s="2">
        <v>0.40699999999999997</v>
      </c>
      <c r="G782" s="2">
        <v>0.43290000000000001</v>
      </c>
      <c r="H782" s="2">
        <v>0.46250000000000002</v>
      </c>
      <c r="I782" s="2">
        <v>0.50319999999999998</v>
      </c>
      <c r="J782" s="2">
        <v>0.54390000000000005</v>
      </c>
      <c r="K782" s="2">
        <v>0.58460000000000001</v>
      </c>
      <c r="L782" s="2">
        <v>0.629</v>
      </c>
      <c r="M782" s="2">
        <v>0.6734</v>
      </c>
      <c r="N782" s="2">
        <v>0.71779999999999999</v>
      </c>
      <c r="O782" s="2">
        <v>0.76219999999999999</v>
      </c>
      <c r="P782" s="2">
        <v>0.80659999999999998</v>
      </c>
      <c r="Q782" s="2">
        <v>0.85099999999999998</v>
      </c>
      <c r="R782" t="s">
        <v>6</v>
      </c>
      <c r="S782" t="s">
        <v>127</v>
      </c>
    </row>
    <row r="783" spans="1:19" x14ac:dyDescent="0.25">
      <c r="B783" t="s">
        <v>13</v>
      </c>
      <c r="C783" s="2">
        <v>0.6966</v>
      </c>
      <c r="D783" s="2">
        <v>0.75329999999999997</v>
      </c>
      <c r="E783" s="2">
        <v>0.81</v>
      </c>
      <c r="F783" s="2">
        <v>0.89100000000000001</v>
      </c>
      <c r="G783" s="2">
        <v>0.94769999999999999</v>
      </c>
      <c r="H783" s="2">
        <v>1.0125</v>
      </c>
      <c r="I783" s="2">
        <v>1.1015999999999999</v>
      </c>
      <c r="J783" s="2">
        <v>1.1907000000000001</v>
      </c>
      <c r="K783" s="2">
        <v>1.2798</v>
      </c>
      <c r="L783" s="2">
        <v>1.377</v>
      </c>
      <c r="M783" s="2">
        <v>1.4742</v>
      </c>
      <c r="N783" s="2">
        <v>1.5713999999999999</v>
      </c>
      <c r="O783" s="2">
        <v>1.6686000000000001</v>
      </c>
      <c r="P783" s="2">
        <v>1.7658</v>
      </c>
      <c r="Q783" s="2">
        <v>1.863</v>
      </c>
      <c r="R783" t="s">
        <v>6</v>
      </c>
      <c r="S783" t="s">
        <v>127</v>
      </c>
    </row>
    <row r="784" spans="1:19" x14ac:dyDescent="0.25">
      <c r="B784" t="s">
        <v>195</v>
      </c>
      <c r="C784" s="2">
        <v>0.41620000000000001</v>
      </c>
      <c r="D784" s="2">
        <v>0.4501</v>
      </c>
      <c r="E784" s="2">
        <v>0.48399999999999999</v>
      </c>
      <c r="F784" s="2">
        <v>0.53239999999999998</v>
      </c>
      <c r="G784" s="2">
        <v>0.56630000000000003</v>
      </c>
      <c r="H784" s="2">
        <v>0.60499999999999998</v>
      </c>
      <c r="I784" s="2">
        <v>0.65820000000000001</v>
      </c>
      <c r="J784" s="2">
        <v>0.71150000000000002</v>
      </c>
      <c r="K784" s="2">
        <v>0.76470000000000005</v>
      </c>
      <c r="L784" s="2">
        <v>0.82279999999999998</v>
      </c>
      <c r="M784" s="2">
        <v>0.88090000000000002</v>
      </c>
      <c r="N784" s="2">
        <v>0.93899999999999995</v>
      </c>
      <c r="O784" s="2">
        <v>0.997</v>
      </c>
      <c r="P784" s="2">
        <v>1.0550999999999999</v>
      </c>
      <c r="Q784" s="2">
        <v>1.1132</v>
      </c>
      <c r="R784" t="s">
        <v>6</v>
      </c>
      <c r="S784" t="s">
        <v>127</v>
      </c>
    </row>
    <row r="785" spans="2:19" x14ac:dyDescent="0.25">
      <c r="B785" t="s">
        <v>196</v>
      </c>
      <c r="C785" s="2">
        <v>0.43</v>
      </c>
      <c r="D785" s="2">
        <v>0.46500000000000002</v>
      </c>
      <c r="E785" s="2">
        <v>0.5</v>
      </c>
      <c r="F785" s="2">
        <v>0.55000000000000004</v>
      </c>
      <c r="G785" s="2">
        <v>0.58499999999999996</v>
      </c>
      <c r="H785" s="2">
        <v>0.625</v>
      </c>
      <c r="I785" s="2">
        <v>0.68</v>
      </c>
      <c r="J785" s="2">
        <v>0.73499999999999999</v>
      </c>
      <c r="K785" s="2">
        <v>0.79</v>
      </c>
      <c r="L785" s="2">
        <v>0.85</v>
      </c>
      <c r="M785" s="2">
        <v>0.91</v>
      </c>
      <c r="N785" s="2">
        <v>0.97</v>
      </c>
      <c r="O785" s="2">
        <v>1.03</v>
      </c>
      <c r="P785" s="2">
        <v>1.0900000000000001</v>
      </c>
      <c r="Q785" s="2">
        <v>1.1499999999999999</v>
      </c>
      <c r="R785" t="s">
        <v>6</v>
      </c>
      <c r="S785" t="s">
        <v>127</v>
      </c>
    </row>
    <row r="786" spans="2:19" x14ac:dyDescent="0.25">
      <c r="B786" t="s">
        <v>14</v>
      </c>
      <c r="C786" s="2">
        <v>1.3673999999999999</v>
      </c>
      <c r="D786" s="2">
        <v>1.4786999999999999</v>
      </c>
      <c r="E786" s="2">
        <v>1.59</v>
      </c>
      <c r="F786" s="2">
        <v>1.7490000000000001</v>
      </c>
      <c r="G786" s="2">
        <v>1.8603000000000001</v>
      </c>
      <c r="H786" s="2">
        <v>1.9875</v>
      </c>
      <c r="I786" s="2">
        <v>2.1623999999999999</v>
      </c>
      <c r="J786" s="2">
        <v>2.3372999999999999</v>
      </c>
      <c r="K786" s="2">
        <v>2.5122</v>
      </c>
      <c r="L786" s="2">
        <v>2.7029999999999998</v>
      </c>
      <c r="M786" s="2">
        <v>2.8938000000000001</v>
      </c>
      <c r="N786" s="2">
        <v>3.0846</v>
      </c>
      <c r="O786" s="2">
        <v>3.2753999999999999</v>
      </c>
      <c r="P786" s="2">
        <v>3.4662000000000002</v>
      </c>
      <c r="Q786" s="2">
        <v>3.657</v>
      </c>
      <c r="R786" t="s">
        <v>5</v>
      </c>
      <c r="S786" t="s">
        <v>127</v>
      </c>
    </row>
    <row r="787" spans="2:19" x14ac:dyDescent="0.25">
      <c r="B787" t="s">
        <v>155</v>
      </c>
      <c r="C787" s="2">
        <v>0.63929999999999998</v>
      </c>
      <c r="D787" s="2">
        <v>0.69140000000000001</v>
      </c>
      <c r="E787" s="2">
        <v>0.74339999999999995</v>
      </c>
      <c r="F787" s="2">
        <v>0.81769999999999998</v>
      </c>
      <c r="G787" s="2">
        <v>0.86980000000000002</v>
      </c>
      <c r="H787" s="2">
        <v>0.92930000000000001</v>
      </c>
      <c r="I787" s="2">
        <v>1.0109999999999999</v>
      </c>
      <c r="J787" s="2">
        <v>1.0928</v>
      </c>
      <c r="K787" s="2">
        <v>1.1746000000000001</v>
      </c>
      <c r="L787" s="2">
        <v>1.2638</v>
      </c>
      <c r="M787" s="2">
        <v>1.353</v>
      </c>
      <c r="N787" s="2">
        <v>1.4421999999999999</v>
      </c>
      <c r="O787" s="2">
        <v>1.5314000000000001</v>
      </c>
      <c r="P787" s="2">
        <v>1.6206</v>
      </c>
      <c r="Q787" s="2">
        <v>1.7098</v>
      </c>
      <c r="R787" t="s">
        <v>3</v>
      </c>
      <c r="S787" t="s">
        <v>127</v>
      </c>
    </row>
    <row r="788" spans="2:19" x14ac:dyDescent="0.25">
      <c r="B788" t="s">
        <v>135</v>
      </c>
      <c r="C788" s="2">
        <v>1.2784</v>
      </c>
      <c r="D788" s="2">
        <v>1.3824000000000001</v>
      </c>
      <c r="E788" s="2">
        <v>1.4864999999999999</v>
      </c>
      <c r="F788" s="2">
        <v>1.6351</v>
      </c>
      <c r="G788" s="2">
        <v>1.7392000000000001</v>
      </c>
      <c r="H788" s="2">
        <v>1.8581000000000001</v>
      </c>
      <c r="I788" s="2">
        <v>2.0215999999999998</v>
      </c>
      <c r="J788" s="2">
        <v>2.1850999999999998</v>
      </c>
      <c r="K788" s="2">
        <v>2.3485999999999998</v>
      </c>
      <c r="L788" s="2">
        <v>2.5270000000000001</v>
      </c>
      <c r="M788" s="2">
        <v>2.7054</v>
      </c>
      <c r="N788" s="2">
        <v>2.8837999999999999</v>
      </c>
      <c r="O788" s="2">
        <v>3.0621999999999998</v>
      </c>
      <c r="P788" s="2">
        <v>3.2404999999999999</v>
      </c>
      <c r="Q788" s="2">
        <v>3.4188999999999998</v>
      </c>
      <c r="R788" t="s">
        <v>3</v>
      </c>
      <c r="S788" t="s">
        <v>127</v>
      </c>
    </row>
    <row r="789" spans="2:19" x14ac:dyDescent="0.25">
      <c r="B789" t="s">
        <v>136</v>
      </c>
      <c r="C789" s="2">
        <v>1.5968</v>
      </c>
      <c r="D789" s="2">
        <v>1.7266999999999999</v>
      </c>
      <c r="E789" s="2">
        <v>1.8567</v>
      </c>
      <c r="F789" s="2">
        <v>2.0424000000000002</v>
      </c>
      <c r="G789" s="2">
        <v>2.1722999999999999</v>
      </c>
      <c r="H789" s="2">
        <v>2.3209</v>
      </c>
      <c r="I789" s="2">
        <v>2.5251000000000001</v>
      </c>
      <c r="J789" s="2">
        <v>2.7292999999999998</v>
      </c>
      <c r="K789" s="2">
        <v>2.9336000000000002</v>
      </c>
      <c r="L789" s="2">
        <v>3.1564000000000001</v>
      </c>
      <c r="M789" s="2">
        <v>3.3792</v>
      </c>
      <c r="N789" s="2">
        <v>3.6019999999999999</v>
      </c>
      <c r="O789" s="2">
        <v>3.8248000000000002</v>
      </c>
      <c r="P789" s="2">
        <v>4.0476000000000001</v>
      </c>
      <c r="Q789" s="2">
        <v>4.2704000000000004</v>
      </c>
      <c r="R789" t="s">
        <v>3</v>
      </c>
      <c r="S789" t="s">
        <v>127</v>
      </c>
    </row>
    <row r="790" spans="2:19" x14ac:dyDescent="0.25">
      <c r="B790" t="s">
        <v>301</v>
      </c>
      <c r="C790" s="2">
        <v>0.58399999999999996</v>
      </c>
      <c r="D790" s="2">
        <v>0.62780000000000002</v>
      </c>
      <c r="E790" s="2">
        <v>0.67159999999999997</v>
      </c>
      <c r="F790" s="2">
        <v>0.73</v>
      </c>
      <c r="G790" s="2">
        <v>0.77380000000000004</v>
      </c>
      <c r="H790" s="2">
        <v>0.81759999999999999</v>
      </c>
      <c r="I790" s="2">
        <v>0.876</v>
      </c>
      <c r="J790" s="2">
        <v>0.93440000000000001</v>
      </c>
      <c r="K790" s="2">
        <v>0.99280000000000002</v>
      </c>
      <c r="L790" s="2">
        <v>1.0511999999999999</v>
      </c>
      <c r="M790" s="2">
        <v>1.1095999999999999</v>
      </c>
      <c r="N790" s="2">
        <v>1.1679999999999999</v>
      </c>
      <c r="O790" s="2">
        <v>1.2410000000000001</v>
      </c>
      <c r="P790" s="2">
        <v>1.3140000000000001</v>
      </c>
      <c r="Q790" s="2">
        <v>1.387</v>
      </c>
      <c r="R790" t="s">
        <v>19</v>
      </c>
      <c r="S790" t="s">
        <v>127</v>
      </c>
    </row>
    <row r="791" spans="2:19" x14ac:dyDescent="0.25">
      <c r="B791" t="s">
        <v>302</v>
      </c>
      <c r="C791" s="2">
        <v>1.36</v>
      </c>
      <c r="D791" s="2">
        <v>1.462</v>
      </c>
      <c r="E791" s="2">
        <v>1.5640000000000001</v>
      </c>
      <c r="F791" s="2">
        <v>1.7</v>
      </c>
      <c r="G791" s="2">
        <v>1.802</v>
      </c>
      <c r="H791" s="2">
        <v>1.9039999999999999</v>
      </c>
      <c r="I791" s="2">
        <v>2.04</v>
      </c>
      <c r="J791" s="2">
        <v>2.1760000000000002</v>
      </c>
      <c r="K791" s="2">
        <v>2.3119999999999998</v>
      </c>
      <c r="L791" s="2">
        <v>2.448</v>
      </c>
      <c r="M791" s="2">
        <v>2.5840000000000001</v>
      </c>
      <c r="N791" s="2">
        <v>2.72</v>
      </c>
      <c r="O791" s="2">
        <v>2.89</v>
      </c>
      <c r="P791" s="2">
        <v>3.06</v>
      </c>
      <c r="Q791" s="2">
        <v>3.23</v>
      </c>
      <c r="R791" t="s">
        <v>19</v>
      </c>
      <c r="S791" t="s">
        <v>127</v>
      </c>
    </row>
    <row r="792" spans="2:19" x14ac:dyDescent="0.25">
      <c r="B792" t="s">
        <v>303</v>
      </c>
      <c r="C792" s="2">
        <v>1.04</v>
      </c>
      <c r="D792" s="2">
        <v>1.1180000000000001</v>
      </c>
      <c r="E792" s="2">
        <v>1.196</v>
      </c>
      <c r="F792" s="2">
        <v>1.3</v>
      </c>
      <c r="G792" s="2">
        <v>1.3779999999999999</v>
      </c>
      <c r="H792" s="2">
        <v>1.456</v>
      </c>
      <c r="I792" s="2">
        <v>1.56</v>
      </c>
      <c r="J792" s="2">
        <v>1.6639999999999999</v>
      </c>
      <c r="K792" s="2">
        <v>1.768</v>
      </c>
      <c r="L792" s="2">
        <v>1.8720000000000001</v>
      </c>
      <c r="M792" s="2">
        <v>1.976</v>
      </c>
      <c r="N792" s="2">
        <v>2.08</v>
      </c>
      <c r="O792" s="2">
        <v>2.21</v>
      </c>
      <c r="P792" s="2">
        <v>2.34</v>
      </c>
      <c r="Q792" s="2">
        <v>2.4700000000000002</v>
      </c>
      <c r="R792" t="s">
        <v>0</v>
      </c>
      <c r="S792" t="s">
        <v>127</v>
      </c>
    </row>
    <row r="793" spans="2:19" x14ac:dyDescent="0.25">
      <c r="B793" t="s">
        <v>304</v>
      </c>
      <c r="C793" s="2">
        <v>1.52</v>
      </c>
      <c r="D793" s="2">
        <v>1.6339999999999999</v>
      </c>
      <c r="E793" s="2">
        <v>1.748</v>
      </c>
      <c r="F793" s="2">
        <v>1.9</v>
      </c>
      <c r="G793" s="2">
        <v>2.0139999999999998</v>
      </c>
      <c r="H793" s="2">
        <v>2.1280000000000001</v>
      </c>
      <c r="I793" s="2">
        <v>2.2799999999999998</v>
      </c>
      <c r="J793" s="2">
        <v>2.4319999999999999</v>
      </c>
      <c r="K793" s="2">
        <v>2.5840000000000001</v>
      </c>
      <c r="L793" s="2">
        <v>2.7360000000000002</v>
      </c>
      <c r="M793" s="2">
        <v>2.8879999999999999</v>
      </c>
      <c r="N793" s="2">
        <v>3.04</v>
      </c>
      <c r="O793" s="2">
        <v>3.23</v>
      </c>
      <c r="P793" s="2">
        <v>3.42</v>
      </c>
      <c r="Q793" s="2">
        <v>3.61</v>
      </c>
      <c r="R793" t="s">
        <v>0</v>
      </c>
      <c r="S793" t="s">
        <v>127</v>
      </c>
    </row>
    <row r="794" spans="2:19" x14ac:dyDescent="0.25">
      <c r="B794" t="s">
        <v>305</v>
      </c>
      <c r="C794" s="2">
        <v>1.32</v>
      </c>
      <c r="D794" s="2">
        <v>1.419</v>
      </c>
      <c r="E794" s="2">
        <v>1.518</v>
      </c>
      <c r="F794" s="2">
        <v>1.65</v>
      </c>
      <c r="G794" s="2">
        <v>1.7490000000000001</v>
      </c>
      <c r="H794" s="2">
        <v>1.8480000000000001</v>
      </c>
      <c r="I794" s="2">
        <v>1.98</v>
      </c>
      <c r="J794" s="2">
        <v>2.1120000000000001</v>
      </c>
      <c r="K794" s="2">
        <v>2.2440000000000002</v>
      </c>
      <c r="L794" s="2">
        <v>2.3759999999999999</v>
      </c>
      <c r="M794" s="2">
        <v>2.508</v>
      </c>
      <c r="N794" s="2">
        <v>2.64</v>
      </c>
      <c r="O794" s="2">
        <v>2.8050000000000002</v>
      </c>
      <c r="P794" s="2">
        <v>2.97</v>
      </c>
      <c r="Q794" s="2">
        <v>3.1349999999999998</v>
      </c>
      <c r="R794" t="s">
        <v>0</v>
      </c>
      <c r="S794" t="s">
        <v>127</v>
      </c>
    </row>
    <row r="795" spans="2:19" x14ac:dyDescent="0.25">
      <c r="B795" s="3" t="s">
        <v>771</v>
      </c>
      <c r="C795" s="23"/>
      <c r="D795" s="23"/>
      <c r="E795" s="23"/>
      <c r="F795" s="23"/>
      <c r="G795" s="23"/>
      <c r="H795" s="23"/>
      <c r="I795" s="23"/>
      <c r="J795" s="23"/>
      <c r="K795" s="23"/>
      <c r="L795" s="23"/>
      <c r="M795" s="23"/>
      <c r="N795" s="23"/>
      <c r="O795" s="23"/>
      <c r="P795" s="23"/>
      <c r="Q795" s="23"/>
      <c r="R795" s="5" t="s">
        <v>771</v>
      </c>
      <c r="S795" t="s">
        <v>772</v>
      </c>
    </row>
    <row r="796" spans="2:19" x14ac:dyDescent="0.25">
      <c r="B796" s="3" t="s">
        <v>390</v>
      </c>
      <c r="C796" s="23"/>
      <c r="D796" s="23"/>
      <c r="E796" s="23"/>
      <c r="F796" s="23"/>
      <c r="G796" s="23"/>
      <c r="H796" s="23"/>
      <c r="I796" s="23"/>
      <c r="J796" s="23"/>
      <c r="K796" s="23"/>
      <c r="L796" s="23"/>
      <c r="M796" s="23"/>
      <c r="N796" s="23"/>
      <c r="O796" s="23"/>
      <c r="P796" s="23"/>
      <c r="Q796" s="23"/>
      <c r="R796" s="5" t="s">
        <v>396</v>
      </c>
      <c r="S796" t="s">
        <v>69</v>
      </c>
    </row>
    <row r="797" spans="2:19" x14ac:dyDescent="0.25">
      <c r="B797" s="3" t="s">
        <v>392</v>
      </c>
      <c r="C797" s="23"/>
      <c r="D797" s="23"/>
      <c r="E797" s="23"/>
      <c r="F797" s="23"/>
      <c r="G797" s="23"/>
      <c r="H797" s="23"/>
      <c r="I797" s="23"/>
      <c r="J797" s="23"/>
      <c r="K797" s="23"/>
      <c r="L797" s="23"/>
      <c r="M797" s="23"/>
      <c r="N797" s="23"/>
      <c r="O797" s="23"/>
      <c r="P797" s="23"/>
      <c r="Q797" s="23"/>
      <c r="R797" s="5" t="s">
        <v>396</v>
      </c>
      <c r="S797" t="s">
        <v>69</v>
      </c>
    </row>
    <row r="798" spans="2:19" x14ac:dyDescent="0.25">
      <c r="B798" s="3" t="s">
        <v>393</v>
      </c>
      <c r="C798" s="23"/>
      <c r="D798" s="23"/>
      <c r="E798" s="23"/>
      <c r="F798" s="23"/>
      <c r="G798" s="23"/>
      <c r="H798" s="23"/>
      <c r="I798" s="23"/>
      <c r="J798" s="23"/>
      <c r="K798" s="23"/>
      <c r="L798" s="23"/>
      <c r="M798" s="23"/>
      <c r="N798" s="23"/>
      <c r="O798" s="23"/>
      <c r="P798" s="23"/>
      <c r="Q798" s="23"/>
      <c r="R798" s="5" t="s">
        <v>396</v>
      </c>
      <c r="S798" t="s">
        <v>69</v>
      </c>
    </row>
    <row r="799" spans="2:19" x14ac:dyDescent="0.25">
      <c r="B799" s="3" t="s">
        <v>389</v>
      </c>
      <c r="C799" s="23"/>
      <c r="D799" s="23"/>
      <c r="E799" s="23"/>
      <c r="F799" s="23"/>
      <c r="G799" s="23"/>
      <c r="H799" s="23"/>
      <c r="I799" s="23"/>
      <c r="J799" s="23"/>
      <c r="K799" s="23"/>
      <c r="L799" s="23"/>
      <c r="M799" s="23"/>
      <c r="N799" s="23"/>
      <c r="O799" s="23"/>
      <c r="P799" s="23"/>
      <c r="Q799" s="23"/>
      <c r="R799" s="5" t="s">
        <v>396</v>
      </c>
      <c r="S799" t="s">
        <v>69</v>
      </c>
    </row>
    <row r="800" spans="2:19" x14ac:dyDescent="0.25">
      <c r="B800" s="3" t="s">
        <v>391</v>
      </c>
      <c r="C800" s="23"/>
      <c r="D800" s="23"/>
      <c r="E800" s="23"/>
      <c r="F800" s="23"/>
      <c r="G800" s="23"/>
      <c r="H800" s="23"/>
      <c r="I800" s="23"/>
      <c r="J800" s="23"/>
      <c r="K800" s="23"/>
      <c r="L800" s="23"/>
      <c r="M800" s="23"/>
      <c r="N800" s="23"/>
      <c r="O800" s="23"/>
      <c r="P800" s="23"/>
      <c r="Q800" s="23"/>
      <c r="R800" s="5" t="s">
        <v>396</v>
      </c>
      <c r="S800" t="s">
        <v>69</v>
      </c>
    </row>
    <row r="801" spans="1:19" x14ac:dyDescent="0.25">
      <c r="B801" s="3" t="s">
        <v>394</v>
      </c>
      <c r="C801" s="23"/>
      <c r="D801" s="23"/>
      <c r="E801" s="23"/>
      <c r="F801" s="23"/>
      <c r="G801" s="23"/>
      <c r="H801" s="23"/>
      <c r="I801" s="23"/>
      <c r="J801" s="23"/>
      <c r="K801" s="23"/>
      <c r="L801" s="23"/>
      <c r="M801" s="23"/>
      <c r="N801" s="23"/>
      <c r="O801" s="23"/>
      <c r="P801" s="23"/>
      <c r="Q801" s="23"/>
      <c r="R801" s="5" t="s">
        <v>396</v>
      </c>
      <c r="S801" t="s">
        <v>69</v>
      </c>
    </row>
    <row r="802" spans="1:19" x14ac:dyDescent="0.25">
      <c r="B802" s="3" t="s">
        <v>395</v>
      </c>
      <c r="C802" s="23"/>
      <c r="D802" s="23"/>
      <c r="E802" s="23"/>
      <c r="F802" s="23"/>
      <c r="G802" s="23"/>
      <c r="H802" s="23"/>
      <c r="I802" s="23"/>
      <c r="J802" s="23"/>
      <c r="K802" s="23"/>
      <c r="L802" s="23"/>
      <c r="M802" s="23"/>
      <c r="N802" s="23"/>
      <c r="O802" s="23"/>
      <c r="P802" s="23"/>
      <c r="Q802" s="23"/>
      <c r="R802" s="5" t="s">
        <v>396</v>
      </c>
      <c r="S802" t="s">
        <v>69</v>
      </c>
    </row>
    <row r="803" spans="1:19" x14ac:dyDescent="0.25">
      <c r="A803" t="s">
        <v>888</v>
      </c>
      <c r="B803" s="3" t="s">
        <v>397</v>
      </c>
      <c r="C803" s="23"/>
      <c r="D803" s="23"/>
      <c r="E803" s="23"/>
      <c r="F803" s="23"/>
      <c r="G803" s="23"/>
      <c r="H803" s="23"/>
      <c r="I803" s="23"/>
      <c r="J803" s="23"/>
      <c r="K803" s="23"/>
      <c r="L803" s="23"/>
      <c r="M803" s="23"/>
      <c r="N803" s="23"/>
      <c r="O803" s="23"/>
      <c r="P803" s="23"/>
      <c r="Q803" s="23"/>
      <c r="R803" s="5" t="s">
        <v>396</v>
      </c>
      <c r="S803" t="s">
        <v>69</v>
      </c>
    </row>
    <row r="804" spans="1:19" x14ac:dyDescent="0.25">
      <c r="B804" t="s">
        <v>306</v>
      </c>
      <c r="C804" s="21">
        <v>1</v>
      </c>
      <c r="D804" s="21">
        <v>2</v>
      </c>
      <c r="E804" s="21">
        <v>3</v>
      </c>
      <c r="F804" s="21">
        <v>4</v>
      </c>
      <c r="G804" s="21">
        <v>5</v>
      </c>
      <c r="H804" s="21">
        <v>6</v>
      </c>
      <c r="I804" s="21">
        <v>7</v>
      </c>
      <c r="J804" s="21">
        <v>8</v>
      </c>
      <c r="K804" s="21">
        <v>9</v>
      </c>
      <c r="L804" s="21">
        <v>10</v>
      </c>
      <c r="M804" s="21">
        <v>11</v>
      </c>
      <c r="N804" s="21">
        <v>12</v>
      </c>
      <c r="O804" s="21">
        <v>13</v>
      </c>
      <c r="P804" s="21">
        <v>14</v>
      </c>
      <c r="Q804" s="21">
        <v>15</v>
      </c>
      <c r="R804" s="5" t="s">
        <v>11</v>
      </c>
      <c r="S804" t="s">
        <v>126</v>
      </c>
    </row>
    <row r="805" spans="1:19" x14ac:dyDescent="0.25">
      <c r="A805" t="s">
        <v>890</v>
      </c>
      <c r="B805" t="s">
        <v>10</v>
      </c>
      <c r="C805" s="2">
        <v>0.36890000000000001</v>
      </c>
      <c r="D805" s="2">
        <v>0.39900000000000002</v>
      </c>
      <c r="E805" s="2">
        <v>0.42899999999999999</v>
      </c>
      <c r="F805" s="2">
        <v>0.47189999999999999</v>
      </c>
      <c r="G805" s="2">
        <v>0.50190000000000001</v>
      </c>
      <c r="H805" s="2">
        <v>0.5363</v>
      </c>
      <c r="I805" s="2">
        <v>0.58340000000000003</v>
      </c>
      <c r="J805" s="2">
        <v>0.63060000000000005</v>
      </c>
      <c r="K805" s="2">
        <v>0.67779999999999996</v>
      </c>
      <c r="L805" s="2">
        <v>0.72929999999999995</v>
      </c>
      <c r="M805" s="2">
        <v>0.78080000000000005</v>
      </c>
      <c r="N805" s="2">
        <v>0.83230000000000004</v>
      </c>
      <c r="O805" s="2">
        <v>0.88370000000000004</v>
      </c>
      <c r="P805" s="2">
        <v>0.93520000000000003</v>
      </c>
      <c r="Q805" s="2">
        <v>0.98670000000000002</v>
      </c>
      <c r="R805" t="s">
        <v>6</v>
      </c>
      <c r="S805" t="s">
        <v>127</v>
      </c>
    </row>
    <row r="806" spans="1:19" x14ac:dyDescent="0.25">
      <c r="B806" t="s">
        <v>9</v>
      </c>
      <c r="C806" s="2">
        <v>0.38700000000000001</v>
      </c>
      <c r="D806" s="2">
        <v>0.41849999999999998</v>
      </c>
      <c r="E806" s="2">
        <v>0.45</v>
      </c>
      <c r="F806" s="2">
        <v>0.495</v>
      </c>
      <c r="G806" s="2">
        <v>0.52649999999999997</v>
      </c>
      <c r="H806" s="2">
        <v>0.5625</v>
      </c>
      <c r="I806" s="2">
        <v>0.61199999999999999</v>
      </c>
      <c r="J806" s="2">
        <v>0.66149999999999998</v>
      </c>
      <c r="K806" s="2">
        <v>0.71099999999999997</v>
      </c>
      <c r="L806" s="2">
        <v>0.76500000000000001</v>
      </c>
      <c r="M806" s="2">
        <v>0.81899999999999995</v>
      </c>
      <c r="N806" s="2">
        <v>0.873</v>
      </c>
      <c r="O806" s="2">
        <v>0.92700000000000005</v>
      </c>
      <c r="P806" s="2">
        <v>0.98099999999999998</v>
      </c>
      <c r="Q806" s="2">
        <v>1.0349999999999999</v>
      </c>
      <c r="R806" t="s">
        <v>6</v>
      </c>
      <c r="S806" t="s">
        <v>127</v>
      </c>
    </row>
    <row r="807" spans="1:19" x14ac:dyDescent="0.25">
      <c r="B807" t="s">
        <v>8</v>
      </c>
      <c r="C807" s="2">
        <v>0.48499999999999999</v>
      </c>
      <c r="D807" s="2">
        <v>0.52449999999999997</v>
      </c>
      <c r="E807" s="2">
        <v>0.56399999999999995</v>
      </c>
      <c r="F807" s="2">
        <v>0.62039999999999995</v>
      </c>
      <c r="G807" s="2">
        <v>0.65990000000000004</v>
      </c>
      <c r="H807" s="2">
        <v>0.70499999999999996</v>
      </c>
      <c r="I807" s="2">
        <v>0.76700000000000002</v>
      </c>
      <c r="J807" s="2">
        <v>0.82909999999999995</v>
      </c>
      <c r="K807" s="2">
        <v>0.8911</v>
      </c>
      <c r="L807" s="2">
        <v>0.95879999999999999</v>
      </c>
      <c r="M807" s="2">
        <v>1.0265</v>
      </c>
      <c r="N807" s="2">
        <v>1.0942000000000001</v>
      </c>
      <c r="O807" s="2">
        <v>1.1617999999999999</v>
      </c>
      <c r="P807" s="2">
        <v>1.2295</v>
      </c>
      <c r="Q807" s="2">
        <v>1.2971999999999999</v>
      </c>
      <c r="R807" t="s">
        <v>6</v>
      </c>
      <c r="S807" t="s">
        <v>127</v>
      </c>
    </row>
    <row r="808" spans="1:19" x14ac:dyDescent="0.25">
      <c r="B808" t="s">
        <v>13</v>
      </c>
      <c r="C808" s="2">
        <v>0.504</v>
      </c>
      <c r="D808" s="2">
        <v>0.54500000000000004</v>
      </c>
      <c r="E808" s="2">
        <v>0.58599999999999997</v>
      </c>
      <c r="F808" s="2">
        <v>0.64459999999999995</v>
      </c>
      <c r="G808" s="2">
        <v>0.68559999999999999</v>
      </c>
      <c r="H808" s="2">
        <v>0.73250000000000004</v>
      </c>
      <c r="I808" s="2">
        <v>0.79700000000000004</v>
      </c>
      <c r="J808" s="2">
        <v>0.86140000000000005</v>
      </c>
      <c r="K808" s="2">
        <v>0.92589999999999995</v>
      </c>
      <c r="L808" s="2">
        <v>0.99619999999999997</v>
      </c>
      <c r="M808" s="2">
        <v>1.0665</v>
      </c>
      <c r="N808" s="2">
        <v>1.1368</v>
      </c>
      <c r="O808" s="2">
        <v>1.2072000000000001</v>
      </c>
      <c r="P808" s="2">
        <v>1.2775000000000001</v>
      </c>
      <c r="Q808" s="2">
        <v>1.3478000000000001</v>
      </c>
      <c r="R808" t="s">
        <v>6</v>
      </c>
      <c r="S808" t="s">
        <v>127</v>
      </c>
    </row>
    <row r="809" spans="1:19" x14ac:dyDescent="0.25">
      <c r="B809" t="s">
        <v>7</v>
      </c>
      <c r="C809" s="2">
        <v>0.58050000000000002</v>
      </c>
      <c r="D809" s="2">
        <v>0.62780000000000002</v>
      </c>
      <c r="E809" s="2">
        <v>0.67500000000000004</v>
      </c>
      <c r="F809" s="2">
        <v>0.74250000000000005</v>
      </c>
      <c r="G809" s="2">
        <v>0.78969999999999996</v>
      </c>
      <c r="H809" s="2">
        <v>0.84379999999999999</v>
      </c>
      <c r="I809" s="2">
        <v>0.91800000000000004</v>
      </c>
      <c r="J809" s="2">
        <v>0.99229999999999996</v>
      </c>
      <c r="K809" s="2">
        <v>1.0665</v>
      </c>
      <c r="L809" s="2">
        <v>1.1475</v>
      </c>
      <c r="M809" s="2">
        <v>1.2284999999999999</v>
      </c>
      <c r="N809" s="2">
        <v>1.3095000000000001</v>
      </c>
      <c r="O809" s="2">
        <v>1.3905000000000001</v>
      </c>
      <c r="P809" s="2">
        <v>1.4715</v>
      </c>
      <c r="Q809" s="2">
        <v>1.5525</v>
      </c>
      <c r="R809" t="s">
        <v>6</v>
      </c>
      <c r="S809" t="s">
        <v>127</v>
      </c>
    </row>
    <row r="810" spans="1:19" x14ac:dyDescent="0.25">
      <c r="B810" t="s">
        <v>133</v>
      </c>
      <c r="C810" s="2">
        <v>0.43859999999999999</v>
      </c>
      <c r="D810" s="2">
        <v>0.4743</v>
      </c>
      <c r="E810" s="2">
        <v>0.51</v>
      </c>
      <c r="F810" s="2">
        <v>0.56100000000000005</v>
      </c>
      <c r="G810" s="2">
        <v>0.59670000000000001</v>
      </c>
      <c r="H810" s="2">
        <v>0.63749999999999996</v>
      </c>
      <c r="I810" s="2">
        <v>0.69359999999999999</v>
      </c>
      <c r="J810" s="2">
        <v>0.74970000000000003</v>
      </c>
      <c r="K810" s="2">
        <v>0.80579999999999996</v>
      </c>
      <c r="L810" s="2">
        <v>0.86699999999999999</v>
      </c>
      <c r="M810" s="2">
        <v>0.92820000000000003</v>
      </c>
      <c r="N810" s="2">
        <v>0.98939999999999995</v>
      </c>
      <c r="O810" s="2">
        <v>1.0506</v>
      </c>
      <c r="P810" s="2">
        <v>1.1117999999999999</v>
      </c>
      <c r="Q810" s="2">
        <v>1.173</v>
      </c>
      <c r="R810" t="s">
        <v>5</v>
      </c>
      <c r="S810" t="s">
        <v>127</v>
      </c>
    </row>
    <row r="811" spans="1:19" x14ac:dyDescent="0.25">
      <c r="B811" t="s">
        <v>134</v>
      </c>
      <c r="C811" s="2">
        <v>1.24</v>
      </c>
      <c r="D811" s="2">
        <v>1.333</v>
      </c>
      <c r="E811" s="2">
        <v>1.4259999999999999</v>
      </c>
      <c r="F811" s="2">
        <v>1.55</v>
      </c>
      <c r="G811" s="2">
        <v>1.643</v>
      </c>
      <c r="H811" s="2">
        <v>1.736</v>
      </c>
      <c r="I811" s="2">
        <v>1.86</v>
      </c>
      <c r="J811" s="2">
        <v>1.984</v>
      </c>
      <c r="K811" s="2">
        <v>2.1080000000000001</v>
      </c>
      <c r="L811" s="2">
        <v>2.2320000000000002</v>
      </c>
      <c r="M811" s="2">
        <v>2.3559999999999999</v>
      </c>
      <c r="N811" s="2">
        <v>2.48</v>
      </c>
      <c r="O811" s="2">
        <v>2.6349999999999998</v>
      </c>
      <c r="P811" s="2">
        <v>2.79</v>
      </c>
      <c r="Q811" s="2">
        <v>2.9449999999999998</v>
      </c>
      <c r="R811" t="s">
        <v>5</v>
      </c>
      <c r="S811" t="s">
        <v>127</v>
      </c>
    </row>
    <row r="812" spans="1:19" x14ac:dyDescent="0.25">
      <c r="B812" t="s">
        <v>155</v>
      </c>
      <c r="C812" s="2">
        <v>0.56830000000000003</v>
      </c>
      <c r="D812" s="2">
        <v>0.61450000000000005</v>
      </c>
      <c r="E812" s="2">
        <v>0.66080000000000005</v>
      </c>
      <c r="F812" s="2">
        <v>0.72689999999999999</v>
      </c>
      <c r="G812" s="2">
        <v>0.77310000000000001</v>
      </c>
      <c r="H812" s="2">
        <v>0.82599999999999996</v>
      </c>
      <c r="I812" s="2">
        <v>0.89870000000000005</v>
      </c>
      <c r="J812" s="2">
        <v>0.97140000000000004</v>
      </c>
      <c r="K812" s="2">
        <v>1.0441</v>
      </c>
      <c r="L812" s="2">
        <v>1.1234</v>
      </c>
      <c r="M812" s="2">
        <v>1.2027000000000001</v>
      </c>
      <c r="N812" s="2">
        <v>1.282</v>
      </c>
      <c r="O812" s="2">
        <v>1.3612</v>
      </c>
      <c r="P812" s="2">
        <v>1.4404999999999999</v>
      </c>
      <c r="Q812" s="2">
        <v>1.5198</v>
      </c>
      <c r="R812" t="s">
        <v>3</v>
      </c>
      <c r="S812" t="s">
        <v>127</v>
      </c>
    </row>
    <row r="813" spans="1:19" x14ac:dyDescent="0.25">
      <c r="B813" t="s">
        <v>135</v>
      </c>
      <c r="C813" s="2">
        <v>1.1363000000000001</v>
      </c>
      <c r="D813" s="2">
        <v>1.2287999999999999</v>
      </c>
      <c r="E813" s="2">
        <v>1.3212999999999999</v>
      </c>
      <c r="F813" s="2">
        <v>1.4535</v>
      </c>
      <c r="G813" s="2">
        <v>1.5459000000000001</v>
      </c>
      <c r="H813" s="2">
        <v>1.6516999999999999</v>
      </c>
      <c r="I813" s="2">
        <v>1.7969999999999999</v>
      </c>
      <c r="J813" s="2">
        <v>1.9422999999999999</v>
      </c>
      <c r="K813" s="2">
        <v>2.0876999999999999</v>
      </c>
      <c r="L813" s="2">
        <v>2.2462</v>
      </c>
      <c r="M813" s="2">
        <v>2.4047999999999998</v>
      </c>
      <c r="N813" s="2">
        <v>2.5634000000000001</v>
      </c>
      <c r="O813" s="2">
        <v>2.7219000000000002</v>
      </c>
      <c r="P813" s="2">
        <v>2.8805000000000001</v>
      </c>
      <c r="Q813" s="2">
        <v>3.0390000000000001</v>
      </c>
      <c r="R813" t="s">
        <v>3</v>
      </c>
      <c r="S813" t="s">
        <v>127</v>
      </c>
    </row>
    <row r="814" spans="1:19" x14ac:dyDescent="0.25">
      <c r="B814" t="s">
        <v>136</v>
      </c>
      <c r="C814" s="2">
        <v>1.4193</v>
      </c>
      <c r="D814" s="2">
        <v>1.5348999999999999</v>
      </c>
      <c r="E814" s="2">
        <v>1.6504000000000001</v>
      </c>
      <c r="F814" s="2">
        <v>1.8153999999999999</v>
      </c>
      <c r="G814" s="2">
        <v>1.931</v>
      </c>
      <c r="H814" s="2">
        <v>2.0630000000000002</v>
      </c>
      <c r="I814" s="2">
        <v>2.2444999999999999</v>
      </c>
      <c r="J814" s="2">
        <v>2.4260999999999999</v>
      </c>
      <c r="K814" s="2">
        <v>2.6076000000000001</v>
      </c>
      <c r="L814" s="2">
        <v>2.8056999999999999</v>
      </c>
      <c r="M814" s="2">
        <v>3.0036999999999998</v>
      </c>
      <c r="N814" s="2">
        <v>3.2018</v>
      </c>
      <c r="O814" s="2">
        <v>3.3997999999999999</v>
      </c>
      <c r="P814" s="2">
        <v>3.5979000000000001</v>
      </c>
      <c r="Q814" s="2">
        <v>3.7959000000000001</v>
      </c>
      <c r="R814" t="s">
        <v>3</v>
      </c>
      <c r="S814" t="s">
        <v>127</v>
      </c>
    </row>
    <row r="815" spans="1:19" x14ac:dyDescent="0.25">
      <c r="B815" t="s">
        <v>307</v>
      </c>
      <c r="C815" s="2">
        <v>1.2576000000000001</v>
      </c>
      <c r="D815" s="2">
        <v>1.3519000000000001</v>
      </c>
      <c r="E815" s="2">
        <v>1.4461999999999999</v>
      </c>
      <c r="F815" s="2">
        <v>1.5720000000000001</v>
      </c>
      <c r="G815" s="2">
        <v>1.6662999999999999</v>
      </c>
      <c r="H815" s="2">
        <v>1.7605999999999999</v>
      </c>
      <c r="I815" s="2">
        <v>1.8864000000000001</v>
      </c>
      <c r="J815" s="2">
        <v>2.0122</v>
      </c>
      <c r="K815" s="2">
        <v>2.1379000000000001</v>
      </c>
      <c r="L815" s="2">
        <v>2.2637</v>
      </c>
      <c r="M815" s="2">
        <v>2.3894000000000002</v>
      </c>
      <c r="N815" s="2">
        <v>2.5152000000000001</v>
      </c>
      <c r="O815" s="2">
        <v>2.6724000000000001</v>
      </c>
      <c r="P815" s="2">
        <v>2.8296000000000001</v>
      </c>
      <c r="Q815" s="2">
        <v>2.9868000000000001</v>
      </c>
      <c r="R815" t="s">
        <v>19</v>
      </c>
      <c r="S815" t="s">
        <v>127</v>
      </c>
    </row>
    <row r="816" spans="1:19" x14ac:dyDescent="0.25">
      <c r="B816" t="s">
        <v>308</v>
      </c>
      <c r="C816" s="2">
        <v>4.0960000000000001</v>
      </c>
      <c r="D816" s="2">
        <v>4.4032</v>
      </c>
      <c r="E816" s="2">
        <v>4.7103999999999999</v>
      </c>
      <c r="F816" s="2">
        <v>5.12</v>
      </c>
      <c r="G816" s="2">
        <v>5.4272</v>
      </c>
      <c r="H816" s="2">
        <v>5.7343999999999999</v>
      </c>
      <c r="I816" s="2">
        <v>6.1440000000000001</v>
      </c>
      <c r="J816" s="2">
        <v>6.5536000000000003</v>
      </c>
      <c r="K816" s="2">
        <v>6.9631999999999996</v>
      </c>
      <c r="L816" s="2">
        <v>7.3727999999999998</v>
      </c>
      <c r="M816" s="2">
        <v>7.7824</v>
      </c>
      <c r="N816" s="2">
        <v>8.1920000000000002</v>
      </c>
      <c r="O816" s="2">
        <v>8.7040000000000006</v>
      </c>
      <c r="P816" s="2">
        <v>9.2159999999999993</v>
      </c>
      <c r="Q816" s="2">
        <v>9.7279999999999998</v>
      </c>
      <c r="R816" t="s">
        <v>0</v>
      </c>
      <c r="S816" t="s">
        <v>127</v>
      </c>
    </row>
    <row r="817" spans="1:19" x14ac:dyDescent="0.25">
      <c r="B817" t="s">
        <v>309</v>
      </c>
      <c r="C817" s="2">
        <v>0.3412</v>
      </c>
      <c r="D817" s="2">
        <v>0.36680000000000001</v>
      </c>
      <c r="E817" s="2">
        <v>0.39240000000000003</v>
      </c>
      <c r="F817" s="2">
        <v>0.42649999999999999</v>
      </c>
      <c r="G817" s="2">
        <v>0.4521</v>
      </c>
      <c r="H817" s="2">
        <v>0.47770000000000001</v>
      </c>
      <c r="I817" s="2">
        <v>0.51180000000000003</v>
      </c>
      <c r="J817" s="2">
        <v>0.54590000000000005</v>
      </c>
      <c r="K817" s="2">
        <v>0.57999999999999996</v>
      </c>
      <c r="L817" s="2">
        <v>0.61419999999999997</v>
      </c>
      <c r="M817" s="2">
        <v>0.64829999999999999</v>
      </c>
      <c r="N817" s="2">
        <v>0.68240000000000001</v>
      </c>
      <c r="O817" s="2">
        <v>0.72509999999999997</v>
      </c>
      <c r="P817" s="2">
        <v>0.76770000000000005</v>
      </c>
      <c r="Q817" s="2">
        <v>0.81040000000000001</v>
      </c>
      <c r="R817" t="s">
        <v>0</v>
      </c>
      <c r="S817" t="s">
        <v>127</v>
      </c>
    </row>
    <row r="818" spans="1:19" x14ac:dyDescent="0.25">
      <c r="B818" t="s">
        <v>310</v>
      </c>
      <c r="C818" s="29">
        <f t="shared" ref="C818:Q818" si="8">30%*C815</f>
        <v>0.37728</v>
      </c>
      <c r="D818" s="29">
        <f t="shared" si="8"/>
        <v>0.40557000000000004</v>
      </c>
      <c r="E818" s="29">
        <f t="shared" si="8"/>
        <v>0.43385999999999997</v>
      </c>
      <c r="F818" s="29">
        <f t="shared" si="8"/>
        <v>0.47160000000000002</v>
      </c>
      <c r="G818" s="29">
        <f t="shared" si="8"/>
        <v>0.49988999999999995</v>
      </c>
      <c r="H818" s="29">
        <f t="shared" si="8"/>
        <v>0.52817999999999998</v>
      </c>
      <c r="I818" s="29">
        <f t="shared" si="8"/>
        <v>0.56591999999999998</v>
      </c>
      <c r="J818" s="29">
        <f t="shared" si="8"/>
        <v>0.60365999999999997</v>
      </c>
      <c r="K818" s="29">
        <f t="shared" si="8"/>
        <v>0.64137</v>
      </c>
      <c r="L818" s="29">
        <f t="shared" si="8"/>
        <v>0.67910999999999999</v>
      </c>
      <c r="M818" s="29">
        <f t="shared" si="8"/>
        <v>0.71682000000000001</v>
      </c>
      <c r="N818" s="29">
        <f t="shared" si="8"/>
        <v>0.75456000000000001</v>
      </c>
      <c r="O818" s="29">
        <f t="shared" si="8"/>
        <v>0.80171999999999999</v>
      </c>
      <c r="P818" s="29">
        <f t="shared" si="8"/>
        <v>0.84887999999999997</v>
      </c>
      <c r="Q818" s="29">
        <f t="shared" si="8"/>
        <v>0.89604000000000006</v>
      </c>
      <c r="R818" t="s">
        <v>19</v>
      </c>
      <c r="S818" t="s">
        <v>127</v>
      </c>
    </row>
    <row r="819" spans="1:19" x14ac:dyDescent="0.25">
      <c r="B819" s="3" t="s">
        <v>771</v>
      </c>
      <c r="C819" s="23"/>
      <c r="D819" s="23"/>
      <c r="E819" s="23"/>
      <c r="F819" s="23"/>
      <c r="G819" s="23"/>
      <c r="H819" s="23"/>
      <c r="I819" s="23"/>
      <c r="J819" s="23"/>
      <c r="K819" s="23"/>
      <c r="L819" s="23"/>
      <c r="M819" s="23"/>
      <c r="N819" s="23"/>
      <c r="O819" s="23"/>
      <c r="P819" s="23"/>
      <c r="Q819" s="23"/>
      <c r="R819" s="5" t="s">
        <v>771</v>
      </c>
      <c r="S819" t="s">
        <v>772</v>
      </c>
    </row>
    <row r="820" spans="1:19" x14ac:dyDescent="0.25">
      <c r="B820" s="3" t="s">
        <v>390</v>
      </c>
      <c r="C820" s="23"/>
      <c r="D820" s="23"/>
      <c r="E820" s="23"/>
      <c r="F820" s="23"/>
      <c r="G820" s="23"/>
      <c r="H820" s="23"/>
      <c r="I820" s="23"/>
      <c r="J820" s="23"/>
      <c r="K820" s="23"/>
      <c r="L820" s="23"/>
      <c r="M820" s="23"/>
      <c r="N820" s="23"/>
      <c r="O820" s="23"/>
      <c r="P820" s="23"/>
      <c r="Q820" s="23"/>
      <c r="R820" s="5" t="s">
        <v>396</v>
      </c>
      <c r="S820" t="s">
        <v>69</v>
      </c>
    </row>
    <row r="821" spans="1:19" x14ac:dyDescent="0.25">
      <c r="B821" s="3" t="s">
        <v>392</v>
      </c>
      <c r="C821" s="23"/>
      <c r="D821" s="23"/>
      <c r="E821" s="23"/>
      <c r="F821" s="23"/>
      <c r="G821" s="23"/>
      <c r="H821" s="23"/>
      <c r="I821" s="23"/>
      <c r="J821" s="23"/>
      <c r="K821" s="23"/>
      <c r="L821" s="23"/>
      <c r="M821" s="23"/>
      <c r="N821" s="23"/>
      <c r="O821" s="23"/>
      <c r="P821" s="23"/>
      <c r="Q821" s="23"/>
      <c r="R821" s="5" t="s">
        <v>396</v>
      </c>
      <c r="S821" t="s">
        <v>69</v>
      </c>
    </row>
    <row r="822" spans="1:19" x14ac:dyDescent="0.25">
      <c r="B822" s="3" t="s">
        <v>393</v>
      </c>
      <c r="C822" s="23"/>
      <c r="D822" s="23"/>
      <c r="E822" s="23"/>
      <c r="F822" s="23"/>
      <c r="G822" s="23"/>
      <c r="H822" s="23"/>
      <c r="I822" s="23"/>
      <c r="J822" s="23"/>
      <c r="K822" s="23"/>
      <c r="L822" s="23"/>
      <c r="M822" s="23"/>
      <c r="N822" s="23"/>
      <c r="O822" s="23"/>
      <c r="P822" s="23"/>
      <c r="Q822" s="23"/>
      <c r="R822" s="5" t="s">
        <v>396</v>
      </c>
      <c r="S822" t="s">
        <v>69</v>
      </c>
    </row>
    <row r="823" spans="1:19" x14ac:dyDescent="0.25">
      <c r="B823" s="3" t="s">
        <v>389</v>
      </c>
      <c r="C823" s="23"/>
      <c r="D823" s="23"/>
      <c r="E823" s="23"/>
      <c r="F823" s="23"/>
      <c r="G823" s="23"/>
      <c r="H823" s="23"/>
      <c r="I823" s="23"/>
      <c r="J823" s="23"/>
      <c r="K823" s="23"/>
      <c r="L823" s="23"/>
      <c r="M823" s="23"/>
      <c r="N823" s="23"/>
      <c r="O823" s="23"/>
      <c r="P823" s="23"/>
      <c r="Q823" s="23"/>
      <c r="R823" s="5" t="s">
        <v>396</v>
      </c>
      <c r="S823" t="s">
        <v>69</v>
      </c>
    </row>
    <row r="824" spans="1:19" x14ac:dyDescent="0.25">
      <c r="B824" s="3" t="s">
        <v>391</v>
      </c>
      <c r="C824" s="23"/>
      <c r="D824" s="23"/>
      <c r="E824" s="23"/>
      <c r="F824" s="23"/>
      <c r="G824" s="23"/>
      <c r="H824" s="23"/>
      <c r="I824" s="23"/>
      <c r="J824" s="23"/>
      <c r="K824" s="23"/>
      <c r="L824" s="23"/>
      <c r="M824" s="23"/>
      <c r="N824" s="23"/>
      <c r="O824" s="23"/>
      <c r="P824" s="23"/>
      <c r="Q824" s="23"/>
      <c r="R824" s="5" t="s">
        <v>396</v>
      </c>
      <c r="S824" t="s">
        <v>69</v>
      </c>
    </row>
    <row r="825" spans="1:19" x14ac:dyDescent="0.25">
      <c r="B825" s="3" t="s">
        <v>394</v>
      </c>
      <c r="C825" s="23"/>
      <c r="D825" s="23"/>
      <c r="E825" s="23"/>
      <c r="F825" s="23"/>
      <c r="G825" s="23"/>
      <c r="H825" s="23"/>
      <c r="I825" s="23"/>
      <c r="J825" s="23"/>
      <c r="K825" s="23"/>
      <c r="L825" s="23"/>
      <c r="M825" s="23"/>
      <c r="N825" s="23"/>
      <c r="O825" s="23"/>
      <c r="P825" s="23"/>
      <c r="Q825" s="23"/>
      <c r="R825" s="5" t="s">
        <v>396</v>
      </c>
      <c r="S825" t="s">
        <v>69</v>
      </c>
    </row>
    <row r="826" spans="1:19" x14ac:dyDescent="0.25">
      <c r="B826" s="3" t="s">
        <v>395</v>
      </c>
      <c r="C826" s="23"/>
      <c r="D826" s="23"/>
      <c r="E826" s="23"/>
      <c r="F826" s="23"/>
      <c r="G826" s="23"/>
      <c r="H826" s="23"/>
      <c r="I826" s="23"/>
      <c r="J826" s="23"/>
      <c r="K826" s="23"/>
      <c r="L826" s="23"/>
      <c r="M826" s="23"/>
      <c r="N826" s="23"/>
      <c r="O826" s="23"/>
      <c r="P826" s="23"/>
      <c r="Q826" s="23"/>
      <c r="R826" s="5" t="s">
        <v>396</v>
      </c>
      <c r="S826" t="s">
        <v>69</v>
      </c>
    </row>
    <row r="827" spans="1:19" x14ac:dyDescent="0.25">
      <c r="A827" t="s">
        <v>892</v>
      </c>
      <c r="B827" s="3" t="s">
        <v>397</v>
      </c>
      <c r="C827" s="23"/>
      <c r="D827" s="23"/>
      <c r="E827" s="23"/>
      <c r="F827" s="23"/>
      <c r="G827" s="23"/>
      <c r="H827" s="23"/>
      <c r="I827" s="23"/>
      <c r="J827" s="23"/>
      <c r="K827" s="23"/>
      <c r="L827" s="23"/>
      <c r="M827" s="23"/>
      <c r="N827" s="23"/>
      <c r="O827" s="23"/>
      <c r="P827" s="23"/>
      <c r="Q827" s="23"/>
      <c r="R827" s="5" t="s">
        <v>396</v>
      </c>
      <c r="S827" t="s">
        <v>69</v>
      </c>
    </row>
    <row r="828" spans="1:19" x14ac:dyDescent="0.25">
      <c r="B828" t="s">
        <v>311</v>
      </c>
      <c r="C828" s="21">
        <v>1</v>
      </c>
      <c r="D828" s="21">
        <v>2</v>
      </c>
      <c r="E828" s="21">
        <v>3</v>
      </c>
      <c r="F828" s="21">
        <v>4</v>
      </c>
      <c r="G828" s="21">
        <v>5</v>
      </c>
      <c r="H828" s="21">
        <v>6</v>
      </c>
      <c r="I828" s="21">
        <v>7</v>
      </c>
      <c r="J828" s="21">
        <v>8</v>
      </c>
      <c r="K828" s="21">
        <v>9</v>
      </c>
      <c r="L828" s="21">
        <v>10</v>
      </c>
      <c r="M828" s="21">
        <v>11</v>
      </c>
      <c r="N828" s="21">
        <v>12</v>
      </c>
      <c r="O828" s="21">
        <v>13</v>
      </c>
      <c r="P828" s="21">
        <v>14</v>
      </c>
      <c r="Q828" s="21">
        <v>15</v>
      </c>
      <c r="R828" s="5" t="s">
        <v>11</v>
      </c>
      <c r="S828" t="s">
        <v>126</v>
      </c>
    </row>
    <row r="829" spans="1:19" x14ac:dyDescent="0.25">
      <c r="A829" t="s">
        <v>893</v>
      </c>
      <c r="B829" t="s">
        <v>10</v>
      </c>
      <c r="C829" s="2">
        <v>0.72240000000000004</v>
      </c>
      <c r="D829" s="2">
        <v>0.78120000000000001</v>
      </c>
      <c r="E829" s="2">
        <v>0.84</v>
      </c>
      <c r="F829" s="2">
        <v>0.92400000000000004</v>
      </c>
      <c r="G829" s="2">
        <v>0.98280000000000001</v>
      </c>
      <c r="H829" s="2">
        <v>1.05</v>
      </c>
      <c r="I829" s="2">
        <v>1.1424000000000001</v>
      </c>
      <c r="J829" s="2">
        <v>1.2347999999999999</v>
      </c>
      <c r="K829" s="2">
        <v>1.3271999999999999</v>
      </c>
      <c r="L829" s="2">
        <v>1.4279999999999999</v>
      </c>
      <c r="M829" s="2">
        <v>1.5435000000000001</v>
      </c>
      <c r="N829" s="2">
        <v>1.6793</v>
      </c>
      <c r="O829" s="2">
        <v>1.8151999999999999</v>
      </c>
      <c r="P829" s="2">
        <v>1.9510000000000001</v>
      </c>
      <c r="Q829" s="2">
        <v>2.0992000000000002</v>
      </c>
      <c r="R829" t="s">
        <v>6</v>
      </c>
      <c r="S829" t="s">
        <v>127</v>
      </c>
    </row>
    <row r="830" spans="1:19" x14ac:dyDescent="0.25">
      <c r="B830" t="s">
        <v>9</v>
      </c>
      <c r="C830" s="2">
        <v>0.71379999999999999</v>
      </c>
      <c r="D830" s="2">
        <v>0.77190000000000003</v>
      </c>
      <c r="E830" s="2">
        <v>0.83</v>
      </c>
      <c r="F830" s="2">
        <v>0.91300000000000003</v>
      </c>
      <c r="G830" s="2">
        <v>0.97109999999999996</v>
      </c>
      <c r="H830" s="2">
        <v>1.0375000000000001</v>
      </c>
      <c r="I830" s="2">
        <v>1.1288</v>
      </c>
      <c r="J830" s="2">
        <v>1.2201</v>
      </c>
      <c r="K830" s="2">
        <v>1.3113999999999999</v>
      </c>
      <c r="L830" s="2">
        <v>1.411</v>
      </c>
      <c r="M830" s="2">
        <v>1.5250999999999999</v>
      </c>
      <c r="N830" s="2">
        <v>1.6593</v>
      </c>
      <c r="O830" s="2">
        <v>1.7935000000000001</v>
      </c>
      <c r="P830" s="2">
        <v>1.9278</v>
      </c>
      <c r="Q830" s="2">
        <v>2.0741999999999998</v>
      </c>
      <c r="R830" t="s">
        <v>6</v>
      </c>
      <c r="S830" t="s">
        <v>127</v>
      </c>
    </row>
    <row r="831" spans="1:19" x14ac:dyDescent="0.25">
      <c r="B831" t="s">
        <v>278</v>
      </c>
      <c r="C831" s="2">
        <v>0.43430000000000002</v>
      </c>
      <c r="D831" s="2">
        <v>0.46970000000000001</v>
      </c>
      <c r="E831" s="2">
        <v>0.505</v>
      </c>
      <c r="F831" s="2">
        <v>0.55549999999999999</v>
      </c>
      <c r="G831" s="2">
        <v>0.59089999999999998</v>
      </c>
      <c r="H831" s="2">
        <v>0.63129999999999997</v>
      </c>
      <c r="I831" s="2">
        <v>0.68679999999999997</v>
      </c>
      <c r="J831" s="2">
        <v>0.74229999999999996</v>
      </c>
      <c r="K831" s="2">
        <v>0.79790000000000005</v>
      </c>
      <c r="L831" s="2">
        <v>0.85850000000000004</v>
      </c>
      <c r="M831" s="2">
        <v>0.92789999999999995</v>
      </c>
      <c r="N831" s="2">
        <v>1.0096000000000001</v>
      </c>
      <c r="O831" s="2">
        <v>1.0912999999999999</v>
      </c>
      <c r="P831" s="2">
        <v>1.1729000000000001</v>
      </c>
      <c r="Q831" s="2">
        <v>1.262</v>
      </c>
      <c r="R831" t="s">
        <v>6</v>
      </c>
      <c r="S831" t="s">
        <v>127</v>
      </c>
    </row>
    <row r="832" spans="1:19" x14ac:dyDescent="0.25">
      <c r="B832" t="s">
        <v>13</v>
      </c>
      <c r="C832" s="2">
        <v>0.98129999999999995</v>
      </c>
      <c r="D832" s="2">
        <v>1.0610999999999999</v>
      </c>
      <c r="E832" s="2">
        <v>1.141</v>
      </c>
      <c r="F832" s="2">
        <v>1.2551000000000001</v>
      </c>
      <c r="G832" s="2">
        <v>1.335</v>
      </c>
      <c r="H832" s="2">
        <v>1.4262999999999999</v>
      </c>
      <c r="I832" s="2">
        <v>1.5518000000000001</v>
      </c>
      <c r="J832" s="2">
        <v>1.6773</v>
      </c>
      <c r="K832" s="2">
        <v>1.8028</v>
      </c>
      <c r="L832" s="2">
        <v>1.9397</v>
      </c>
      <c r="M832" s="2">
        <v>2.0966</v>
      </c>
      <c r="N832" s="2">
        <v>2.2810999999999999</v>
      </c>
      <c r="O832" s="2">
        <v>2.4655999999999998</v>
      </c>
      <c r="P832" s="2">
        <v>2.6501000000000001</v>
      </c>
      <c r="Q832" s="2">
        <v>2.8513999999999999</v>
      </c>
      <c r="R832" t="s">
        <v>6</v>
      </c>
      <c r="S832" t="s">
        <v>127</v>
      </c>
    </row>
    <row r="833" spans="2:20" x14ac:dyDescent="0.25">
      <c r="B833" t="s">
        <v>157</v>
      </c>
      <c r="C833" s="2">
        <v>0.62549999999999994</v>
      </c>
      <c r="D833" s="2">
        <v>0.6764</v>
      </c>
      <c r="E833" s="2">
        <v>0.72729999999999995</v>
      </c>
      <c r="F833" s="2">
        <v>0.8</v>
      </c>
      <c r="G833" s="2">
        <v>0.85089999999999999</v>
      </c>
      <c r="H833" s="2">
        <v>0.90910000000000002</v>
      </c>
      <c r="I833" s="2">
        <v>0.98909999999999998</v>
      </c>
      <c r="J833" s="2">
        <v>1.0690999999999999</v>
      </c>
      <c r="K833" s="2">
        <v>1.1491</v>
      </c>
      <c r="L833" s="2">
        <v>1.2363999999999999</v>
      </c>
      <c r="M833" s="2">
        <v>1.3364</v>
      </c>
      <c r="N833" s="2">
        <v>1.454</v>
      </c>
      <c r="O833" s="2">
        <v>1.5716000000000001</v>
      </c>
      <c r="P833" s="2">
        <v>1.6892</v>
      </c>
      <c r="Q833" s="2">
        <v>1.8174999999999999</v>
      </c>
      <c r="R833" t="s">
        <v>5</v>
      </c>
      <c r="S833" t="s">
        <v>127</v>
      </c>
    </row>
    <row r="834" spans="2:20" x14ac:dyDescent="0.25">
      <c r="B834" t="s">
        <v>158</v>
      </c>
      <c r="C834" s="2">
        <v>1.1309</v>
      </c>
      <c r="D834" s="2">
        <v>1.2230000000000001</v>
      </c>
      <c r="E834" s="2">
        <v>1.3149999999999999</v>
      </c>
      <c r="F834" s="2">
        <v>1.4464999999999999</v>
      </c>
      <c r="G834" s="2">
        <v>1.5386</v>
      </c>
      <c r="H834" s="2">
        <v>1.6437999999999999</v>
      </c>
      <c r="I834" s="2">
        <v>1.7884</v>
      </c>
      <c r="J834" s="2">
        <v>1.9331</v>
      </c>
      <c r="K834" s="2">
        <v>2.0777000000000001</v>
      </c>
      <c r="L834" s="2">
        <v>2.2355</v>
      </c>
      <c r="M834" s="2">
        <v>2.4163000000000001</v>
      </c>
      <c r="N834" s="2">
        <v>2.6288999999999998</v>
      </c>
      <c r="O834" s="2">
        <v>2.8416000000000001</v>
      </c>
      <c r="P834" s="2">
        <v>3.0541999999999998</v>
      </c>
      <c r="Q834" s="2">
        <v>3.2862</v>
      </c>
      <c r="R834" t="s">
        <v>5</v>
      </c>
      <c r="S834" t="s">
        <v>127</v>
      </c>
    </row>
    <row r="835" spans="2:20" x14ac:dyDescent="0.25">
      <c r="B835" t="s">
        <v>155</v>
      </c>
      <c r="C835" s="2">
        <v>0.74590000000000001</v>
      </c>
      <c r="D835" s="2">
        <v>0.80659999999999998</v>
      </c>
      <c r="E835" s="2">
        <v>0.86729999999999996</v>
      </c>
      <c r="F835" s="2">
        <v>0.95399999999999996</v>
      </c>
      <c r="G835" s="2">
        <v>1.0146999999999999</v>
      </c>
      <c r="H835" s="2">
        <v>1.0841000000000001</v>
      </c>
      <c r="I835" s="2">
        <v>1.1795</v>
      </c>
      <c r="J835" s="2">
        <v>1.2748999999999999</v>
      </c>
      <c r="K835" s="2">
        <v>1.3703000000000001</v>
      </c>
      <c r="L835" s="2">
        <v>1.4743999999999999</v>
      </c>
      <c r="M835" s="2">
        <v>1.5785</v>
      </c>
      <c r="N835" s="2">
        <v>1.6826000000000001</v>
      </c>
      <c r="O835" s="2">
        <v>1.7866</v>
      </c>
      <c r="P835" s="2">
        <v>1.8907</v>
      </c>
      <c r="Q835" s="2">
        <v>1.9947999999999999</v>
      </c>
      <c r="R835" t="s">
        <v>3</v>
      </c>
      <c r="S835" t="s">
        <v>127</v>
      </c>
    </row>
    <row r="836" spans="2:20" x14ac:dyDescent="0.25">
      <c r="B836" t="s">
        <v>135</v>
      </c>
      <c r="C836" s="2">
        <v>1.4914000000000001</v>
      </c>
      <c r="D836" s="2">
        <v>1.6128</v>
      </c>
      <c r="E836" s="2">
        <v>1.7342</v>
      </c>
      <c r="F836" s="2">
        <v>1.9077</v>
      </c>
      <c r="G836" s="2">
        <v>2.0291000000000001</v>
      </c>
      <c r="H836" s="2">
        <v>2.1678000000000002</v>
      </c>
      <c r="I836" s="2">
        <v>2.3586</v>
      </c>
      <c r="J836" s="2">
        <v>2.5493000000000001</v>
      </c>
      <c r="K836" s="2">
        <v>2.7401</v>
      </c>
      <c r="L836" s="2">
        <v>2.9481999999999999</v>
      </c>
      <c r="M836" s="2">
        <v>3.1562999999999999</v>
      </c>
      <c r="N836" s="2">
        <v>3.3643999999999998</v>
      </c>
      <c r="O836" s="2">
        <v>3.5724999999999998</v>
      </c>
      <c r="P836" s="2">
        <v>3.7806000000000002</v>
      </c>
      <c r="Q836" s="2">
        <v>3.9887000000000001</v>
      </c>
      <c r="R836" t="s">
        <v>3</v>
      </c>
      <c r="S836" t="s">
        <v>127</v>
      </c>
    </row>
    <row r="837" spans="2:20" x14ac:dyDescent="0.25">
      <c r="B837" t="s">
        <v>136</v>
      </c>
      <c r="C837" s="2">
        <v>1.8629</v>
      </c>
      <c r="D837" s="2">
        <v>2.0145</v>
      </c>
      <c r="E837" s="2">
        <v>2.1661999999999999</v>
      </c>
      <c r="F837" s="2">
        <v>2.3828</v>
      </c>
      <c r="G837" s="2">
        <v>2.5344000000000002</v>
      </c>
      <c r="H837" s="2">
        <v>2.7077</v>
      </c>
      <c r="I837" s="2">
        <v>2.9460000000000002</v>
      </c>
      <c r="J837" s="2">
        <v>3.1842000000000001</v>
      </c>
      <c r="K837" s="2">
        <v>3.4224999999999999</v>
      </c>
      <c r="L837" s="2">
        <v>3.6825000000000001</v>
      </c>
      <c r="M837" s="2">
        <v>3.9424000000000001</v>
      </c>
      <c r="N837" s="2">
        <v>4.2023000000000001</v>
      </c>
      <c r="O837" s="2">
        <v>4.4622999999999999</v>
      </c>
      <c r="P837" s="2">
        <v>4.7222</v>
      </c>
      <c r="Q837" s="2">
        <v>4.9821</v>
      </c>
      <c r="R837" t="s">
        <v>3</v>
      </c>
      <c r="S837" t="s">
        <v>127</v>
      </c>
    </row>
    <row r="838" spans="2:20" x14ac:dyDescent="0.25">
      <c r="B838" t="s">
        <v>312</v>
      </c>
      <c r="C838" s="2">
        <v>0.36</v>
      </c>
      <c r="D838" s="2">
        <v>0.38700000000000001</v>
      </c>
      <c r="E838" s="2">
        <v>0.41399999999999998</v>
      </c>
      <c r="F838" s="2">
        <v>0.45</v>
      </c>
      <c r="G838" s="2">
        <v>0.47699999999999998</v>
      </c>
      <c r="H838" s="2">
        <v>0.504</v>
      </c>
      <c r="I838" s="2">
        <v>0.54</v>
      </c>
      <c r="J838" s="2">
        <v>0.57599999999999996</v>
      </c>
      <c r="K838" s="2">
        <v>0.61199999999999999</v>
      </c>
      <c r="L838" s="2">
        <v>0.64800000000000002</v>
      </c>
      <c r="M838" s="2">
        <v>0.68400000000000005</v>
      </c>
      <c r="N838" s="2">
        <v>0.72</v>
      </c>
      <c r="O838" s="2">
        <v>0.76500000000000001</v>
      </c>
      <c r="P838" s="2">
        <v>0.81</v>
      </c>
      <c r="Q838" s="2">
        <v>0.85499999999999998</v>
      </c>
      <c r="R838" t="s">
        <v>19</v>
      </c>
      <c r="S838" t="s">
        <v>127</v>
      </c>
    </row>
    <row r="839" spans="2:20" x14ac:dyDescent="0.25">
      <c r="B839" t="s">
        <v>315</v>
      </c>
      <c r="C839" s="2">
        <v>1.5840000000000001</v>
      </c>
      <c r="D839" s="2">
        <v>1.7028000000000001</v>
      </c>
      <c r="E839" s="2">
        <v>1.8216000000000001</v>
      </c>
      <c r="F839" s="2">
        <v>1.98</v>
      </c>
      <c r="G839" s="2">
        <v>2.0988000000000002</v>
      </c>
      <c r="H839" s="2">
        <v>2.2176</v>
      </c>
      <c r="I839" s="2">
        <v>2.3759999999999999</v>
      </c>
      <c r="J839" s="2">
        <v>2.5344000000000002</v>
      </c>
      <c r="K839" s="2">
        <v>2.6928000000000001</v>
      </c>
      <c r="L839" s="2">
        <v>2.8512</v>
      </c>
      <c r="M839" s="2">
        <v>3.0095999999999998</v>
      </c>
      <c r="N839" s="2">
        <v>3.1680000000000001</v>
      </c>
      <c r="O839" s="2">
        <v>3.3660000000000001</v>
      </c>
      <c r="P839" s="2">
        <v>3.5640000000000001</v>
      </c>
      <c r="Q839" s="2">
        <v>3.762</v>
      </c>
      <c r="R839" t="s">
        <v>19</v>
      </c>
      <c r="S839" t="s">
        <v>127</v>
      </c>
    </row>
    <row r="840" spans="2:20" x14ac:dyDescent="0.25">
      <c r="B840" t="s">
        <v>313</v>
      </c>
      <c r="C840" s="2">
        <v>2.1760000000000002</v>
      </c>
      <c r="D840" s="2">
        <v>2.3391999999999999</v>
      </c>
      <c r="E840" s="2">
        <v>2.5024000000000002</v>
      </c>
      <c r="F840" s="2">
        <v>2.72</v>
      </c>
      <c r="G840" s="2">
        <v>2.8832</v>
      </c>
      <c r="H840" s="2">
        <v>3.0464000000000002</v>
      </c>
      <c r="I840" s="2">
        <v>3.2639999999999998</v>
      </c>
      <c r="J840" s="2">
        <v>3.4815999999999998</v>
      </c>
      <c r="K840" s="2">
        <v>3.6991999999999998</v>
      </c>
      <c r="L840" s="2">
        <v>3.9167999999999998</v>
      </c>
      <c r="M840" s="2">
        <v>4.1344000000000003</v>
      </c>
      <c r="N840" s="2">
        <v>4.3520000000000003</v>
      </c>
      <c r="O840" s="2">
        <v>4.6239999999999997</v>
      </c>
      <c r="P840" s="2">
        <v>4.8959999999999999</v>
      </c>
      <c r="Q840" s="2">
        <v>5.1680000000000001</v>
      </c>
      <c r="R840" t="s">
        <v>19</v>
      </c>
      <c r="S840" t="s">
        <v>127</v>
      </c>
    </row>
    <row r="841" spans="2:20" x14ac:dyDescent="0.25">
      <c r="B841" t="s">
        <v>316</v>
      </c>
      <c r="C841" s="2">
        <v>0.16800000000000001</v>
      </c>
      <c r="D841" s="2">
        <v>0.18060000000000001</v>
      </c>
      <c r="E841" s="2">
        <v>0.19320000000000001</v>
      </c>
      <c r="F841" s="2">
        <v>0.21</v>
      </c>
      <c r="G841" s="2">
        <v>0.22259999999999999</v>
      </c>
      <c r="H841" s="2">
        <v>0.23519999999999999</v>
      </c>
      <c r="I841" s="2">
        <v>0.252</v>
      </c>
      <c r="J841" s="2">
        <v>0.26879999999999998</v>
      </c>
      <c r="K841" s="2">
        <v>0.28560000000000002</v>
      </c>
      <c r="L841" s="2">
        <v>0.3024</v>
      </c>
      <c r="M841" s="2">
        <v>0.31919999999999998</v>
      </c>
      <c r="N841" s="2">
        <v>0.33600000000000002</v>
      </c>
      <c r="O841" s="2">
        <v>0.35699999999999998</v>
      </c>
      <c r="P841" s="2">
        <v>0.378</v>
      </c>
      <c r="Q841" s="2">
        <v>0.39900000000000002</v>
      </c>
      <c r="R841" t="s">
        <v>19</v>
      </c>
      <c r="S841" t="s">
        <v>127</v>
      </c>
    </row>
    <row r="842" spans="2:20" x14ac:dyDescent="0.25">
      <c r="B842" t="s">
        <v>314</v>
      </c>
      <c r="C842" s="2">
        <v>0.76160000000000005</v>
      </c>
      <c r="D842" s="2">
        <v>0.81869999999999998</v>
      </c>
      <c r="E842" s="2">
        <v>0.87580000000000002</v>
      </c>
      <c r="F842" s="2">
        <v>0.95199999999999996</v>
      </c>
      <c r="G842" s="2">
        <v>1.0091000000000001</v>
      </c>
      <c r="H842" s="2">
        <v>1.0662</v>
      </c>
      <c r="I842" s="2">
        <v>1.1424000000000001</v>
      </c>
      <c r="J842" s="2">
        <v>1.2185999999999999</v>
      </c>
      <c r="K842" s="2">
        <v>1.2947</v>
      </c>
      <c r="L842" s="2">
        <v>1.3709</v>
      </c>
      <c r="M842" s="2">
        <v>1.4470000000000001</v>
      </c>
      <c r="N842" s="2">
        <v>1.5232000000000001</v>
      </c>
      <c r="O842" s="2">
        <v>1.6184000000000001</v>
      </c>
      <c r="P842" s="2">
        <v>1.7136</v>
      </c>
      <c r="Q842" s="2">
        <v>1.8088</v>
      </c>
      <c r="R842" t="s">
        <v>19</v>
      </c>
      <c r="S842" t="s">
        <v>127</v>
      </c>
    </row>
    <row r="843" spans="2:20" x14ac:dyDescent="0.25">
      <c r="B843" t="s">
        <v>947</v>
      </c>
      <c r="C843" s="2">
        <v>0.92159999999999997</v>
      </c>
      <c r="D843" s="2">
        <v>0.99070000000000003</v>
      </c>
      <c r="E843" s="2">
        <v>1.0598000000000001</v>
      </c>
      <c r="F843" s="2">
        <v>1.1519999999999999</v>
      </c>
      <c r="G843" s="2">
        <v>1.2211000000000001</v>
      </c>
      <c r="H843" s="2">
        <v>1.2902</v>
      </c>
      <c r="I843" s="2">
        <v>1.3824000000000001</v>
      </c>
      <c r="J843" s="2">
        <v>1.4745999999999999</v>
      </c>
      <c r="K843" s="2">
        <v>1.5667</v>
      </c>
      <c r="L843" s="2">
        <v>1.6589</v>
      </c>
      <c r="M843" s="2">
        <v>1.7509999999999999</v>
      </c>
      <c r="N843" s="2">
        <v>1.8431999999999999</v>
      </c>
      <c r="O843" s="2">
        <v>1.9583999999999999</v>
      </c>
      <c r="P843" s="2">
        <v>2.0735999999999999</v>
      </c>
      <c r="Q843" s="2">
        <v>2.1888000000000001</v>
      </c>
      <c r="R843" t="s">
        <v>0</v>
      </c>
      <c r="S843" t="s">
        <v>127</v>
      </c>
      <c r="T843" t="s">
        <v>955</v>
      </c>
    </row>
    <row r="844" spans="2:20" x14ac:dyDescent="0.25">
      <c r="B844" t="s">
        <v>948</v>
      </c>
      <c r="C844">
        <v>577</v>
      </c>
      <c r="D844">
        <v>635</v>
      </c>
      <c r="E844">
        <v>698</v>
      </c>
      <c r="F844">
        <v>765</v>
      </c>
      <c r="G844">
        <v>837</v>
      </c>
      <c r="H844">
        <v>914</v>
      </c>
      <c r="I844">
        <v>996</v>
      </c>
      <c r="J844">
        <v>1083</v>
      </c>
      <c r="K844">
        <v>1174</v>
      </c>
      <c r="L844">
        <v>1270</v>
      </c>
      <c r="M844">
        <v>1371</v>
      </c>
      <c r="N844">
        <v>1477</v>
      </c>
      <c r="O844">
        <v>1588</v>
      </c>
      <c r="P844">
        <v>1703</v>
      </c>
      <c r="Q844">
        <v>1824</v>
      </c>
      <c r="R844" t="s">
        <v>0</v>
      </c>
      <c r="S844" t="s">
        <v>226</v>
      </c>
      <c r="T844" t="s">
        <v>956</v>
      </c>
    </row>
    <row r="845" spans="2:20" x14ac:dyDescent="0.25">
      <c r="B845" t="s">
        <v>946</v>
      </c>
      <c r="C845" s="2">
        <v>0.79869999999999997</v>
      </c>
      <c r="D845" s="2">
        <v>0.85860000000000003</v>
      </c>
      <c r="E845" s="2">
        <v>0.91849999999999998</v>
      </c>
      <c r="F845" s="2">
        <v>0.99839999999999995</v>
      </c>
      <c r="G845" s="2">
        <v>1.0583</v>
      </c>
      <c r="H845" s="2">
        <v>1.1182000000000001</v>
      </c>
      <c r="I845" s="2">
        <v>1.1980999999999999</v>
      </c>
      <c r="J845" s="2">
        <v>1.278</v>
      </c>
      <c r="K845" s="2">
        <v>1.3577999999999999</v>
      </c>
      <c r="L845" s="2">
        <v>1.4377</v>
      </c>
      <c r="M845" s="2">
        <v>1.5176000000000001</v>
      </c>
      <c r="N845" s="2">
        <v>1.5973999999999999</v>
      </c>
      <c r="O845" s="2">
        <v>1.6973</v>
      </c>
      <c r="P845" s="2">
        <v>1.7970999999999999</v>
      </c>
      <c r="Q845" s="2">
        <v>1.897</v>
      </c>
      <c r="R845" t="s">
        <v>0</v>
      </c>
      <c r="S845" t="s">
        <v>127</v>
      </c>
      <c r="T845" t="s">
        <v>955</v>
      </c>
    </row>
    <row r="846" spans="2:20" x14ac:dyDescent="0.25">
      <c r="B846" t="s">
        <v>945</v>
      </c>
      <c r="C846">
        <v>500</v>
      </c>
      <c r="D846">
        <v>550</v>
      </c>
      <c r="E846">
        <v>605</v>
      </c>
      <c r="F846">
        <v>663</v>
      </c>
      <c r="G846">
        <v>726</v>
      </c>
      <c r="H846">
        <v>792</v>
      </c>
      <c r="I846">
        <v>863</v>
      </c>
      <c r="J846">
        <v>938</v>
      </c>
      <c r="K846">
        <v>1017</v>
      </c>
      <c r="L846">
        <v>1101</v>
      </c>
      <c r="M846">
        <v>1188</v>
      </c>
      <c r="N846">
        <v>1280</v>
      </c>
      <c r="O846">
        <v>1376</v>
      </c>
      <c r="P846">
        <v>1476</v>
      </c>
      <c r="Q846">
        <v>1580</v>
      </c>
      <c r="R846" t="s">
        <v>0</v>
      </c>
      <c r="S846" t="s">
        <v>226</v>
      </c>
      <c r="T846" t="s">
        <v>956</v>
      </c>
    </row>
    <row r="847" spans="2:20" x14ac:dyDescent="0.25">
      <c r="B847" t="s">
        <v>317</v>
      </c>
      <c r="C847" s="2">
        <v>1.1679999999999999</v>
      </c>
      <c r="D847" s="2">
        <v>1.2556</v>
      </c>
      <c r="E847" s="2">
        <v>1.3431999999999999</v>
      </c>
      <c r="F847" s="2">
        <v>1.46</v>
      </c>
      <c r="G847" s="2">
        <v>1.5476000000000001</v>
      </c>
      <c r="H847" s="2">
        <v>1.6352</v>
      </c>
      <c r="I847" s="2">
        <v>1.752</v>
      </c>
      <c r="J847" s="2">
        <v>1.8688</v>
      </c>
      <c r="K847" s="2">
        <v>1.9856</v>
      </c>
      <c r="L847" s="2">
        <v>2.1023999999999998</v>
      </c>
      <c r="M847" s="2">
        <v>2.2191999999999998</v>
      </c>
      <c r="N847" s="2">
        <v>2.3359999999999999</v>
      </c>
      <c r="O847" s="2">
        <v>2.4820000000000002</v>
      </c>
      <c r="P847" s="2">
        <v>2.6280000000000001</v>
      </c>
      <c r="Q847" s="2">
        <v>2.774</v>
      </c>
      <c r="R847" t="s">
        <v>0</v>
      </c>
      <c r="S847" t="s">
        <v>127</v>
      </c>
    </row>
    <row r="848" spans="2:20" x14ac:dyDescent="0.25">
      <c r="B848" t="s">
        <v>318</v>
      </c>
      <c r="C848" s="2">
        <v>0.52</v>
      </c>
      <c r="D848" s="2">
        <v>0.55900000000000005</v>
      </c>
      <c r="E848" s="2">
        <v>0.59799999999999998</v>
      </c>
      <c r="F848" s="2">
        <v>0.65</v>
      </c>
      <c r="G848" s="2">
        <v>0.68899999999999995</v>
      </c>
      <c r="H848" s="2">
        <v>0.72799999999999998</v>
      </c>
      <c r="I848" s="2">
        <v>0.78</v>
      </c>
      <c r="J848" s="2">
        <v>0.83199999999999996</v>
      </c>
      <c r="K848" s="2">
        <v>0.88400000000000001</v>
      </c>
      <c r="L848" s="2">
        <v>0.93600000000000005</v>
      </c>
      <c r="M848" s="2">
        <v>0.98799999999999999</v>
      </c>
      <c r="N848" s="2">
        <v>1.04</v>
      </c>
      <c r="O848" s="2">
        <v>1.105</v>
      </c>
      <c r="P848" s="2">
        <v>1.17</v>
      </c>
      <c r="Q848" s="2">
        <v>1.2350000000000001</v>
      </c>
      <c r="R848" t="s">
        <v>0</v>
      </c>
      <c r="S848" t="s">
        <v>127</v>
      </c>
    </row>
    <row r="849" spans="1:20" x14ac:dyDescent="0.25">
      <c r="B849" t="s">
        <v>949</v>
      </c>
      <c r="C849" s="21">
        <v>300</v>
      </c>
      <c r="D849" s="21">
        <v>300</v>
      </c>
      <c r="E849" s="21">
        <v>300</v>
      </c>
      <c r="F849" s="21">
        <v>300</v>
      </c>
      <c r="G849" s="21">
        <v>300</v>
      </c>
      <c r="H849" s="21">
        <v>300</v>
      </c>
      <c r="I849" s="21">
        <v>300</v>
      </c>
      <c r="J849" s="21">
        <v>300</v>
      </c>
      <c r="K849" s="21">
        <v>300</v>
      </c>
      <c r="L849" s="21">
        <v>300</v>
      </c>
      <c r="M849" s="21">
        <v>300</v>
      </c>
      <c r="N849" s="21">
        <v>300</v>
      </c>
      <c r="O849" s="21">
        <v>300</v>
      </c>
      <c r="P849" s="21">
        <v>300</v>
      </c>
      <c r="Q849" s="21">
        <v>300</v>
      </c>
      <c r="R849" t="s">
        <v>249</v>
      </c>
      <c r="S849" t="s">
        <v>226</v>
      </c>
      <c r="T849" t="s">
        <v>956</v>
      </c>
    </row>
    <row r="850" spans="1:20" x14ac:dyDescent="0.25">
      <c r="B850" t="s">
        <v>950</v>
      </c>
      <c r="C850" s="215">
        <v>3</v>
      </c>
      <c r="D850" s="215">
        <v>3</v>
      </c>
      <c r="E850" s="215">
        <v>3</v>
      </c>
      <c r="F850" s="215">
        <v>3</v>
      </c>
      <c r="G850" s="215">
        <v>3</v>
      </c>
      <c r="H850" s="215">
        <v>3</v>
      </c>
      <c r="I850" s="215">
        <v>3</v>
      </c>
      <c r="J850" s="215">
        <v>3</v>
      </c>
      <c r="K850" s="215">
        <v>3</v>
      </c>
      <c r="L850" s="215">
        <v>3</v>
      </c>
      <c r="M850" s="215">
        <v>3</v>
      </c>
      <c r="N850" s="215">
        <v>3</v>
      </c>
      <c r="O850" s="215">
        <v>3</v>
      </c>
      <c r="P850" s="215">
        <v>3</v>
      </c>
      <c r="Q850" s="215">
        <v>3</v>
      </c>
      <c r="R850" t="s">
        <v>249</v>
      </c>
      <c r="S850" t="s">
        <v>69</v>
      </c>
      <c r="T850" t="s">
        <v>955</v>
      </c>
    </row>
    <row r="851" spans="1:20" x14ac:dyDescent="0.25">
      <c r="B851" s="3" t="s">
        <v>771</v>
      </c>
      <c r="C851" s="23"/>
      <c r="D851" s="23"/>
      <c r="E851" s="23"/>
      <c r="F851" s="23"/>
      <c r="G851" s="23"/>
      <c r="H851" s="23"/>
      <c r="I851" s="23"/>
      <c r="J851" s="23"/>
      <c r="K851" s="23"/>
      <c r="L851" s="23"/>
      <c r="M851" s="23"/>
      <c r="N851" s="23"/>
      <c r="O851" s="23"/>
      <c r="P851" s="23"/>
      <c r="Q851" s="23"/>
      <c r="R851" s="5" t="s">
        <v>771</v>
      </c>
      <c r="S851" t="s">
        <v>772</v>
      </c>
    </row>
    <row r="852" spans="1:20" x14ac:dyDescent="0.25">
      <c r="B852" s="3" t="s">
        <v>390</v>
      </c>
      <c r="C852" s="23"/>
      <c r="D852" s="23"/>
      <c r="E852" s="23"/>
      <c r="F852" s="23"/>
      <c r="G852" s="23"/>
      <c r="H852" s="23"/>
      <c r="I852" s="23"/>
      <c r="J852" s="23"/>
      <c r="K852" s="23"/>
      <c r="L852" s="23"/>
      <c r="M852" s="23"/>
      <c r="N852" s="23"/>
      <c r="O852" s="23"/>
      <c r="P852" s="23"/>
      <c r="Q852" s="23"/>
      <c r="R852" s="5" t="s">
        <v>396</v>
      </c>
      <c r="S852" t="s">
        <v>69</v>
      </c>
    </row>
    <row r="853" spans="1:20" x14ac:dyDescent="0.25">
      <c r="B853" s="3" t="s">
        <v>392</v>
      </c>
      <c r="C853" s="23"/>
      <c r="D853" s="23"/>
      <c r="E853" s="23"/>
      <c r="F853" s="23"/>
      <c r="G853" s="23"/>
      <c r="H853" s="23"/>
      <c r="I853" s="23"/>
      <c r="J853" s="23"/>
      <c r="K853" s="23"/>
      <c r="L853" s="23"/>
      <c r="M853" s="23"/>
      <c r="N853" s="23"/>
      <c r="O853" s="23"/>
      <c r="P853" s="23"/>
      <c r="Q853" s="23"/>
      <c r="R853" s="5" t="s">
        <v>396</v>
      </c>
      <c r="S853" t="s">
        <v>69</v>
      </c>
    </row>
    <row r="854" spans="1:20" x14ac:dyDescent="0.25">
      <c r="B854" s="3" t="s">
        <v>393</v>
      </c>
      <c r="C854" s="23"/>
      <c r="D854" s="23"/>
      <c r="E854" s="23"/>
      <c r="F854" s="23"/>
      <c r="G854" s="23"/>
      <c r="H854" s="23"/>
      <c r="I854" s="23"/>
      <c r="J854" s="23"/>
      <c r="K854" s="23"/>
      <c r="L854" s="23"/>
      <c r="M854" s="23"/>
      <c r="N854" s="23"/>
      <c r="O854" s="23"/>
      <c r="P854" s="23"/>
      <c r="Q854" s="23"/>
      <c r="R854" s="5" t="s">
        <v>396</v>
      </c>
      <c r="S854" t="s">
        <v>69</v>
      </c>
    </row>
    <row r="855" spans="1:20" x14ac:dyDescent="0.25">
      <c r="B855" s="3" t="s">
        <v>389</v>
      </c>
      <c r="C855" s="23"/>
      <c r="D855" s="23"/>
      <c r="E855" s="23"/>
      <c r="F855" s="23"/>
      <c r="G855" s="23"/>
      <c r="H855" s="23"/>
      <c r="I855" s="23"/>
      <c r="J855" s="23"/>
      <c r="K855" s="23"/>
      <c r="L855" s="23"/>
      <c r="M855" s="23"/>
      <c r="N855" s="23"/>
      <c r="O855" s="23"/>
      <c r="P855" s="23"/>
      <c r="Q855" s="23"/>
      <c r="R855" s="5" t="s">
        <v>396</v>
      </c>
      <c r="S855" t="s">
        <v>69</v>
      </c>
    </row>
    <row r="856" spans="1:20" x14ac:dyDescent="0.25">
      <c r="B856" s="3" t="s">
        <v>391</v>
      </c>
      <c r="C856" s="23"/>
      <c r="D856" s="23"/>
      <c r="E856" s="23"/>
      <c r="F856" s="23"/>
      <c r="G856" s="23"/>
      <c r="H856" s="23"/>
      <c r="I856" s="23"/>
      <c r="J856" s="23"/>
      <c r="K856" s="23"/>
      <c r="L856" s="23"/>
      <c r="M856" s="23"/>
      <c r="N856" s="23"/>
      <c r="O856" s="23"/>
      <c r="P856" s="23"/>
      <c r="Q856" s="23"/>
      <c r="R856" s="5" t="s">
        <v>396</v>
      </c>
      <c r="S856" t="s">
        <v>69</v>
      </c>
    </row>
    <row r="857" spans="1:20" x14ac:dyDescent="0.25">
      <c r="B857" s="3" t="s">
        <v>394</v>
      </c>
      <c r="C857" s="23"/>
      <c r="D857" s="23"/>
      <c r="E857" s="23"/>
      <c r="F857" s="23"/>
      <c r="G857" s="23"/>
      <c r="H857" s="23"/>
      <c r="I857" s="23"/>
      <c r="J857" s="23"/>
      <c r="K857" s="23"/>
      <c r="L857" s="23"/>
      <c r="M857" s="23"/>
      <c r="N857" s="23"/>
      <c r="O857" s="23"/>
      <c r="P857" s="23"/>
      <c r="Q857" s="23"/>
      <c r="R857" s="5" t="s">
        <v>396</v>
      </c>
      <c r="S857" t="s">
        <v>69</v>
      </c>
    </row>
    <row r="858" spans="1:20" x14ac:dyDescent="0.25">
      <c r="B858" s="3" t="s">
        <v>395</v>
      </c>
      <c r="C858" s="23"/>
      <c r="D858" s="23"/>
      <c r="E858" s="23"/>
      <c r="F858" s="23"/>
      <c r="G858" s="23"/>
      <c r="H858" s="23"/>
      <c r="I858" s="23"/>
      <c r="J858" s="23"/>
      <c r="K858" s="23"/>
      <c r="L858" s="23"/>
      <c r="M858" s="23"/>
      <c r="N858" s="23"/>
      <c r="O858" s="23"/>
      <c r="P858" s="23"/>
      <c r="Q858" s="23"/>
      <c r="R858" s="5" t="s">
        <v>396</v>
      </c>
      <c r="S858" t="s">
        <v>69</v>
      </c>
    </row>
    <row r="859" spans="1:20" x14ac:dyDescent="0.25">
      <c r="A859" t="s">
        <v>891</v>
      </c>
      <c r="B859" s="3" t="s">
        <v>397</v>
      </c>
      <c r="C859" s="23"/>
      <c r="D859" s="23"/>
      <c r="E859" s="23"/>
      <c r="F859" s="23"/>
      <c r="G859" s="23"/>
      <c r="H859" s="23"/>
      <c r="I859" s="23"/>
      <c r="J859" s="23"/>
      <c r="K859" s="23"/>
      <c r="L859" s="23"/>
      <c r="M859" s="23"/>
      <c r="N859" s="23"/>
      <c r="O859" s="23"/>
      <c r="P859" s="23"/>
      <c r="Q859" s="23"/>
      <c r="R859" s="5" t="s">
        <v>396</v>
      </c>
      <c r="S859" t="s">
        <v>69</v>
      </c>
    </row>
    <row r="860" spans="1:20" x14ac:dyDescent="0.25">
      <c r="B860" t="s">
        <v>319</v>
      </c>
      <c r="C860" s="21">
        <v>1</v>
      </c>
      <c r="D860" s="21">
        <v>2</v>
      </c>
      <c r="E860" s="21">
        <v>3</v>
      </c>
      <c r="F860" s="21">
        <v>4</v>
      </c>
      <c r="G860" s="21">
        <v>5</v>
      </c>
      <c r="H860" s="21">
        <v>6</v>
      </c>
      <c r="I860" s="21">
        <v>7</v>
      </c>
      <c r="J860" s="21">
        <v>8</v>
      </c>
      <c r="K860" s="21">
        <v>9</v>
      </c>
      <c r="L860" s="21">
        <v>10</v>
      </c>
      <c r="M860" s="21">
        <v>11</v>
      </c>
      <c r="N860" s="21">
        <v>12</v>
      </c>
      <c r="O860" s="21">
        <v>13</v>
      </c>
      <c r="P860" s="21">
        <v>14</v>
      </c>
      <c r="Q860" s="21">
        <v>15</v>
      </c>
      <c r="R860" s="5" t="s">
        <v>11</v>
      </c>
      <c r="S860" t="s">
        <v>126</v>
      </c>
    </row>
    <row r="861" spans="1:20" x14ac:dyDescent="0.25">
      <c r="A861" t="s">
        <v>894</v>
      </c>
      <c r="B861" t="s">
        <v>10</v>
      </c>
      <c r="C861" s="2">
        <v>0.33460000000000001</v>
      </c>
      <c r="D861" s="2">
        <v>0.35970000000000002</v>
      </c>
      <c r="E861" s="2">
        <v>0.38479999999999998</v>
      </c>
      <c r="F861" s="2">
        <v>0.41830000000000001</v>
      </c>
      <c r="G861" s="2">
        <v>0.44340000000000002</v>
      </c>
      <c r="H861" s="2">
        <v>0.46850000000000003</v>
      </c>
      <c r="I861" s="2">
        <v>0.502</v>
      </c>
      <c r="J861" s="2">
        <v>0.53539999999999999</v>
      </c>
      <c r="K861" s="2">
        <v>0.56889999999999996</v>
      </c>
      <c r="L861" s="2">
        <v>0.60240000000000005</v>
      </c>
      <c r="M861" s="2">
        <v>0.63580000000000003</v>
      </c>
      <c r="N861" s="2">
        <v>0.66930000000000001</v>
      </c>
      <c r="O861" s="2">
        <v>0.71109999999999995</v>
      </c>
      <c r="P861" s="2">
        <v>0.75290000000000001</v>
      </c>
      <c r="Q861" s="2">
        <v>0.79479999999999995</v>
      </c>
      <c r="R861" t="s">
        <v>6</v>
      </c>
      <c r="S861" t="s">
        <v>127</v>
      </c>
    </row>
    <row r="862" spans="1:20" x14ac:dyDescent="0.25">
      <c r="B862" t="s">
        <v>9</v>
      </c>
      <c r="C862" s="2">
        <v>0.30620000000000003</v>
      </c>
      <c r="D862" s="2">
        <v>0.3291</v>
      </c>
      <c r="E862" s="2">
        <v>0.35210000000000002</v>
      </c>
      <c r="F862" s="2">
        <v>0.38269999999999998</v>
      </c>
      <c r="G862" s="2">
        <v>0.40570000000000001</v>
      </c>
      <c r="H862" s="2">
        <v>0.42859999999999998</v>
      </c>
      <c r="I862" s="2">
        <v>0.4592</v>
      </c>
      <c r="J862" s="2">
        <v>0.4899</v>
      </c>
      <c r="K862" s="2">
        <v>0.52049999999999996</v>
      </c>
      <c r="L862" s="2">
        <v>0.55110000000000003</v>
      </c>
      <c r="M862" s="2">
        <v>0.58169999999999999</v>
      </c>
      <c r="N862" s="2">
        <v>0.61229999999999996</v>
      </c>
      <c r="O862" s="2">
        <v>0.65059999999999996</v>
      </c>
      <c r="P862" s="2">
        <v>0.68889999999999996</v>
      </c>
      <c r="Q862" s="2">
        <v>0.72709999999999997</v>
      </c>
      <c r="R862" t="s">
        <v>6</v>
      </c>
      <c r="S862" t="s">
        <v>127</v>
      </c>
    </row>
    <row r="863" spans="1:20" x14ac:dyDescent="0.25">
      <c r="B863" t="s">
        <v>8</v>
      </c>
      <c r="C863" s="2">
        <v>0.38450000000000001</v>
      </c>
      <c r="D863" s="2">
        <v>0.4133</v>
      </c>
      <c r="E863" s="2">
        <v>0.44219999999999998</v>
      </c>
      <c r="F863" s="2">
        <v>0.48060000000000003</v>
      </c>
      <c r="G863" s="2">
        <v>0.50939999999999996</v>
      </c>
      <c r="H863" s="2">
        <v>0.5383</v>
      </c>
      <c r="I863" s="2">
        <v>0.57669999999999999</v>
      </c>
      <c r="J863" s="2">
        <v>0.61519999999999997</v>
      </c>
      <c r="K863" s="2">
        <v>0.65359999999999996</v>
      </c>
      <c r="L863" s="2">
        <v>0.69210000000000005</v>
      </c>
      <c r="M863" s="2">
        <v>0.73050000000000004</v>
      </c>
      <c r="N863" s="2">
        <v>0.76900000000000002</v>
      </c>
      <c r="O863" s="2">
        <v>0.81699999999999995</v>
      </c>
      <c r="P863" s="2">
        <v>0.86509999999999998</v>
      </c>
      <c r="Q863" s="2">
        <v>0.91310000000000002</v>
      </c>
      <c r="R863" t="s">
        <v>6</v>
      </c>
      <c r="S863" t="s">
        <v>127</v>
      </c>
    </row>
    <row r="864" spans="1:20" x14ac:dyDescent="0.25">
      <c r="B864" t="s">
        <v>13</v>
      </c>
      <c r="C864" s="2">
        <v>0.47920000000000001</v>
      </c>
      <c r="D864" s="2">
        <v>0.5151</v>
      </c>
      <c r="E864" s="2">
        <v>0.55110000000000003</v>
      </c>
      <c r="F864" s="2">
        <v>0.59899999999999998</v>
      </c>
      <c r="G864" s="2">
        <v>0.63490000000000002</v>
      </c>
      <c r="H864" s="2">
        <v>0.67079999999999995</v>
      </c>
      <c r="I864" s="2">
        <v>0.71879999999999999</v>
      </c>
      <c r="J864" s="2">
        <v>0.76670000000000005</v>
      </c>
      <c r="K864" s="2">
        <v>0.81459999999999999</v>
      </c>
      <c r="L864" s="2">
        <v>0.86250000000000004</v>
      </c>
      <c r="M864" s="2">
        <v>0.91039999999999999</v>
      </c>
      <c r="N864" s="2">
        <v>0.95840000000000003</v>
      </c>
      <c r="O864" s="2">
        <v>1.0182</v>
      </c>
      <c r="P864" s="2">
        <v>1.0781000000000001</v>
      </c>
      <c r="Q864" s="2">
        <v>1.1379999999999999</v>
      </c>
      <c r="R864" t="s">
        <v>6</v>
      </c>
      <c r="S864" t="s">
        <v>127</v>
      </c>
    </row>
    <row r="865" spans="1:19" x14ac:dyDescent="0.25">
      <c r="B865" t="s">
        <v>14</v>
      </c>
      <c r="C865" s="2">
        <v>1.2016</v>
      </c>
      <c r="D865" s="2">
        <v>1.2917000000000001</v>
      </c>
      <c r="E865" s="2">
        <v>1.3817999999999999</v>
      </c>
      <c r="F865" s="2">
        <v>1.502</v>
      </c>
      <c r="G865" s="2">
        <v>1.5921000000000001</v>
      </c>
      <c r="H865" s="2">
        <v>1.6821999999999999</v>
      </c>
      <c r="I865" s="2">
        <v>1.8024</v>
      </c>
      <c r="J865" s="2">
        <v>1.9226000000000001</v>
      </c>
      <c r="K865" s="2">
        <v>2.0427</v>
      </c>
      <c r="L865" s="2">
        <v>2.1629</v>
      </c>
      <c r="M865" s="2">
        <v>2.2829999999999999</v>
      </c>
      <c r="N865" s="2">
        <v>2.4032</v>
      </c>
      <c r="O865" s="2">
        <v>2.5533999999999999</v>
      </c>
      <c r="P865" s="2">
        <v>2.7035999999999998</v>
      </c>
      <c r="Q865" s="2">
        <v>2.8538000000000001</v>
      </c>
      <c r="R865" t="s">
        <v>5</v>
      </c>
      <c r="S865" t="s">
        <v>127</v>
      </c>
    </row>
    <row r="866" spans="1:19" x14ac:dyDescent="0.25">
      <c r="B866" t="s">
        <v>155</v>
      </c>
      <c r="C866" s="2">
        <v>0.56830000000000003</v>
      </c>
      <c r="D866" s="2">
        <v>0.61450000000000005</v>
      </c>
      <c r="E866" s="2">
        <v>0.66080000000000005</v>
      </c>
      <c r="F866" s="2">
        <v>0.72689999999999999</v>
      </c>
      <c r="G866" s="2">
        <v>0.77310000000000001</v>
      </c>
      <c r="H866" s="2">
        <v>0.82599999999999996</v>
      </c>
      <c r="I866" s="2">
        <v>0.89870000000000005</v>
      </c>
      <c r="J866" s="2">
        <v>0.97140000000000004</v>
      </c>
      <c r="K866" s="2">
        <v>1.0441</v>
      </c>
      <c r="L866" s="2">
        <v>1.1234</v>
      </c>
      <c r="M866" s="2">
        <v>1.2027000000000001</v>
      </c>
      <c r="N866" s="2">
        <v>1.282</v>
      </c>
      <c r="O866" s="2">
        <v>1.3612</v>
      </c>
      <c r="P866" s="2">
        <v>1.4404999999999999</v>
      </c>
      <c r="Q866" s="2">
        <v>1.5198</v>
      </c>
      <c r="R866" t="s">
        <v>3</v>
      </c>
      <c r="S866" t="s">
        <v>127</v>
      </c>
    </row>
    <row r="867" spans="1:19" x14ac:dyDescent="0.25">
      <c r="B867" t="s">
        <v>135</v>
      </c>
      <c r="C867" s="2">
        <v>1.1363000000000001</v>
      </c>
      <c r="D867" s="2">
        <v>1.2287999999999999</v>
      </c>
      <c r="E867" s="2">
        <v>1.3212999999999999</v>
      </c>
      <c r="F867" s="2">
        <v>1.4535</v>
      </c>
      <c r="G867" s="2">
        <v>1.5459000000000001</v>
      </c>
      <c r="H867" s="2">
        <v>1.6516999999999999</v>
      </c>
      <c r="I867" s="2">
        <v>1.7969999999999999</v>
      </c>
      <c r="J867" s="2">
        <v>1.9422999999999999</v>
      </c>
      <c r="K867" s="2">
        <v>2.0876999999999999</v>
      </c>
      <c r="L867" s="2">
        <v>2.2462</v>
      </c>
      <c r="M867" s="2">
        <v>2.4047999999999998</v>
      </c>
      <c r="N867" s="2">
        <v>2.5634000000000001</v>
      </c>
      <c r="O867" s="2">
        <v>2.7219000000000002</v>
      </c>
      <c r="P867" s="2">
        <v>2.8805000000000001</v>
      </c>
      <c r="Q867" s="2">
        <v>3.0390000000000001</v>
      </c>
      <c r="R867" t="s">
        <v>3</v>
      </c>
      <c r="S867" t="s">
        <v>127</v>
      </c>
    </row>
    <row r="868" spans="1:19" x14ac:dyDescent="0.25">
      <c r="B868" t="s">
        <v>136</v>
      </c>
      <c r="C868" s="2">
        <v>1.4193</v>
      </c>
      <c r="D868" s="2">
        <v>1.5348999999999999</v>
      </c>
      <c r="E868" s="2">
        <v>1.6504000000000001</v>
      </c>
      <c r="F868" s="2">
        <v>1.8153999999999999</v>
      </c>
      <c r="G868" s="2">
        <v>1.931</v>
      </c>
      <c r="H868" s="2">
        <v>2.0630000000000002</v>
      </c>
      <c r="I868" s="2">
        <v>2.2444999999999999</v>
      </c>
      <c r="J868" s="2">
        <v>2.4260999999999999</v>
      </c>
      <c r="K868" s="2">
        <v>2.6076000000000001</v>
      </c>
      <c r="L868" s="2">
        <v>2.8056999999999999</v>
      </c>
      <c r="M868" s="2">
        <v>3.0036999999999998</v>
      </c>
      <c r="N868" s="2">
        <v>3.2018</v>
      </c>
      <c r="O868" s="2">
        <v>3.3997999999999999</v>
      </c>
      <c r="P868" s="2">
        <v>3.5979000000000001</v>
      </c>
      <c r="Q868" s="2">
        <v>3.7959000000000001</v>
      </c>
      <c r="R868" t="s">
        <v>3</v>
      </c>
      <c r="S868" t="s">
        <v>127</v>
      </c>
    </row>
    <row r="869" spans="1:19" x14ac:dyDescent="0.25">
      <c r="B869" t="s">
        <v>4</v>
      </c>
      <c r="C869" s="2">
        <v>2.1120000000000001</v>
      </c>
      <c r="D869" s="2">
        <v>2.2704</v>
      </c>
      <c r="E869" s="2">
        <v>2.4287999999999998</v>
      </c>
      <c r="F869" s="2">
        <v>2.64</v>
      </c>
      <c r="G869" s="2">
        <v>2.7984</v>
      </c>
      <c r="H869" s="2">
        <v>2.9567999999999999</v>
      </c>
      <c r="I869" s="2">
        <v>3.1680000000000001</v>
      </c>
      <c r="J869" s="2">
        <v>3.3792</v>
      </c>
      <c r="K869" s="2">
        <v>3.5903999999999998</v>
      </c>
      <c r="L869" s="2">
        <v>3.8016000000000001</v>
      </c>
      <c r="M869" s="2">
        <v>4.0128000000000004</v>
      </c>
      <c r="N869" s="2">
        <v>4.2240000000000002</v>
      </c>
      <c r="O869" s="2">
        <v>4.4880000000000004</v>
      </c>
      <c r="P869" s="2">
        <v>4.7519999999999998</v>
      </c>
      <c r="Q869" s="2">
        <v>5.016</v>
      </c>
      <c r="R869" t="s">
        <v>19</v>
      </c>
      <c r="S869" t="s">
        <v>127</v>
      </c>
    </row>
    <row r="870" spans="1:19" x14ac:dyDescent="0.25">
      <c r="B870" t="s">
        <v>184</v>
      </c>
      <c r="C870" s="2">
        <v>1.48</v>
      </c>
      <c r="D870" s="2">
        <v>1.591</v>
      </c>
      <c r="E870" s="2">
        <v>1.702</v>
      </c>
      <c r="F870" s="2">
        <v>1.85</v>
      </c>
      <c r="G870" s="2">
        <v>1.9610000000000001</v>
      </c>
      <c r="H870" s="2">
        <v>2.0720000000000001</v>
      </c>
      <c r="I870" s="2">
        <v>2.2200000000000002</v>
      </c>
      <c r="J870" s="2">
        <v>2.3679999999999999</v>
      </c>
      <c r="K870" s="2">
        <v>2.516</v>
      </c>
      <c r="L870" s="2">
        <v>2.6640000000000001</v>
      </c>
      <c r="M870" s="2">
        <v>2.8119999999999998</v>
      </c>
      <c r="N870" s="2">
        <v>2.96</v>
      </c>
      <c r="O870" s="2">
        <v>3.145</v>
      </c>
      <c r="P870" s="2">
        <v>3.33</v>
      </c>
      <c r="Q870" s="2">
        <v>3.5150000000000001</v>
      </c>
      <c r="R870" t="s">
        <v>0</v>
      </c>
      <c r="S870" t="s">
        <v>127</v>
      </c>
    </row>
    <row r="871" spans="1:19" x14ac:dyDescent="0.25">
      <c r="B871" t="s">
        <v>153</v>
      </c>
      <c r="C871" s="2">
        <v>0.44</v>
      </c>
      <c r="D871" s="2">
        <v>0.47299999999999998</v>
      </c>
      <c r="E871" s="2">
        <v>0.50600000000000001</v>
      </c>
      <c r="F871" s="2">
        <v>0.55000000000000004</v>
      </c>
      <c r="G871" s="2">
        <v>0.58299999999999996</v>
      </c>
      <c r="H871" s="2">
        <v>0.61599999999999999</v>
      </c>
      <c r="I871" s="2">
        <v>0.66</v>
      </c>
      <c r="J871" s="2">
        <v>0.70399999999999996</v>
      </c>
      <c r="K871" s="2">
        <v>0.748</v>
      </c>
      <c r="L871" s="2">
        <v>0.79200000000000004</v>
      </c>
      <c r="M871" s="2">
        <v>0.83599999999999997</v>
      </c>
      <c r="N871" s="2">
        <v>0.88</v>
      </c>
      <c r="O871" s="2">
        <v>0.93500000000000005</v>
      </c>
      <c r="P871" s="2">
        <v>0.99</v>
      </c>
      <c r="Q871" s="2">
        <v>1.0449999999999999</v>
      </c>
      <c r="R871" t="s">
        <v>0</v>
      </c>
      <c r="S871" t="s">
        <v>127</v>
      </c>
    </row>
    <row r="872" spans="1:19" x14ac:dyDescent="0.25">
      <c r="B872" s="3" t="s">
        <v>771</v>
      </c>
      <c r="C872" s="23"/>
      <c r="D872" s="23"/>
      <c r="E872" s="23"/>
      <c r="F872" s="23"/>
      <c r="G872" s="23"/>
      <c r="H872" s="23"/>
      <c r="I872" s="23"/>
      <c r="J872" s="23"/>
      <c r="K872" s="23"/>
      <c r="L872" s="23"/>
      <c r="M872" s="23"/>
      <c r="N872" s="23"/>
      <c r="O872" s="23"/>
      <c r="P872" s="23"/>
      <c r="Q872" s="23"/>
      <c r="R872" s="5" t="s">
        <v>771</v>
      </c>
      <c r="S872" t="s">
        <v>772</v>
      </c>
    </row>
    <row r="873" spans="1:19" x14ac:dyDescent="0.25">
      <c r="B873" s="3" t="s">
        <v>390</v>
      </c>
      <c r="C873" s="23"/>
      <c r="D873" s="23"/>
      <c r="E873" s="23"/>
      <c r="F873" s="23"/>
      <c r="G873" s="23"/>
      <c r="H873" s="23"/>
      <c r="I873" s="23"/>
      <c r="J873" s="23"/>
      <c r="K873" s="23"/>
      <c r="L873" s="23"/>
      <c r="M873" s="23"/>
      <c r="N873" s="23"/>
      <c r="O873" s="23"/>
      <c r="P873" s="23"/>
      <c r="Q873" s="23"/>
      <c r="R873" s="5" t="s">
        <v>396</v>
      </c>
      <c r="S873" t="s">
        <v>69</v>
      </c>
    </row>
    <row r="874" spans="1:19" x14ac:dyDescent="0.25">
      <c r="B874" s="3" t="s">
        <v>392</v>
      </c>
      <c r="C874" s="23"/>
      <c r="D874" s="23"/>
      <c r="E874" s="23"/>
      <c r="F874" s="23"/>
      <c r="G874" s="23"/>
      <c r="H874" s="23"/>
      <c r="I874" s="23"/>
      <c r="J874" s="23"/>
      <c r="K874" s="23"/>
      <c r="L874" s="23"/>
      <c r="M874" s="23"/>
      <c r="N874" s="23"/>
      <c r="O874" s="23"/>
      <c r="P874" s="23"/>
      <c r="Q874" s="23"/>
      <c r="R874" s="5" t="s">
        <v>396</v>
      </c>
      <c r="S874" t="s">
        <v>69</v>
      </c>
    </row>
    <row r="875" spans="1:19" x14ac:dyDescent="0.25">
      <c r="B875" s="3" t="s">
        <v>393</v>
      </c>
      <c r="C875" s="23"/>
      <c r="D875" s="23"/>
      <c r="E875" s="23"/>
      <c r="F875" s="23"/>
      <c r="G875" s="23"/>
      <c r="H875" s="23"/>
      <c r="I875" s="23"/>
      <c r="J875" s="23"/>
      <c r="K875" s="23"/>
      <c r="L875" s="23"/>
      <c r="M875" s="23"/>
      <c r="N875" s="23"/>
      <c r="O875" s="23"/>
      <c r="P875" s="23"/>
      <c r="Q875" s="23"/>
      <c r="R875" s="5" t="s">
        <v>396</v>
      </c>
      <c r="S875" t="s">
        <v>69</v>
      </c>
    </row>
    <row r="876" spans="1:19" x14ac:dyDescent="0.25">
      <c r="B876" s="3" t="s">
        <v>389</v>
      </c>
      <c r="C876" s="23"/>
      <c r="D876" s="23"/>
      <c r="E876" s="23"/>
      <c r="F876" s="23"/>
      <c r="G876" s="23"/>
      <c r="H876" s="23"/>
      <c r="I876" s="23"/>
      <c r="J876" s="23"/>
      <c r="K876" s="23"/>
      <c r="L876" s="23"/>
      <c r="M876" s="23"/>
      <c r="N876" s="23"/>
      <c r="O876" s="23"/>
      <c r="P876" s="23"/>
      <c r="Q876" s="23"/>
      <c r="R876" s="5" t="s">
        <v>396</v>
      </c>
      <c r="S876" t="s">
        <v>69</v>
      </c>
    </row>
    <row r="877" spans="1:19" x14ac:dyDescent="0.25">
      <c r="B877" s="3" t="s">
        <v>391</v>
      </c>
      <c r="C877" s="23"/>
      <c r="D877" s="23"/>
      <c r="E877" s="23"/>
      <c r="F877" s="23"/>
      <c r="G877" s="23"/>
      <c r="H877" s="23"/>
      <c r="I877" s="23"/>
      <c r="J877" s="23"/>
      <c r="K877" s="23"/>
      <c r="L877" s="23"/>
      <c r="M877" s="23"/>
      <c r="N877" s="23"/>
      <c r="O877" s="23"/>
      <c r="P877" s="23"/>
      <c r="Q877" s="23"/>
      <c r="R877" s="5" t="s">
        <v>396</v>
      </c>
      <c r="S877" t="s">
        <v>69</v>
      </c>
    </row>
    <row r="878" spans="1:19" x14ac:dyDescent="0.25">
      <c r="B878" s="3" t="s">
        <v>394</v>
      </c>
      <c r="C878" s="23"/>
      <c r="D878" s="23"/>
      <c r="E878" s="23"/>
      <c r="F878" s="23"/>
      <c r="G878" s="23"/>
      <c r="H878" s="23"/>
      <c r="I878" s="23"/>
      <c r="J878" s="23"/>
      <c r="K878" s="23"/>
      <c r="L878" s="23"/>
      <c r="M878" s="23"/>
      <c r="N878" s="23"/>
      <c r="O878" s="23"/>
      <c r="P878" s="23"/>
      <c r="Q878" s="23"/>
      <c r="R878" s="5" t="s">
        <v>396</v>
      </c>
      <c r="S878" t="s">
        <v>69</v>
      </c>
    </row>
    <row r="879" spans="1:19" x14ac:dyDescent="0.25">
      <c r="B879" s="3" t="s">
        <v>395</v>
      </c>
      <c r="C879" s="23"/>
      <c r="D879" s="23"/>
      <c r="E879" s="23"/>
      <c r="F879" s="23"/>
      <c r="G879" s="23"/>
      <c r="H879" s="23"/>
      <c r="I879" s="23"/>
      <c r="J879" s="23"/>
      <c r="K879" s="23"/>
      <c r="L879" s="23"/>
      <c r="M879" s="23"/>
      <c r="N879" s="23"/>
      <c r="O879" s="23"/>
      <c r="P879" s="23"/>
      <c r="Q879" s="23"/>
      <c r="R879" s="5" t="s">
        <v>396</v>
      </c>
      <c r="S879" t="s">
        <v>69</v>
      </c>
    </row>
    <row r="880" spans="1:19" x14ac:dyDescent="0.25">
      <c r="A880" t="s">
        <v>895</v>
      </c>
      <c r="B880" s="3" t="s">
        <v>397</v>
      </c>
      <c r="C880" s="23"/>
      <c r="D880" s="23"/>
      <c r="E880" s="23"/>
      <c r="F880" s="23"/>
      <c r="G880" s="23"/>
      <c r="H880" s="23"/>
      <c r="I880" s="23"/>
      <c r="J880" s="23"/>
      <c r="K880" s="23"/>
      <c r="L880" s="23"/>
      <c r="M880" s="23"/>
      <c r="N880" s="23"/>
      <c r="O880" s="23"/>
      <c r="P880" s="23"/>
      <c r="Q880" s="23"/>
      <c r="R880" s="5" t="s">
        <v>396</v>
      </c>
      <c r="S880" t="s">
        <v>69</v>
      </c>
    </row>
    <row r="881" spans="1:19" x14ac:dyDescent="0.25">
      <c r="B881" t="s">
        <v>321</v>
      </c>
      <c r="C881" s="21">
        <v>1</v>
      </c>
      <c r="D881" s="21">
        <v>2</v>
      </c>
      <c r="E881" s="21">
        <v>3</v>
      </c>
      <c r="F881" s="21">
        <v>4</v>
      </c>
      <c r="G881" s="21">
        <v>5</v>
      </c>
      <c r="H881" s="21">
        <v>6</v>
      </c>
      <c r="I881" s="21">
        <v>7</v>
      </c>
      <c r="J881" s="21">
        <v>8</v>
      </c>
      <c r="K881" s="21">
        <v>9</v>
      </c>
      <c r="L881" s="21">
        <v>10</v>
      </c>
      <c r="M881" s="21">
        <v>11</v>
      </c>
      <c r="N881" s="21">
        <v>12</v>
      </c>
      <c r="O881" s="21">
        <v>13</v>
      </c>
      <c r="P881" s="21">
        <v>14</v>
      </c>
      <c r="Q881" s="21">
        <v>15</v>
      </c>
      <c r="R881" s="5" t="s">
        <v>11</v>
      </c>
      <c r="S881" t="s">
        <v>126</v>
      </c>
    </row>
    <row r="882" spans="1:19" x14ac:dyDescent="0.25">
      <c r="A882" t="s">
        <v>896</v>
      </c>
      <c r="B882" t="s">
        <v>10</v>
      </c>
      <c r="C882" s="2">
        <v>0.4128</v>
      </c>
      <c r="D882" s="2">
        <v>0.44640000000000002</v>
      </c>
      <c r="E882" s="2">
        <v>0.48</v>
      </c>
      <c r="F882" s="2">
        <v>0.52800000000000002</v>
      </c>
      <c r="G882" s="2">
        <v>0.56159999999999999</v>
      </c>
      <c r="H882" s="2">
        <v>0.6</v>
      </c>
      <c r="I882" s="2">
        <v>0.65280000000000005</v>
      </c>
      <c r="J882" s="2">
        <v>0.7056</v>
      </c>
      <c r="K882" s="2">
        <v>0.75839999999999996</v>
      </c>
      <c r="L882" s="2">
        <v>0.81599999999999995</v>
      </c>
      <c r="M882" s="2">
        <v>0.87360000000000004</v>
      </c>
      <c r="N882" s="2">
        <v>0.93120000000000003</v>
      </c>
      <c r="O882" s="2">
        <v>0.98880000000000001</v>
      </c>
      <c r="P882" s="2">
        <v>1.0464</v>
      </c>
      <c r="Q882" s="2">
        <v>1.1040000000000001</v>
      </c>
      <c r="R882" t="s">
        <v>6</v>
      </c>
      <c r="S882" t="s">
        <v>127</v>
      </c>
    </row>
    <row r="883" spans="1:19" x14ac:dyDescent="0.25">
      <c r="B883" t="s">
        <v>9</v>
      </c>
      <c r="C883" s="2">
        <v>0.4627</v>
      </c>
      <c r="D883" s="2">
        <v>0.50029999999999997</v>
      </c>
      <c r="E883" s="2">
        <v>0.53800000000000003</v>
      </c>
      <c r="F883" s="2">
        <v>0.59179999999999999</v>
      </c>
      <c r="G883" s="2">
        <v>0.62949999999999995</v>
      </c>
      <c r="H883" s="2">
        <v>0.67249999999999999</v>
      </c>
      <c r="I883" s="2">
        <v>0.73170000000000002</v>
      </c>
      <c r="J883" s="2">
        <v>0.79090000000000005</v>
      </c>
      <c r="K883" s="2">
        <v>0.85</v>
      </c>
      <c r="L883" s="2">
        <v>0.91459999999999997</v>
      </c>
      <c r="M883" s="2">
        <v>0.97919999999999996</v>
      </c>
      <c r="N883" s="2">
        <v>1.0437000000000001</v>
      </c>
      <c r="O883" s="2">
        <v>1.1083000000000001</v>
      </c>
      <c r="P883" s="2">
        <v>1.1728000000000001</v>
      </c>
      <c r="Q883" s="2">
        <v>1.2374000000000001</v>
      </c>
      <c r="R883" t="s">
        <v>6</v>
      </c>
      <c r="S883" t="s">
        <v>127</v>
      </c>
    </row>
    <row r="884" spans="1:19" x14ac:dyDescent="0.25">
      <c r="B884" t="s">
        <v>8</v>
      </c>
      <c r="C884" s="2">
        <v>0.55379999999999996</v>
      </c>
      <c r="D884" s="2">
        <v>0.59889999999999999</v>
      </c>
      <c r="E884" s="2">
        <v>0.64400000000000002</v>
      </c>
      <c r="F884" s="2">
        <v>0.70840000000000003</v>
      </c>
      <c r="G884" s="2">
        <v>0.75349999999999995</v>
      </c>
      <c r="H884" s="2">
        <v>0.80500000000000005</v>
      </c>
      <c r="I884" s="2">
        <v>0.87580000000000002</v>
      </c>
      <c r="J884" s="2">
        <v>0.94669999999999999</v>
      </c>
      <c r="K884" s="2">
        <v>1.0175000000000001</v>
      </c>
      <c r="L884" s="2">
        <v>1.0948</v>
      </c>
      <c r="M884" s="2">
        <v>1.1720999999999999</v>
      </c>
      <c r="N884" s="2">
        <v>1.2494000000000001</v>
      </c>
      <c r="O884" s="2">
        <v>1.3266</v>
      </c>
      <c r="P884" s="2">
        <v>1.4038999999999999</v>
      </c>
      <c r="Q884" s="2">
        <v>1.4812000000000001</v>
      </c>
      <c r="R884" t="s">
        <v>6</v>
      </c>
      <c r="S884" t="s">
        <v>127</v>
      </c>
    </row>
    <row r="885" spans="1:19" x14ac:dyDescent="0.25">
      <c r="B885" t="s">
        <v>13</v>
      </c>
      <c r="C885" s="2">
        <v>0.57020000000000004</v>
      </c>
      <c r="D885" s="2">
        <v>0.61660000000000004</v>
      </c>
      <c r="E885" s="2">
        <v>0.66300000000000003</v>
      </c>
      <c r="F885" s="2">
        <v>0.72929999999999995</v>
      </c>
      <c r="G885" s="2">
        <v>0.77569999999999995</v>
      </c>
      <c r="H885" s="2">
        <v>0.82879999999999998</v>
      </c>
      <c r="I885" s="2">
        <v>0.90169999999999995</v>
      </c>
      <c r="J885" s="2">
        <v>0.97460000000000002</v>
      </c>
      <c r="K885" s="2">
        <v>1.0475000000000001</v>
      </c>
      <c r="L885" s="2">
        <v>1.1271</v>
      </c>
      <c r="M885" s="2">
        <v>1.2067000000000001</v>
      </c>
      <c r="N885" s="2">
        <v>1.2862</v>
      </c>
      <c r="O885" s="2">
        <v>1.3657999999999999</v>
      </c>
      <c r="P885" s="2">
        <v>1.4453</v>
      </c>
      <c r="Q885" s="2">
        <v>1.5248999999999999</v>
      </c>
      <c r="R885" t="s">
        <v>6</v>
      </c>
      <c r="S885" t="s">
        <v>127</v>
      </c>
    </row>
    <row r="886" spans="1:19" x14ac:dyDescent="0.25">
      <c r="B886" t="s">
        <v>7</v>
      </c>
      <c r="C886" s="2">
        <v>0.6089</v>
      </c>
      <c r="D886" s="2">
        <v>0.65839999999999999</v>
      </c>
      <c r="E886" s="2">
        <v>0.70799999999999996</v>
      </c>
      <c r="F886" s="2">
        <v>0.77880000000000005</v>
      </c>
      <c r="G886" s="2">
        <v>0.82840000000000003</v>
      </c>
      <c r="H886" s="2">
        <v>0.88500000000000001</v>
      </c>
      <c r="I886" s="2">
        <v>0.96289999999999998</v>
      </c>
      <c r="J886" s="2">
        <v>1.0407999999999999</v>
      </c>
      <c r="K886" s="2">
        <v>1.1186</v>
      </c>
      <c r="L886" s="2">
        <v>1.2036</v>
      </c>
      <c r="M886" s="2">
        <v>1.2886</v>
      </c>
      <c r="N886" s="2">
        <v>1.3734999999999999</v>
      </c>
      <c r="O886" s="2">
        <v>1.4584999999999999</v>
      </c>
      <c r="P886" s="2">
        <v>1.5434000000000001</v>
      </c>
      <c r="Q886" s="2">
        <v>1.6284000000000001</v>
      </c>
      <c r="R886" t="s">
        <v>6</v>
      </c>
      <c r="S886" t="s">
        <v>127</v>
      </c>
    </row>
    <row r="887" spans="1:19" x14ac:dyDescent="0.25">
      <c r="B887" t="s">
        <v>217</v>
      </c>
      <c r="C887" s="2">
        <v>0.72760000000000002</v>
      </c>
      <c r="D887" s="2">
        <v>0.78680000000000005</v>
      </c>
      <c r="E887" s="2">
        <v>0.84599999999999997</v>
      </c>
      <c r="F887" s="2">
        <v>0.93059999999999998</v>
      </c>
      <c r="G887" s="2">
        <v>0.98980000000000001</v>
      </c>
      <c r="H887" s="2">
        <v>1.0575000000000001</v>
      </c>
      <c r="I887" s="2">
        <v>1.1506000000000001</v>
      </c>
      <c r="J887" s="2">
        <v>1.2436</v>
      </c>
      <c r="K887" s="2">
        <v>1.3367</v>
      </c>
      <c r="L887" s="2">
        <v>1.4381999999999999</v>
      </c>
      <c r="M887" s="2">
        <v>1.5397000000000001</v>
      </c>
      <c r="N887" s="2">
        <v>1.6412</v>
      </c>
      <c r="O887" s="2">
        <v>1.7427999999999999</v>
      </c>
      <c r="P887" s="2">
        <v>1.8443000000000001</v>
      </c>
      <c r="Q887" s="2">
        <v>1.9458</v>
      </c>
      <c r="R887" t="s">
        <v>6</v>
      </c>
      <c r="S887" t="s">
        <v>127</v>
      </c>
    </row>
    <row r="888" spans="1:19" x14ac:dyDescent="0.25">
      <c r="B888" t="s">
        <v>133</v>
      </c>
      <c r="C888" s="2">
        <v>0.43859999999999999</v>
      </c>
      <c r="D888" s="2">
        <v>0.4743</v>
      </c>
      <c r="E888" s="2">
        <v>0.51</v>
      </c>
      <c r="F888" s="2">
        <v>0.56100000000000005</v>
      </c>
      <c r="G888" s="2">
        <v>0.59670000000000001</v>
      </c>
      <c r="H888" s="2">
        <v>0.63749999999999996</v>
      </c>
      <c r="I888" s="2">
        <v>0.69359999999999999</v>
      </c>
      <c r="J888" s="2">
        <v>0.74970000000000003</v>
      </c>
      <c r="K888" s="2">
        <v>0.80579999999999996</v>
      </c>
      <c r="L888" s="2">
        <v>0.86699999999999999</v>
      </c>
      <c r="M888" s="2">
        <v>0.92820000000000003</v>
      </c>
      <c r="N888" s="2">
        <v>0.98939999999999995</v>
      </c>
      <c r="O888" s="2">
        <v>1.0506</v>
      </c>
      <c r="P888" s="2">
        <v>1.1117999999999999</v>
      </c>
      <c r="Q888" s="2">
        <v>1.173</v>
      </c>
      <c r="R888" t="s">
        <v>5</v>
      </c>
      <c r="S888" t="s">
        <v>127</v>
      </c>
    </row>
    <row r="889" spans="1:19" x14ac:dyDescent="0.25">
      <c r="B889" t="s">
        <v>134</v>
      </c>
      <c r="C889" s="2">
        <v>1.24</v>
      </c>
      <c r="D889" s="2">
        <v>1.333</v>
      </c>
      <c r="E889" s="2">
        <v>1.4259999999999999</v>
      </c>
      <c r="F889" s="2">
        <v>1.55</v>
      </c>
      <c r="G889" s="2">
        <v>1.643</v>
      </c>
      <c r="H889" s="2">
        <v>1.736</v>
      </c>
      <c r="I889" s="2">
        <v>1.86</v>
      </c>
      <c r="J889" s="2">
        <v>1.984</v>
      </c>
      <c r="K889" s="2">
        <v>2.1080000000000001</v>
      </c>
      <c r="L889" s="2">
        <v>2.2320000000000002</v>
      </c>
      <c r="M889" s="2">
        <v>2.3559999999999999</v>
      </c>
      <c r="N889" s="2">
        <v>2.48</v>
      </c>
      <c r="O889" s="2">
        <v>2.6349999999999998</v>
      </c>
      <c r="P889" s="2">
        <v>2.79</v>
      </c>
      <c r="Q889" s="2">
        <v>2.9449999999999998</v>
      </c>
      <c r="R889" t="s">
        <v>5</v>
      </c>
      <c r="S889" t="s">
        <v>127</v>
      </c>
    </row>
    <row r="890" spans="1:19" x14ac:dyDescent="0.25">
      <c r="B890" t="s">
        <v>322</v>
      </c>
      <c r="C890" s="2">
        <v>0.124</v>
      </c>
      <c r="D890" s="2">
        <v>0.1333</v>
      </c>
      <c r="E890" s="2">
        <v>0.1426</v>
      </c>
      <c r="F890" s="2">
        <v>0.155</v>
      </c>
      <c r="G890" s="2">
        <v>0.1643</v>
      </c>
      <c r="H890" s="2">
        <v>0.1736</v>
      </c>
      <c r="I890" s="2">
        <v>0.186</v>
      </c>
      <c r="J890" s="2">
        <v>0.19839999999999999</v>
      </c>
      <c r="K890" s="2">
        <v>0.21079999999999999</v>
      </c>
      <c r="L890" s="2">
        <v>0.22320000000000001</v>
      </c>
      <c r="M890" s="2">
        <v>0.2356</v>
      </c>
      <c r="N890" s="2">
        <v>0.248</v>
      </c>
      <c r="O890" s="2">
        <v>0.26350000000000001</v>
      </c>
      <c r="P890" s="2">
        <v>0.27900000000000003</v>
      </c>
      <c r="Q890" s="2">
        <v>0.29449999999999998</v>
      </c>
      <c r="R890" t="s">
        <v>6</v>
      </c>
      <c r="S890" t="s">
        <v>127</v>
      </c>
    </row>
    <row r="891" spans="1:19" x14ac:dyDescent="0.25">
      <c r="B891" t="s">
        <v>320</v>
      </c>
      <c r="C891" s="2">
        <v>0.62</v>
      </c>
      <c r="D891" s="2">
        <v>0.66649999999999998</v>
      </c>
      <c r="E891" s="2">
        <v>0.71299999999999997</v>
      </c>
      <c r="F891" s="2">
        <v>0.77500000000000002</v>
      </c>
      <c r="G891" s="2">
        <v>0.82150000000000001</v>
      </c>
      <c r="H891" s="2">
        <v>0.86799999999999999</v>
      </c>
      <c r="I891" s="2">
        <v>0.93</v>
      </c>
      <c r="J891" s="2">
        <v>0.99199999999999999</v>
      </c>
      <c r="K891" s="2">
        <v>1.054</v>
      </c>
      <c r="L891" s="2">
        <v>1.1160000000000001</v>
      </c>
      <c r="M891" s="2">
        <v>1.1779999999999999</v>
      </c>
      <c r="N891" s="2">
        <v>1.24</v>
      </c>
      <c r="O891" s="2">
        <v>1.3174999999999999</v>
      </c>
      <c r="P891" s="2">
        <v>1.395</v>
      </c>
      <c r="Q891" s="2">
        <v>1.4724999999999999</v>
      </c>
      <c r="R891" t="s">
        <v>6</v>
      </c>
      <c r="S891" t="s">
        <v>127</v>
      </c>
    </row>
    <row r="892" spans="1:19" x14ac:dyDescent="0.25">
      <c r="B892" t="s">
        <v>155</v>
      </c>
      <c r="C892" s="2">
        <v>0.63929999999999998</v>
      </c>
      <c r="D892" s="2">
        <v>0.69140000000000001</v>
      </c>
      <c r="E892" s="2">
        <v>0.74339999999999995</v>
      </c>
      <c r="F892" s="2">
        <v>0.81769999999999998</v>
      </c>
      <c r="G892" s="2">
        <v>0.86980000000000002</v>
      </c>
      <c r="H892" s="2">
        <v>0.92930000000000001</v>
      </c>
      <c r="I892" s="2">
        <v>1.0109999999999999</v>
      </c>
      <c r="J892" s="2">
        <v>1.0928</v>
      </c>
      <c r="K892" s="2">
        <v>1.1746000000000001</v>
      </c>
      <c r="L892" s="2">
        <v>1.2638</v>
      </c>
      <c r="M892" s="2">
        <v>1.353</v>
      </c>
      <c r="N892" s="2">
        <v>1.4421999999999999</v>
      </c>
      <c r="O892" s="2">
        <v>1.5314000000000001</v>
      </c>
      <c r="P892" s="2">
        <v>1.6206</v>
      </c>
      <c r="Q892" s="2">
        <v>1.7098</v>
      </c>
      <c r="R892" t="s">
        <v>3</v>
      </c>
      <c r="S892" t="s">
        <v>127</v>
      </c>
    </row>
    <row r="893" spans="1:19" x14ac:dyDescent="0.25">
      <c r="B893" t="s">
        <v>135</v>
      </c>
      <c r="C893" s="2">
        <v>1.2784</v>
      </c>
      <c r="D893" s="2">
        <v>1.3824000000000001</v>
      </c>
      <c r="E893" s="2">
        <v>1.4864999999999999</v>
      </c>
      <c r="F893" s="2">
        <v>1.6351</v>
      </c>
      <c r="G893" s="2">
        <v>1.7392000000000001</v>
      </c>
      <c r="H893" s="2">
        <v>1.8581000000000001</v>
      </c>
      <c r="I893" s="2">
        <v>2.0215999999999998</v>
      </c>
      <c r="J893" s="2">
        <v>2.1850999999999998</v>
      </c>
      <c r="K893" s="2">
        <v>2.3485999999999998</v>
      </c>
      <c r="L893" s="2">
        <v>2.5270000000000001</v>
      </c>
      <c r="M893" s="2">
        <v>2.7054</v>
      </c>
      <c r="N893" s="2">
        <v>2.8837999999999999</v>
      </c>
      <c r="O893" s="2">
        <v>3.0621999999999998</v>
      </c>
      <c r="P893" s="2">
        <v>3.2404999999999999</v>
      </c>
      <c r="Q893" s="2">
        <v>3.4188999999999998</v>
      </c>
      <c r="R893" t="s">
        <v>3</v>
      </c>
      <c r="S893" t="s">
        <v>127</v>
      </c>
    </row>
    <row r="894" spans="1:19" x14ac:dyDescent="0.25">
      <c r="B894" t="s">
        <v>136</v>
      </c>
      <c r="C894" s="2">
        <v>1.5968</v>
      </c>
      <c r="D894" s="2">
        <v>1.7266999999999999</v>
      </c>
      <c r="E894" s="2">
        <v>1.8567</v>
      </c>
      <c r="F894" s="2">
        <v>2.0424000000000002</v>
      </c>
      <c r="G894" s="2">
        <v>2.1722999999999999</v>
      </c>
      <c r="H894" s="2">
        <v>2.3209</v>
      </c>
      <c r="I894" s="2">
        <v>2.5251000000000001</v>
      </c>
      <c r="J894" s="2">
        <v>2.7292999999999998</v>
      </c>
      <c r="K894" s="2">
        <v>2.9336000000000002</v>
      </c>
      <c r="L894" s="2">
        <v>3.1564000000000001</v>
      </c>
      <c r="M894" s="2">
        <v>3.3792</v>
      </c>
      <c r="N894" s="2">
        <v>3.6019999999999999</v>
      </c>
      <c r="O894" s="2">
        <v>3.8248000000000002</v>
      </c>
      <c r="P894" s="2">
        <v>4.0476000000000001</v>
      </c>
      <c r="Q894" s="2">
        <v>4.2704000000000004</v>
      </c>
      <c r="R894" t="s">
        <v>3</v>
      </c>
      <c r="S894" t="s">
        <v>127</v>
      </c>
    </row>
    <row r="895" spans="1:19" x14ac:dyDescent="0.25">
      <c r="B895" t="s">
        <v>323</v>
      </c>
      <c r="C895" s="2">
        <v>0.72</v>
      </c>
      <c r="D895" s="2">
        <v>0.77400000000000002</v>
      </c>
      <c r="E895" s="2">
        <v>0.82799999999999996</v>
      </c>
      <c r="F895" s="2">
        <v>0.9</v>
      </c>
      <c r="G895" s="2">
        <v>0.95399999999999996</v>
      </c>
      <c r="H895" s="2">
        <v>1.008</v>
      </c>
      <c r="I895" s="2">
        <v>1.08</v>
      </c>
      <c r="J895" s="2">
        <v>1.1519999999999999</v>
      </c>
      <c r="K895" s="2">
        <v>1.224</v>
      </c>
      <c r="L895" s="2">
        <v>1.296</v>
      </c>
      <c r="M895" s="2">
        <v>1.3680000000000001</v>
      </c>
      <c r="N895" s="2">
        <v>1.44</v>
      </c>
      <c r="O895" s="2">
        <v>1.53</v>
      </c>
      <c r="P895" s="2">
        <v>1.62</v>
      </c>
      <c r="Q895" s="2">
        <v>1.71</v>
      </c>
      <c r="R895" t="s">
        <v>19</v>
      </c>
      <c r="S895" t="s">
        <v>127</v>
      </c>
    </row>
    <row r="896" spans="1:19" x14ac:dyDescent="0.25">
      <c r="B896" t="s">
        <v>177</v>
      </c>
      <c r="C896" s="2">
        <v>0.38869999999999999</v>
      </c>
      <c r="D896" s="2">
        <v>0.4204</v>
      </c>
      <c r="E896" s="2">
        <v>0.45200000000000001</v>
      </c>
      <c r="F896" s="2">
        <v>0.49719999999999998</v>
      </c>
      <c r="G896" s="2">
        <v>0.52880000000000005</v>
      </c>
      <c r="H896" s="2">
        <v>0.56499999999999995</v>
      </c>
      <c r="I896" s="2">
        <v>0.61470000000000002</v>
      </c>
      <c r="J896" s="2">
        <v>0.66439999999999999</v>
      </c>
      <c r="K896" s="2">
        <v>0.71419999999999995</v>
      </c>
      <c r="L896" s="2">
        <v>0.76839999999999997</v>
      </c>
      <c r="M896" s="2">
        <v>0.8226</v>
      </c>
      <c r="N896" s="2">
        <v>0.87690000000000001</v>
      </c>
      <c r="O896" s="2">
        <v>0.93110000000000004</v>
      </c>
      <c r="P896" s="2">
        <v>0.98540000000000005</v>
      </c>
      <c r="Q896" s="2">
        <v>1.0396000000000001</v>
      </c>
      <c r="R896" t="s">
        <v>6</v>
      </c>
      <c r="S896" t="s">
        <v>127</v>
      </c>
    </row>
    <row r="897" spans="2:19" x14ac:dyDescent="0.25">
      <c r="B897" t="s">
        <v>324</v>
      </c>
      <c r="C897" s="2">
        <v>0.41620000000000001</v>
      </c>
      <c r="D897" s="2">
        <v>0.4501</v>
      </c>
      <c r="E897" s="2">
        <v>0.48399999999999999</v>
      </c>
      <c r="F897" s="2">
        <v>0.53239999999999998</v>
      </c>
      <c r="G897" s="2">
        <v>0.56630000000000003</v>
      </c>
      <c r="H897" s="2">
        <v>0.60499999999999998</v>
      </c>
      <c r="I897" s="2">
        <v>0.65820000000000001</v>
      </c>
      <c r="J897" s="2">
        <v>0.71150000000000002</v>
      </c>
      <c r="K897" s="2">
        <v>0.76470000000000005</v>
      </c>
      <c r="L897" s="2">
        <v>0.82279999999999998</v>
      </c>
      <c r="M897" s="2">
        <v>0.88090000000000002</v>
      </c>
      <c r="N897" s="2">
        <v>0.93899999999999995</v>
      </c>
      <c r="O897" s="2">
        <v>0.997</v>
      </c>
      <c r="P897" s="2">
        <v>1.0550999999999999</v>
      </c>
      <c r="Q897" s="2">
        <v>1.1132</v>
      </c>
      <c r="R897" t="s">
        <v>6</v>
      </c>
      <c r="S897" t="s">
        <v>127</v>
      </c>
    </row>
    <row r="898" spans="2:19" x14ac:dyDescent="0.25">
      <c r="B898" t="s">
        <v>325</v>
      </c>
      <c r="C898" s="2">
        <v>0.56330000000000002</v>
      </c>
      <c r="D898" s="2">
        <v>0.60919999999999996</v>
      </c>
      <c r="E898" s="2">
        <v>0.65500000000000003</v>
      </c>
      <c r="F898" s="2">
        <v>0.72050000000000003</v>
      </c>
      <c r="G898" s="2">
        <v>0.76639999999999997</v>
      </c>
      <c r="H898" s="2">
        <v>0.81879999999999997</v>
      </c>
      <c r="I898" s="2">
        <v>0.89080000000000004</v>
      </c>
      <c r="J898" s="2">
        <v>0.96289999999999998</v>
      </c>
      <c r="K898" s="2">
        <v>1.0348999999999999</v>
      </c>
      <c r="L898" s="2">
        <v>1.1134999999999999</v>
      </c>
      <c r="M898" s="2">
        <v>1.1920999999999999</v>
      </c>
      <c r="N898" s="2">
        <v>1.2706999999999999</v>
      </c>
      <c r="O898" s="2">
        <v>1.3492999999999999</v>
      </c>
      <c r="P898" s="2">
        <v>1.4278999999999999</v>
      </c>
      <c r="Q898" s="2">
        <v>1.5065</v>
      </c>
      <c r="R898" t="s">
        <v>6</v>
      </c>
      <c r="S898" t="s">
        <v>127</v>
      </c>
    </row>
    <row r="899" spans="2:19" x14ac:dyDescent="0.25">
      <c r="B899" t="s">
        <v>326</v>
      </c>
      <c r="C899" s="2">
        <v>0.59940000000000004</v>
      </c>
      <c r="D899" s="2">
        <v>0.6482</v>
      </c>
      <c r="E899" s="2">
        <v>0.69699999999999995</v>
      </c>
      <c r="F899" s="2">
        <v>0.76670000000000005</v>
      </c>
      <c r="G899" s="2">
        <v>0.8155</v>
      </c>
      <c r="H899" s="2">
        <v>0.87129999999999996</v>
      </c>
      <c r="I899" s="2">
        <v>0.94789999999999996</v>
      </c>
      <c r="J899" s="2">
        <v>1.0246</v>
      </c>
      <c r="K899" s="2">
        <v>1.1012999999999999</v>
      </c>
      <c r="L899" s="2">
        <v>1.1849000000000001</v>
      </c>
      <c r="M899" s="2">
        <v>1.2685</v>
      </c>
      <c r="N899" s="2">
        <v>1.3522000000000001</v>
      </c>
      <c r="O899" s="2">
        <v>1.4358</v>
      </c>
      <c r="P899" s="2">
        <v>1.5195000000000001</v>
      </c>
      <c r="Q899" s="2">
        <v>1.6031</v>
      </c>
      <c r="R899" t="s">
        <v>6</v>
      </c>
      <c r="S899" t="s">
        <v>127</v>
      </c>
    </row>
    <row r="900" spans="2:19" x14ac:dyDescent="0.25">
      <c r="B900" t="s">
        <v>327</v>
      </c>
      <c r="C900" s="2">
        <v>0.55300000000000005</v>
      </c>
      <c r="D900" s="2">
        <v>0.59799999999999998</v>
      </c>
      <c r="E900" s="2">
        <v>0.64300000000000002</v>
      </c>
      <c r="F900" s="2">
        <v>0.70730000000000004</v>
      </c>
      <c r="G900" s="2">
        <v>0.75229999999999997</v>
      </c>
      <c r="H900" s="2">
        <v>0.80379999999999996</v>
      </c>
      <c r="I900" s="2">
        <v>0.87450000000000006</v>
      </c>
      <c r="J900" s="2">
        <v>0.94520000000000004</v>
      </c>
      <c r="K900" s="2">
        <v>1.0159</v>
      </c>
      <c r="L900" s="2">
        <v>1.0931</v>
      </c>
      <c r="M900" s="2">
        <v>1.1702999999999999</v>
      </c>
      <c r="N900" s="2">
        <v>1.2474000000000001</v>
      </c>
      <c r="O900" s="2">
        <v>1.3246</v>
      </c>
      <c r="P900" s="2">
        <v>1.4016999999999999</v>
      </c>
      <c r="Q900" s="2">
        <v>1.4789000000000001</v>
      </c>
      <c r="R900" t="s">
        <v>6</v>
      </c>
      <c r="S900" t="s">
        <v>127</v>
      </c>
    </row>
    <row r="901" spans="2:19" x14ac:dyDescent="0.25">
      <c r="B901" t="s">
        <v>328</v>
      </c>
      <c r="C901" s="2">
        <v>0.3543</v>
      </c>
      <c r="D901" s="2">
        <v>0.38319999999999999</v>
      </c>
      <c r="E901" s="2">
        <v>0.41199999999999998</v>
      </c>
      <c r="F901" s="2">
        <v>0.45319999999999999</v>
      </c>
      <c r="G901" s="2">
        <v>0.48199999999999998</v>
      </c>
      <c r="H901" s="2">
        <v>0.51500000000000001</v>
      </c>
      <c r="I901" s="2">
        <v>0.56030000000000002</v>
      </c>
      <c r="J901" s="2">
        <v>0.60560000000000003</v>
      </c>
      <c r="K901" s="2">
        <v>0.65100000000000002</v>
      </c>
      <c r="L901" s="2">
        <v>0.70040000000000002</v>
      </c>
      <c r="M901" s="2">
        <v>0.74980000000000002</v>
      </c>
      <c r="N901" s="2">
        <v>0.79930000000000001</v>
      </c>
      <c r="O901" s="2">
        <v>0.84870000000000001</v>
      </c>
      <c r="P901" s="2">
        <v>0.8982</v>
      </c>
      <c r="Q901" s="2">
        <v>0.9476</v>
      </c>
      <c r="R901" t="s">
        <v>6</v>
      </c>
      <c r="S901" t="s">
        <v>127</v>
      </c>
    </row>
    <row r="902" spans="2:19" x14ac:dyDescent="0.25">
      <c r="B902" t="s">
        <v>329</v>
      </c>
      <c r="C902" s="2">
        <v>0.37669999999999998</v>
      </c>
      <c r="D902" s="2">
        <v>0.4073</v>
      </c>
      <c r="E902" s="2">
        <v>0.438</v>
      </c>
      <c r="F902" s="2">
        <v>0.48180000000000001</v>
      </c>
      <c r="G902" s="2">
        <v>0.51249999999999996</v>
      </c>
      <c r="H902" s="2">
        <v>0.54749999999999999</v>
      </c>
      <c r="I902" s="2">
        <v>0.59570000000000001</v>
      </c>
      <c r="J902" s="2">
        <v>0.64390000000000003</v>
      </c>
      <c r="K902" s="2">
        <v>0.69199999999999995</v>
      </c>
      <c r="L902" s="2">
        <v>0.74460000000000004</v>
      </c>
      <c r="M902" s="2">
        <v>0.79720000000000002</v>
      </c>
      <c r="N902" s="2">
        <v>0.84970000000000001</v>
      </c>
      <c r="O902" s="2">
        <v>0.90229999999999999</v>
      </c>
      <c r="P902" s="2">
        <v>0.95479999999999998</v>
      </c>
      <c r="Q902" s="2">
        <v>1.0074000000000001</v>
      </c>
      <c r="R902" t="s">
        <v>6</v>
      </c>
      <c r="S902" t="s">
        <v>127</v>
      </c>
    </row>
    <row r="903" spans="2:19" x14ac:dyDescent="0.25">
      <c r="B903" t="s">
        <v>330</v>
      </c>
      <c r="C903" s="2">
        <v>0.60199999999999998</v>
      </c>
      <c r="D903" s="2">
        <v>0.65100000000000002</v>
      </c>
      <c r="E903" s="2">
        <v>0.7</v>
      </c>
      <c r="F903" s="2">
        <v>0.77</v>
      </c>
      <c r="G903" s="2">
        <v>0.81899999999999995</v>
      </c>
      <c r="H903" s="2">
        <v>0.875</v>
      </c>
      <c r="I903" s="2">
        <v>0.95199999999999996</v>
      </c>
      <c r="J903" s="2">
        <v>1.0289999999999999</v>
      </c>
      <c r="K903" s="2">
        <v>1.1060000000000001</v>
      </c>
      <c r="L903" s="2">
        <v>1.19</v>
      </c>
      <c r="M903" s="2">
        <v>1.274</v>
      </c>
      <c r="N903" s="2">
        <v>1.3580000000000001</v>
      </c>
      <c r="O903" s="2">
        <v>1.4419999999999999</v>
      </c>
      <c r="P903" s="2">
        <v>1.526</v>
      </c>
      <c r="Q903" s="2">
        <v>1.61</v>
      </c>
      <c r="R903" t="s">
        <v>5</v>
      </c>
      <c r="S903" t="s">
        <v>127</v>
      </c>
    </row>
    <row r="904" spans="2:19" x14ac:dyDescent="0.25">
      <c r="B904" t="s">
        <v>331</v>
      </c>
      <c r="C904" s="2">
        <v>0.7198</v>
      </c>
      <c r="D904" s="2">
        <v>0.77839999999999998</v>
      </c>
      <c r="E904" s="2">
        <v>0.83699999999999997</v>
      </c>
      <c r="F904" s="2">
        <v>0.92069999999999996</v>
      </c>
      <c r="G904" s="2">
        <v>0.97929999999999995</v>
      </c>
      <c r="H904" s="2">
        <v>1.0462</v>
      </c>
      <c r="I904" s="2">
        <v>1.1383000000000001</v>
      </c>
      <c r="J904" s="2">
        <v>1.2303999999999999</v>
      </c>
      <c r="K904" s="2">
        <v>1.3225</v>
      </c>
      <c r="L904" s="2">
        <v>1.4229000000000001</v>
      </c>
      <c r="M904" s="2">
        <v>1.5233000000000001</v>
      </c>
      <c r="N904" s="2">
        <v>1.6237999999999999</v>
      </c>
      <c r="O904" s="2">
        <v>1.7242</v>
      </c>
      <c r="P904" s="2">
        <v>1.8247</v>
      </c>
      <c r="Q904" s="2">
        <v>1.9251</v>
      </c>
      <c r="R904" t="s">
        <v>5</v>
      </c>
      <c r="S904" t="s">
        <v>127</v>
      </c>
    </row>
    <row r="905" spans="2:19" x14ac:dyDescent="0.25">
      <c r="B905" t="s">
        <v>332</v>
      </c>
      <c r="C905" s="2">
        <v>0.60199999999999998</v>
      </c>
      <c r="D905" s="2">
        <v>0.65100000000000002</v>
      </c>
      <c r="E905" s="2">
        <v>0.7</v>
      </c>
      <c r="F905" s="2">
        <v>0.77</v>
      </c>
      <c r="G905" s="2">
        <v>0.81899999999999995</v>
      </c>
      <c r="H905" s="2">
        <v>0.875</v>
      </c>
      <c r="I905" s="2">
        <v>0.95199999999999996</v>
      </c>
      <c r="J905" s="2">
        <v>1.0289999999999999</v>
      </c>
      <c r="K905" s="2">
        <v>1.1060000000000001</v>
      </c>
      <c r="L905" s="2">
        <v>1.19</v>
      </c>
      <c r="M905" s="2">
        <v>1.274</v>
      </c>
      <c r="N905" s="2">
        <v>1.3580000000000001</v>
      </c>
      <c r="O905" s="2">
        <v>1.4419999999999999</v>
      </c>
      <c r="P905" s="2">
        <v>1.526</v>
      </c>
      <c r="Q905" s="2">
        <v>1.61</v>
      </c>
      <c r="R905" t="s">
        <v>19</v>
      </c>
      <c r="S905" t="s">
        <v>127</v>
      </c>
    </row>
    <row r="906" spans="2:19" x14ac:dyDescent="0.25">
      <c r="B906" t="s">
        <v>334</v>
      </c>
      <c r="C906" s="2">
        <v>4.6399999999999997</v>
      </c>
      <c r="D906" s="2">
        <v>4.9880000000000004</v>
      </c>
      <c r="E906" s="2">
        <v>5.3360000000000003</v>
      </c>
      <c r="F906" s="2">
        <v>5.8</v>
      </c>
      <c r="G906" s="2">
        <v>6.1479999999999997</v>
      </c>
      <c r="H906" s="2">
        <v>6.4960000000000004</v>
      </c>
      <c r="I906" s="2">
        <v>6.96</v>
      </c>
      <c r="J906" s="2">
        <v>7.4240000000000004</v>
      </c>
      <c r="K906" s="2">
        <v>7.8879999999999999</v>
      </c>
      <c r="L906" s="2">
        <v>8.3520000000000003</v>
      </c>
      <c r="M906" s="2">
        <v>8.8160000000000007</v>
      </c>
      <c r="N906" s="2">
        <v>9.2799999999999994</v>
      </c>
      <c r="O906" s="2">
        <v>9.86</v>
      </c>
      <c r="P906" s="2">
        <v>10.44</v>
      </c>
      <c r="Q906" s="2">
        <v>11.02</v>
      </c>
      <c r="R906" t="s">
        <v>0</v>
      </c>
      <c r="S906" t="s">
        <v>127</v>
      </c>
    </row>
    <row r="907" spans="2:19" x14ac:dyDescent="0.25">
      <c r="B907" t="s">
        <v>335</v>
      </c>
      <c r="C907" s="2">
        <v>3.7839999999999998</v>
      </c>
      <c r="D907" s="2">
        <v>4.0678000000000001</v>
      </c>
      <c r="E907" s="2">
        <v>4.3516000000000004</v>
      </c>
      <c r="F907" s="2">
        <v>4.7300000000000004</v>
      </c>
      <c r="G907" s="2">
        <v>5.0137999999999998</v>
      </c>
      <c r="H907" s="2">
        <v>5.2976000000000001</v>
      </c>
      <c r="I907" s="2">
        <v>5.6760000000000002</v>
      </c>
      <c r="J907" s="2">
        <v>6.0544000000000002</v>
      </c>
      <c r="K907" s="2">
        <v>6.4328000000000003</v>
      </c>
      <c r="L907" s="2">
        <v>6.8112000000000004</v>
      </c>
      <c r="M907" s="2">
        <v>7.1896000000000004</v>
      </c>
      <c r="N907" s="2">
        <v>7.5679999999999996</v>
      </c>
      <c r="O907" s="2">
        <v>8.0410000000000004</v>
      </c>
      <c r="P907" s="2">
        <v>8.5139999999999993</v>
      </c>
      <c r="Q907" s="2">
        <v>8.9870000000000001</v>
      </c>
      <c r="R907" t="s">
        <v>0</v>
      </c>
      <c r="S907" t="s">
        <v>127</v>
      </c>
    </row>
    <row r="908" spans="2:19" x14ac:dyDescent="0.25">
      <c r="B908" t="s">
        <v>333</v>
      </c>
      <c r="C908" s="2">
        <v>1.2</v>
      </c>
      <c r="D908" s="2">
        <v>1.29</v>
      </c>
      <c r="E908" s="2">
        <v>1.38</v>
      </c>
      <c r="F908" s="2">
        <v>1.5</v>
      </c>
      <c r="G908" s="2">
        <v>1.59</v>
      </c>
      <c r="H908" s="2">
        <v>1.68</v>
      </c>
      <c r="I908" s="2">
        <v>1.8</v>
      </c>
      <c r="J908" s="2">
        <v>1.92</v>
      </c>
      <c r="K908" s="2">
        <v>2.04</v>
      </c>
      <c r="L908" s="2">
        <v>2.16</v>
      </c>
      <c r="M908" s="2">
        <v>2.2799999999999998</v>
      </c>
      <c r="N908" s="2">
        <v>2.4</v>
      </c>
      <c r="O908" s="2">
        <v>2.5499999999999998</v>
      </c>
      <c r="P908" s="2">
        <v>2.7</v>
      </c>
      <c r="Q908" s="2">
        <v>2.85</v>
      </c>
      <c r="R908" t="s">
        <v>0</v>
      </c>
      <c r="S908" t="s">
        <v>127</v>
      </c>
    </row>
    <row r="909" spans="2:19" x14ac:dyDescent="0.25">
      <c r="B909" s="3" t="s">
        <v>771</v>
      </c>
      <c r="C909" s="23"/>
      <c r="D909" s="23"/>
      <c r="E909" s="23"/>
      <c r="F909" s="23"/>
      <c r="G909" s="23"/>
      <c r="H909" s="23"/>
      <c r="I909" s="23"/>
      <c r="J909" s="23"/>
      <c r="K909" s="23"/>
      <c r="L909" s="23"/>
      <c r="M909" s="23"/>
      <c r="N909" s="23"/>
      <c r="O909" s="23"/>
      <c r="P909" s="23"/>
      <c r="Q909" s="23"/>
      <c r="R909" s="5" t="s">
        <v>771</v>
      </c>
      <c r="S909" t="s">
        <v>772</v>
      </c>
    </row>
    <row r="910" spans="2:19" x14ac:dyDescent="0.25">
      <c r="B910" s="3" t="s">
        <v>390</v>
      </c>
      <c r="C910" s="23"/>
      <c r="D910" s="23"/>
      <c r="E910" s="23"/>
      <c r="F910" s="23"/>
      <c r="G910" s="23"/>
      <c r="H910" s="23"/>
      <c r="I910" s="23"/>
      <c r="J910" s="23"/>
      <c r="K910" s="23"/>
      <c r="L910" s="23"/>
      <c r="M910" s="23"/>
      <c r="N910" s="23"/>
      <c r="O910" s="23"/>
      <c r="P910" s="23"/>
      <c r="Q910" s="23"/>
      <c r="R910" s="5" t="s">
        <v>396</v>
      </c>
      <c r="S910" t="s">
        <v>69</v>
      </c>
    </row>
    <row r="911" spans="2:19" x14ac:dyDescent="0.25">
      <c r="B911" s="3" t="s">
        <v>392</v>
      </c>
      <c r="C911" s="23"/>
      <c r="D911" s="23"/>
      <c r="E911" s="23"/>
      <c r="F911" s="23"/>
      <c r="G911" s="23"/>
      <c r="H911" s="23"/>
      <c r="I911" s="23"/>
      <c r="J911" s="23"/>
      <c r="K911" s="23"/>
      <c r="L911" s="23"/>
      <c r="M911" s="23"/>
      <c r="N911" s="23"/>
      <c r="O911" s="23"/>
      <c r="P911" s="23"/>
      <c r="Q911" s="23"/>
      <c r="R911" s="5" t="s">
        <v>396</v>
      </c>
      <c r="S911" t="s">
        <v>69</v>
      </c>
    </row>
    <row r="912" spans="2:19" x14ac:dyDescent="0.25">
      <c r="B912" s="3" t="s">
        <v>393</v>
      </c>
      <c r="C912" s="23"/>
      <c r="D912" s="23"/>
      <c r="E912" s="23"/>
      <c r="F912" s="23"/>
      <c r="G912" s="23"/>
      <c r="H912" s="23"/>
      <c r="I912" s="23"/>
      <c r="J912" s="23"/>
      <c r="K912" s="23"/>
      <c r="L912" s="23"/>
      <c r="M912" s="23"/>
      <c r="N912" s="23"/>
      <c r="O912" s="23"/>
      <c r="P912" s="23"/>
      <c r="Q912" s="23"/>
      <c r="R912" s="5" t="s">
        <v>396</v>
      </c>
      <c r="S912" t="s">
        <v>69</v>
      </c>
    </row>
    <row r="913" spans="1:19" x14ac:dyDescent="0.25">
      <c r="B913" s="3" t="s">
        <v>389</v>
      </c>
      <c r="C913" s="23"/>
      <c r="D913" s="23"/>
      <c r="E913" s="23"/>
      <c r="F913" s="23"/>
      <c r="G913" s="23"/>
      <c r="H913" s="23"/>
      <c r="I913" s="23"/>
      <c r="J913" s="23"/>
      <c r="K913" s="23"/>
      <c r="L913" s="23"/>
      <c r="M913" s="23"/>
      <c r="N913" s="23"/>
      <c r="O913" s="23"/>
      <c r="P913" s="23"/>
      <c r="Q913" s="23"/>
      <c r="R913" s="5" t="s">
        <v>396</v>
      </c>
      <c r="S913" t="s">
        <v>69</v>
      </c>
    </row>
    <row r="914" spans="1:19" x14ac:dyDescent="0.25">
      <c r="B914" s="3" t="s">
        <v>391</v>
      </c>
      <c r="C914" s="23"/>
      <c r="D914" s="23"/>
      <c r="E914" s="23"/>
      <c r="F914" s="23"/>
      <c r="G914" s="23"/>
      <c r="H914" s="23"/>
      <c r="I914" s="23"/>
      <c r="J914" s="23"/>
      <c r="K914" s="23"/>
      <c r="L914" s="23"/>
      <c r="M914" s="23"/>
      <c r="N914" s="23"/>
      <c r="O914" s="23"/>
      <c r="P914" s="23"/>
      <c r="Q914" s="23"/>
      <c r="R914" s="5" t="s">
        <v>396</v>
      </c>
      <c r="S914" t="s">
        <v>69</v>
      </c>
    </row>
    <row r="915" spans="1:19" x14ac:dyDescent="0.25">
      <c r="B915" s="3" t="s">
        <v>394</v>
      </c>
      <c r="C915" s="23"/>
      <c r="D915" s="23"/>
      <c r="E915" s="23"/>
      <c r="F915" s="23"/>
      <c r="G915" s="23"/>
      <c r="H915" s="23"/>
      <c r="I915" s="23"/>
      <c r="J915" s="23"/>
      <c r="K915" s="23"/>
      <c r="L915" s="23"/>
      <c r="M915" s="23"/>
      <c r="N915" s="23"/>
      <c r="O915" s="23"/>
      <c r="P915" s="23"/>
      <c r="Q915" s="23"/>
      <c r="R915" s="5" t="s">
        <v>396</v>
      </c>
      <c r="S915" t="s">
        <v>69</v>
      </c>
    </row>
    <row r="916" spans="1:19" x14ac:dyDescent="0.25">
      <c r="B916" s="3" t="s">
        <v>395</v>
      </c>
      <c r="C916" s="23"/>
      <c r="D916" s="23"/>
      <c r="E916" s="23"/>
      <c r="F916" s="23"/>
      <c r="G916" s="23"/>
      <c r="H916" s="23"/>
      <c r="I916" s="23"/>
      <c r="J916" s="23"/>
      <c r="K916" s="23"/>
      <c r="L916" s="23"/>
      <c r="M916" s="23"/>
      <c r="N916" s="23"/>
      <c r="O916" s="23"/>
      <c r="P916" s="23"/>
      <c r="Q916" s="23"/>
      <c r="R916" s="5" t="s">
        <v>396</v>
      </c>
      <c r="S916" t="s">
        <v>69</v>
      </c>
    </row>
    <row r="917" spans="1:19" x14ac:dyDescent="0.25">
      <c r="A917" t="s">
        <v>897</v>
      </c>
      <c r="B917" s="3" t="s">
        <v>397</v>
      </c>
      <c r="C917" s="23"/>
      <c r="D917" s="23"/>
      <c r="E917" s="23"/>
      <c r="F917" s="23"/>
      <c r="G917" s="23"/>
      <c r="H917" s="23"/>
      <c r="I917" s="23"/>
      <c r="J917" s="23"/>
      <c r="K917" s="23"/>
      <c r="L917" s="23"/>
      <c r="M917" s="23"/>
      <c r="N917" s="23"/>
      <c r="O917" s="23"/>
      <c r="P917" s="23"/>
      <c r="Q917" s="23"/>
      <c r="R917" s="5" t="s">
        <v>396</v>
      </c>
      <c r="S917" t="s">
        <v>69</v>
      </c>
    </row>
    <row r="918" spans="1:19" x14ac:dyDescent="0.25">
      <c r="B918" t="s">
        <v>336</v>
      </c>
      <c r="C918" s="21">
        <v>1</v>
      </c>
      <c r="D918" s="21">
        <v>2</v>
      </c>
      <c r="E918" s="21">
        <v>3</v>
      </c>
      <c r="F918" s="21">
        <v>4</v>
      </c>
      <c r="G918" s="21">
        <v>5</v>
      </c>
      <c r="H918" s="21">
        <v>6</v>
      </c>
      <c r="I918" s="21">
        <v>7</v>
      </c>
      <c r="J918" s="21">
        <v>8</v>
      </c>
      <c r="K918" s="21">
        <v>9</v>
      </c>
      <c r="L918" s="21">
        <v>10</v>
      </c>
      <c r="M918" s="21">
        <v>11</v>
      </c>
      <c r="N918" s="21">
        <v>12</v>
      </c>
      <c r="O918" s="21">
        <v>13</v>
      </c>
      <c r="P918" s="21">
        <v>14</v>
      </c>
      <c r="Q918" s="21">
        <v>15</v>
      </c>
      <c r="R918" s="5" t="s">
        <v>11</v>
      </c>
      <c r="S918" t="s">
        <v>126</v>
      </c>
    </row>
    <row r="919" spans="1:19" x14ac:dyDescent="0.25">
      <c r="A919" t="s">
        <v>898</v>
      </c>
      <c r="B919" t="s">
        <v>337</v>
      </c>
      <c r="C919" s="2">
        <v>0.20380000000000001</v>
      </c>
      <c r="D919" s="2">
        <v>0.22040000000000001</v>
      </c>
      <c r="E919" s="2">
        <v>0.23699999999999999</v>
      </c>
      <c r="F919" s="2">
        <v>0.26069999999999999</v>
      </c>
      <c r="G919" s="2">
        <v>0.27729999999999999</v>
      </c>
      <c r="H919" s="2">
        <v>0.29630000000000001</v>
      </c>
      <c r="I919" s="2">
        <v>0.32229999999999998</v>
      </c>
      <c r="J919" s="2">
        <v>0.34839999999999999</v>
      </c>
      <c r="K919" s="2">
        <v>0.3745</v>
      </c>
      <c r="L919" s="2">
        <v>0.40289999999999998</v>
      </c>
      <c r="M919" s="2">
        <v>0.4355</v>
      </c>
      <c r="N919" s="2">
        <v>0.4738</v>
      </c>
      <c r="O919" s="2">
        <v>0.5121</v>
      </c>
      <c r="P919" s="2">
        <v>0.55049999999999999</v>
      </c>
      <c r="Q919" s="2">
        <v>0.59230000000000005</v>
      </c>
      <c r="R919" t="s">
        <v>6</v>
      </c>
      <c r="S919" t="s">
        <v>127</v>
      </c>
    </row>
    <row r="920" spans="1:19" x14ac:dyDescent="0.25">
      <c r="B920" t="s">
        <v>338</v>
      </c>
      <c r="C920" s="2">
        <v>0.20380000000000001</v>
      </c>
      <c r="D920" s="2">
        <v>0.22040000000000001</v>
      </c>
      <c r="E920" s="2">
        <v>0.23699999999999999</v>
      </c>
      <c r="F920" s="2">
        <v>0.26069999999999999</v>
      </c>
      <c r="G920" s="2">
        <v>0.27729999999999999</v>
      </c>
      <c r="H920" s="2">
        <v>0.29630000000000001</v>
      </c>
      <c r="I920" s="2">
        <v>0.32229999999999998</v>
      </c>
      <c r="J920" s="2">
        <v>0.34839999999999999</v>
      </c>
      <c r="K920" s="2">
        <v>0.3745</v>
      </c>
      <c r="L920" s="2">
        <v>0.40289999999999998</v>
      </c>
      <c r="M920" s="2">
        <v>0.4355</v>
      </c>
      <c r="N920" s="2">
        <v>0.4738</v>
      </c>
      <c r="O920" s="2">
        <v>0.5121</v>
      </c>
      <c r="P920" s="2">
        <v>0.55049999999999999</v>
      </c>
      <c r="Q920" s="2">
        <v>0.59230000000000005</v>
      </c>
      <c r="R920" t="s">
        <v>6</v>
      </c>
      <c r="S920" t="s">
        <v>127</v>
      </c>
    </row>
    <row r="921" spans="1:19" x14ac:dyDescent="0.25">
      <c r="B921" t="s">
        <v>9</v>
      </c>
      <c r="C921" s="2">
        <v>0.44379999999999997</v>
      </c>
      <c r="D921" s="2">
        <v>0.47989999999999999</v>
      </c>
      <c r="E921" s="2">
        <v>0.51600000000000001</v>
      </c>
      <c r="F921" s="2">
        <v>0.56759999999999999</v>
      </c>
      <c r="G921" s="2">
        <v>0.60370000000000001</v>
      </c>
      <c r="H921" s="2">
        <v>0.64500000000000002</v>
      </c>
      <c r="I921" s="2">
        <v>0.70179999999999998</v>
      </c>
      <c r="J921" s="2">
        <v>0.75849999999999995</v>
      </c>
      <c r="K921" s="2">
        <v>0.81530000000000002</v>
      </c>
      <c r="L921" s="2">
        <v>0.87719999999999998</v>
      </c>
      <c r="M921" s="2">
        <v>0.94820000000000004</v>
      </c>
      <c r="N921" s="2">
        <v>1.0316000000000001</v>
      </c>
      <c r="O921" s="2">
        <v>1.115</v>
      </c>
      <c r="P921" s="2">
        <v>1.1984999999999999</v>
      </c>
      <c r="Q921" s="2">
        <v>1.2895000000000001</v>
      </c>
      <c r="R921" t="s">
        <v>6</v>
      </c>
      <c r="S921" t="s">
        <v>127</v>
      </c>
    </row>
    <row r="922" spans="1:19" x14ac:dyDescent="0.25">
      <c r="B922" t="s">
        <v>8</v>
      </c>
      <c r="C922" s="2">
        <v>0.52370000000000005</v>
      </c>
      <c r="D922" s="2">
        <v>0.56640000000000001</v>
      </c>
      <c r="E922" s="2">
        <v>0.60899999999999999</v>
      </c>
      <c r="F922" s="2">
        <v>0.66990000000000005</v>
      </c>
      <c r="G922" s="2">
        <v>0.71250000000000002</v>
      </c>
      <c r="H922" s="2">
        <v>0.76129999999999998</v>
      </c>
      <c r="I922" s="2">
        <v>0.82820000000000005</v>
      </c>
      <c r="J922" s="2">
        <v>0.8952</v>
      </c>
      <c r="K922" s="2">
        <v>0.96220000000000006</v>
      </c>
      <c r="L922" s="2">
        <v>1.0353000000000001</v>
      </c>
      <c r="M922" s="2">
        <v>1.119</v>
      </c>
      <c r="N922" s="2">
        <v>1.2175</v>
      </c>
      <c r="O922" s="2">
        <v>1.3160000000000001</v>
      </c>
      <c r="P922" s="2">
        <v>1.4145000000000001</v>
      </c>
      <c r="Q922" s="2">
        <v>1.5219</v>
      </c>
      <c r="R922" t="s">
        <v>6</v>
      </c>
      <c r="S922" t="s">
        <v>127</v>
      </c>
    </row>
    <row r="923" spans="1:19" x14ac:dyDescent="0.25">
      <c r="B923" t="s">
        <v>240</v>
      </c>
      <c r="C923" s="2">
        <v>0.2606</v>
      </c>
      <c r="D923" s="2">
        <v>0.28179999999999999</v>
      </c>
      <c r="E923" s="2">
        <v>0.30299999999999999</v>
      </c>
      <c r="F923" s="2">
        <v>0.33329999999999999</v>
      </c>
      <c r="G923" s="2">
        <v>0.35449999999999998</v>
      </c>
      <c r="H923" s="2">
        <v>0.37869999999999998</v>
      </c>
      <c r="I923" s="2">
        <v>0.41210000000000002</v>
      </c>
      <c r="J923" s="2">
        <v>0.44540000000000002</v>
      </c>
      <c r="K923" s="2">
        <v>0.47870000000000001</v>
      </c>
      <c r="L923" s="2">
        <v>0.5151</v>
      </c>
      <c r="M923" s="2">
        <v>0.55679999999999996</v>
      </c>
      <c r="N923" s="2">
        <v>0.60580000000000001</v>
      </c>
      <c r="O923" s="2">
        <v>0.65480000000000005</v>
      </c>
      <c r="P923" s="2">
        <v>0.70369999999999999</v>
      </c>
      <c r="Q923" s="2">
        <v>0.75719999999999998</v>
      </c>
      <c r="R923" t="s">
        <v>6</v>
      </c>
      <c r="S923" t="s">
        <v>127</v>
      </c>
    </row>
    <row r="924" spans="1:19" x14ac:dyDescent="0.25">
      <c r="B924" t="s">
        <v>241</v>
      </c>
      <c r="C924" s="2">
        <v>0.2606</v>
      </c>
      <c r="D924" s="2">
        <v>0.28179999999999999</v>
      </c>
      <c r="E924" s="2">
        <v>0.30299999999999999</v>
      </c>
      <c r="F924" s="2">
        <v>0.33329999999999999</v>
      </c>
      <c r="G924" s="2">
        <v>0.35449999999999998</v>
      </c>
      <c r="H924" s="2">
        <v>0.37869999999999998</v>
      </c>
      <c r="I924" s="2">
        <v>0.41210000000000002</v>
      </c>
      <c r="J924" s="2">
        <v>0.44540000000000002</v>
      </c>
      <c r="K924" s="2">
        <v>0.47870000000000001</v>
      </c>
      <c r="L924" s="2">
        <v>0.5151</v>
      </c>
      <c r="M924" s="2">
        <v>0.55679999999999996</v>
      </c>
      <c r="N924" s="2">
        <v>0.60580000000000001</v>
      </c>
      <c r="O924" s="2">
        <v>0.65480000000000005</v>
      </c>
      <c r="P924" s="2">
        <v>0.70369999999999999</v>
      </c>
      <c r="Q924" s="2">
        <v>0.75719999999999998</v>
      </c>
      <c r="R924" t="s">
        <v>6</v>
      </c>
      <c r="S924" t="s">
        <v>127</v>
      </c>
    </row>
    <row r="925" spans="1:19" x14ac:dyDescent="0.25">
      <c r="B925" t="s">
        <v>7</v>
      </c>
      <c r="C925" s="2">
        <v>0.50649999999999995</v>
      </c>
      <c r="D925" s="2">
        <v>0.54779999999999995</v>
      </c>
      <c r="E925" s="2">
        <v>0.58899999999999997</v>
      </c>
      <c r="F925" s="2">
        <v>0.64790000000000003</v>
      </c>
      <c r="G925" s="2">
        <v>0.68910000000000005</v>
      </c>
      <c r="H925" s="2">
        <v>0.73629999999999995</v>
      </c>
      <c r="I925" s="2">
        <v>0.80100000000000005</v>
      </c>
      <c r="J925" s="2">
        <v>0.86580000000000001</v>
      </c>
      <c r="K925" s="2">
        <v>0.93059999999999998</v>
      </c>
      <c r="L925" s="2">
        <v>1.0013000000000001</v>
      </c>
      <c r="M925" s="2">
        <v>1.0823</v>
      </c>
      <c r="N925" s="2">
        <v>1.1775</v>
      </c>
      <c r="O925" s="2">
        <v>1.2727999999999999</v>
      </c>
      <c r="P925" s="2">
        <v>1.3680000000000001</v>
      </c>
      <c r="Q925" s="2">
        <v>1.4719</v>
      </c>
      <c r="R925" t="s">
        <v>6</v>
      </c>
      <c r="S925" t="s">
        <v>127</v>
      </c>
    </row>
    <row r="926" spans="1:19" x14ac:dyDescent="0.25">
      <c r="B926" t="s">
        <v>217</v>
      </c>
      <c r="C926" s="2">
        <v>0.70950000000000002</v>
      </c>
      <c r="D926" s="2">
        <v>0.76729999999999998</v>
      </c>
      <c r="E926" s="2">
        <v>0.82499999999999996</v>
      </c>
      <c r="F926" s="2">
        <v>0.90749999999999997</v>
      </c>
      <c r="G926" s="2">
        <v>0.96530000000000005</v>
      </c>
      <c r="H926" s="2">
        <v>1.0313000000000001</v>
      </c>
      <c r="I926" s="2">
        <v>1.1220000000000001</v>
      </c>
      <c r="J926" s="2">
        <v>1.2128000000000001</v>
      </c>
      <c r="K926" s="2">
        <v>1.3035000000000001</v>
      </c>
      <c r="L926" s="2">
        <v>1.4025000000000001</v>
      </c>
      <c r="M926" s="2">
        <v>1.5159</v>
      </c>
      <c r="N926" s="2">
        <v>1.6493</v>
      </c>
      <c r="O926" s="2">
        <v>1.7827</v>
      </c>
      <c r="P926" s="2">
        <v>1.9160999999999999</v>
      </c>
      <c r="Q926" s="2">
        <v>2.0617000000000001</v>
      </c>
      <c r="R926" t="s">
        <v>6</v>
      </c>
      <c r="S926" t="s">
        <v>127</v>
      </c>
    </row>
    <row r="927" spans="1:19" x14ac:dyDescent="0.25">
      <c r="B927" t="s">
        <v>133</v>
      </c>
      <c r="C927" s="2">
        <v>0.43859999999999999</v>
      </c>
      <c r="D927" s="2">
        <v>0.4743</v>
      </c>
      <c r="E927" s="2">
        <v>0.51</v>
      </c>
      <c r="F927" s="2">
        <v>0.56100000000000005</v>
      </c>
      <c r="G927" s="2">
        <v>0.59670000000000001</v>
      </c>
      <c r="H927" s="2">
        <v>0.63749999999999996</v>
      </c>
      <c r="I927" s="2">
        <v>0.69359999999999999</v>
      </c>
      <c r="J927" s="2">
        <v>0.74970000000000003</v>
      </c>
      <c r="K927" s="2">
        <v>0.80579999999999996</v>
      </c>
      <c r="L927" s="2">
        <v>0.86699999999999999</v>
      </c>
      <c r="M927" s="2">
        <v>0.93710000000000004</v>
      </c>
      <c r="N927" s="2">
        <v>1.0196000000000001</v>
      </c>
      <c r="O927" s="2">
        <v>1.1021000000000001</v>
      </c>
      <c r="P927" s="2">
        <v>1.1845000000000001</v>
      </c>
      <c r="Q927" s="2">
        <v>1.2745</v>
      </c>
      <c r="R927" t="s">
        <v>5</v>
      </c>
      <c r="S927" t="s">
        <v>127</v>
      </c>
    </row>
    <row r="928" spans="1:19" x14ac:dyDescent="0.25">
      <c r="B928" t="s">
        <v>134</v>
      </c>
      <c r="C928" s="2">
        <v>1.24</v>
      </c>
      <c r="D928" s="2">
        <v>1.333</v>
      </c>
      <c r="E928" s="2">
        <v>1.4259999999999999</v>
      </c>
      <c r="F928" s="2">
        <v>1.55</v>
      </c>
      <c r="G928" s="2">
        <v>1.643</v>
      </c>
      <c r="H928" s="2">
        <v>1.736</v>
      </c>
      <c r="I928" s="2">
        <v>1.86</v>
      </c>
      <c r="J928" s="2">
        <v>1.984</v>
      </c>
      <c r="K928" s="2">
        <v>2.1080000000000001</v>
      </c>
      <c r="L928" s="2">
        <v>2.2320000000000002</v>
      </c>
      <c r="M928" s="2">
        <v>2.3610000000000002</v>
      </c>
      <c r="N928" s="2">
        <v>2.5295999999999998</v>
      </c>
      <c r="O928" s="2">
        <v>2.6981999999999999</v>
      </c>
      <c r="P928" s="2">
        <v>2.8668999999999998</v>
      </c>
      <c r="Q928" s="2">
        <v>3.0354999999999999</v>
      </c>
      <c r="R928" t="s">
        <v>5</v>
      </c>
      <c r="S928" t="s">
        <v>127</v>
      </c>
    </row>
    <row r="929" spans="1:19" x14ac:dyDescent="0.25">
      <c r="B929" t="s">
        <v>155</v>
      </c>
      <c r="C929" s="2">
        <v>0.56830000000000003</v>
      </c>
      <c r="D929" s="2">
        <v>0.61450000000000005</v>
      </c>
      <c r="E929" s="2">
        <v>0.66080000000000005</v>
      </c>
      <c r="F929" s="2">
        <v>0.72689999999999999</v>
      </c>
      <c r="G929" s="2">
        <v>0.77310000000000001</v>
      </c>
      <c r="H929" s="2">
        <v>0.82599999999999996</v>
      </c>
      <c r="I929" s="2">
        <v>0.89870000000000005</v>
      </c>
      <c r="J929" s="2">
        <v>0.97140000000000004</v>
      </c>
      <c r="K929" s="2">
        <v>1.0441</v>
      </c>
      <c r="L929" s="2">
        <v>1.1234</v>
      </c>
      <c r="M929" s="2">
        <v>1.2027000000000001</v>
      </c>
      <c r="N929" s="2">
        <v>1.282</v>
      </c>
      <c r="O929" s="2">
        <v>1.3612</v>
      </c>
      <c r="P929" s="2">
        <v>1.4404999999999999</v>
      </c>
      <c r="Q929" s="2">
        <v>1.5198</v>
      </c>
      <c r="R929" t="s">
        <v>3</v>
      </c>
      <c r="S929" t="s">
        <v>127</v>
      </c>
    </row>
    <row r="930" spans="1:19" x14ac:dyDescent="0.25">
      <c r="B930" t="s">
        <v>135</v>
      </c>
      <c r="C930" s="2">
        <v>1.1363000000000001</v>
      </c>
      <c r="D930" s="2">
        <v>1.2287999999999999</v>
      </c>
      <c r="E930" s="2">
        <v>1.3212999999999999</v>
      </c>
      <c r="F930" s="2">
        <v>1.4535</v>
      </c>
      <c r="G930" s="2">
        <v>1.5459000000000001</v>
      </c>
      <c r="H930" s="2">
        <v>1.6516999999999999</v>
      </c>
      <c r="I930" s="2">
        <v>1.7969999999999999</v>
      </c>
      <c r="J930" s="2">
        <v>1.9422999999999999</v>
      </c>
      <c r="K930" s="2">
        <v>2.0876999999999999</v>
      </c>
      <c r="L930" s="2">
        <v>2.2462</v>
      </c>
      <c r="M930" s="2">
        <v>2.4047999999999998</v>
      </c>
      <c r="N930" s="2">
        <v>2.5634000000000001</v>
      </c>
      <c r="O930" s="2">
        <v>2.7219000000000002</v>
      </c>
      <c r="P930" s="2">
        <v>2.8805000000000001</v>
      </c>
      <c r="Q930" s="2">
        <v>3.0390000000000001</v>
      </c>
      <c r="R930" t="s">
        <v>3</v>
      </c>
      <c r="S930" t="s">
        <v>127</v>
      </c>
    </row>
    <row r="931" spans="1:19" x14ac:dyDescent="0.25">
      <c r="B931" t="s">
        <v>136</v>
      </c>
      <c r="C931" s="2">
        <v>1.4193</v>
      </c>
      <c r="D931" s="2">
        <v>1.5348999999999999</v>
      </c>
      <c r="E931" s="2">
        <v>1.6504000000000001</v>
      </c>
      <c r="F931" s="2">
        <v>1.8153999999999999</v>
      </c>
      <c r="G931" s="2">
        <v>1.931</v>
      </c>
      <c r="H931" s="2">
        <v>2.0630000000000002</v>
      </c>
      <c r="I931" s="2">
        <v>2.2444999999999999</v>
      </c>
      <c r="J931" s="2">
        <v>2.4260999999999999</v>
      </c>
      <c r="K931" s="2">
        <v>2.6076000000000001</v>
      </c>
      <c r="L931" s="2">
        <v>2.8056999999999999</v>
      </c>
      <c r="M931" s="2">
        <v>3.0036999999999998</v>
      </c>
      <c r="N931" s="2">
        <v>3.2018</v>
      </c>
      <c r="O931" s="2">
        <v>3.3997999999999999</v>
      </c>
      <c r="P931" s="2">
        <v>3.5979000000000001</v>
      </c>
      <c r="Q931" s="2">
        <v>3.7959000000000001</v>
      </c>
      <c r="R931" t="s">
        <v>3</v>
      </c>
      <c r="S931" t="s">
        <v>127</v>
      </c>
    </row>
    <row r="932" spans="1:19" x14ac:dyDescent="0.25">
      <c r="B932" t="s">
        <v>201</v>
      </c>
      <c r="C932" s="2">
        <v>2.76</v>
      </c>
      <c r="D932" s="2">
        <v>2.9670000000000001</v>
      </c>
      <c r="E932" s="2">
        <v>3.1739999999999999</v>
      </c>
      <c r="F932" s="2">
        <v>3.45</v>
      </c>
      <c r="G932" s="2">
        <v>3.657</v>
      </c>
      <c r="H932" s="2">
        <v>3.8639999999999999</v>
      </c>
      <c r="I932" s="2">
        <v>4.1399999999999997</v>
      </c>
      <c r="J932" s="2">
        <v>4.4160000000000004</v>
      </c>
      <c r="K932" s="2">
        <v>4.6920000000000002</v>
      </c>
      <c r="L932" s="2">
        <v>4.968</v>
      </c>
      <c r="M932" s="2">
        <v>5.2439999999999998</v>
      </c>
      <c r="N932" s="2">
        <v>5.52</v>
      </c>
      <c r="O932" s="2">
        <v>5.8650000000000002</v>
      </c>
      <c r="P932" s="2">
        <v>6.21</v>
      </c>
      <c r="Q932" s="2">
        <v>6.5549999999999997</v>
      </c>
      <c r="R932" t="s">
        <v>19</v>
      </c>
      <c r="S932" t="s">
        <v>127</v>
      </c>
    </row>
    <row r="933" spans="1:19" x14ac:dyDescent="0.25">
      <c r="B933" t="s">
        <v>203</v>
      </c>
      <c r="C933" s="2">
        <v>3.8</v>
      </c>
      <c r="D933" s="2">
        <v>4.085</v>
      </c>
      <c r="E933" s="2">
        <v>4.37</v>
      </c>
      <c r="F933" s="2">
        <v>4.75</v>
      </c>
      <c r="G933" s="2">
        <v>5.0350000000000001</v>
      </c>
      <c r="H933" s="2">
        <v>5.32</v>
      </c>
      <c r="I933" s="2">
        <v>5.7</v>
      </c>
      <c r="J933" s="2">
        <v>6.08</v>
      </c>
      <c r="K933" s="2">
        <v>6.46</v>
      </c>
      <c r="L933" s="2">
        <v>6.84</v>
      </c>
      <c r="M933" s="2">
        <v>7.22</v>
      </c>
      <c r="N933" s="2">
        <v>7.6</v>
      </c>
      <c r="O933" s="2">
        <v>8.0749999999999993</v>
      </c>
      <c r="P933" s="2">
        <v>8.5500000000000007</v>
      </c>
      <c r="Q933" s="2">
        <v>9.0250000000000004</v>
      </c>
      <c r="R933" t="s">
        <v>19</v>
      </c>
      <c r="S933" t="s">
        <v>127</v>
      </c>
    </row>
    <row r="934" spans="1:19" x14ac:dyDescent="0.25">
      <c r="B934" t="s">
        <v>184</v>
      </c>
      <c r="C934" s="2">
        <v>0.376</v>
      </c>
      <c r="D934" s="2">
        <v>0.4042</v>
      </c>
      <c r="E934" s="2">
        <v>0.43240000000000001</v>
      </c>
      <c r="F934" s="2">
        <v>0.47</v>
      </c>
      <c r="G934" s="2">
        <v>0.49819999999999998</v>
      </c>
      <c r="H934" s="2">
        <v>0.52639999999999998</v>
      </c>
      <c r="I934" s="2">
        <v>0.56399999999999995</v>
      </c>
      <c r="J934" s="2">
        <v>0.60160000000000002</v>
      </c>
      <c r="K934" s="2">
        <v>0.63919999999999999</v>
      </c>
      <c r="L934" s="2">
        <v>0.67679999999999996</v>
      </c>
      <c r="M934" s="2">
        <v>0.71440000000000003</v>
      </c>
      <c r="N934" s="2">
        <v>0.752</v>
      </c>
      <c r="O934" s="2">
        <v>0.79900000000000004</v>
      </c>
      <c r="P934" s="2">
        <v>0.84599999999999997</v>
      </c>
      <c r="Q934" s="2">
        <v>0.89300000000000002</v>
      </c>
      <c r="R934" t="s">
        <v>0</v>
      </c>
      <c r="S934" t="s">
        <v>127</v>
      </c>
    </row>
    <row r="935" spans="1:19" x14ac:dyDescent="0.25">
      <c r="B935" t="s">
        <v>339</v>
      </c>
      <c r="C935" s="2">
        <v>0.188</v>
      </c>
      <c r="D935" s="2">
        <v>0.2021</v>
      </c>
      <c r="E935" s="2">
        <v>0.2162</v>
      </c>
      <c r="F935" s="2">
        <v>0.23499999999999999</v>
      </c>
      <c r="G935" s="2">
        <v>0.24909999999999999</v>
      </c>
      <c r="H935" s="2">
        <v>0.26319999999999999</v>
      </c>
      <c r="I935" s="2">
        <v>0.28199999999999997</v>
      </c>
      <c r="J935" s="2">
        <v>0.30080000000000001</v>
      </c>
      <c r="K935" s="2">
        <v>0.3196</v>
      </c>
      <c r="L935" s="2">
        <v>0.33839999999999998</v>
      </c>
      <c r="M935" s="2">
        <v>0.35720000000000002</v>
      </c>
      <c r="N935" s="2">
        <v>0.376</v>
      </c>
      <c r="O935" s="2">
        <v>0.39950000000000002</v>
      </c>
      <c r="P935" s="2">
        <v>0.42299999999999999</v>
      </c>
      <c r="Q935" s="2">
        <v>0.44650000000000001</v>
      </c>
      <c r="R935" t="s">
        <v>0</v>
      </c>
      <c r="S935" t="s">
        <v>127</v>
      </c>
    </row>
    <row r="936" spans="1:19" x14ac:dyDescent="0.25">
      <c r="B936" s="3" t="s">
        <v>771</v>
      </c>
      <c r="C936" s="23"/>
      <c r="D936" s="23"/>
      <c r="E936" s="23"/>
      <c r="F936" s="23"/>
      <c r="G936" s="23"/>
      <c r="H936" s="23"/>
      <c r="I936" s="23"/>
      <c r="J936" s="23"/>
      <c r="K936" s="23"/>
      <c r="L936" s="23"/>
      <c r="M936" s="23"/>
      <c r="N936" s="23"/>
      <c r="O936" s="23"/>
      <c r="P936" s="23"/>
      <c r="Q936" s="23"/>
      <c r="R936" s="5" t="s">
        <v>771</v>
      </c>
      <c r="S936" t="s">
        <v>772</v>
      </c>
    </row>
    <row r="937" spans="1:19" x14ac:dyDescent="0.25">
      <c r="B937" s="3" t="s">
        <v>390</v>
      </c>
      <c r="C937" s="23"/>
      <c r="D937" s="23"/>
      <c r="E937" s="23"/>
      <c r="F937" s="23"/>
      <c r="G937" s="23"/>
      <c r="H937" s="23"/>
      <c r="I937" s="23"/>
      <c r="J937" s="23"/>
      <c r="K937" s="23"/>
      <c r="L937" s="23"/>
      <c r="M937" s="23"/>
      <c r="N937" s="23"/>
      <c r="O937" s="23"/>
      <c r="P937" s="23"/>
      <c r="Q937" s="23"/>
      <c r="R937" s="5" t="s">
        <v>396</v>
      </c>
      <c r="S937" t="s">
        <v>69</v>
      </c>
    </row>
    <row r="938" spans="1:19" x14ac:dyDescent="0.25">
      <c r="B938" s="3" t="s">
        <v>392</v>
      </c>
      <c r="C938" s="23"/>
      <c r="D938" s="23"/>
      <c r="E938" s="23"/>
      <c r="F938" s="23"/>
      <c r="G938" s="23"/>
      <c r="H938" s="23"/>
      <c r="I938" s="23"/>
      <c r="J938" s="23"/>
      <c r="K938" s="23"/>
      <c r="L938" s="23"/>
      <c r="M938" s="23"/>
      <c r="N938" s="23"/>
      <c r="O938" s="23"/>
      <c r="P938" s="23"/>
      <c r="Q938" s="23"/>
      <c r="R938" s="5" t="s">
        <v>396</v>
      </c>
      <c r="S938" t="s">
        <v>69</v>
      </c>
    </row>
    <row r="939" spans="1:19" x14ac:dyDescent="0.25">
      <c r="B939" s="3" t="s">
        <v>393</v>
      </c>
      <c r="C939" s="23"/>
      <c r="D939" s="23"/>
      <c r="E939" s="23"/>
      <c r="F939" s="23"/>
      <c r="G939" s="23"/>
      <c r="H939" s="23"/>
      <c r="I939" s="23"/>
      <c r="J939" s="23"/>
      <c r="K939" s="23"/>
      <c r="L939" s="23"/>
      <c r="M939" s="23"/>
      <c r="N939" s="23"/>
      <c r="O939" s="23"/>
      <c r="P939" s="23"/>
      <c r="Q939" s="23"/>
      <c r="R939" s="5" t="s">
        <v>396</v>
      </c>
      <c r="S939" t="s">
        <v>69</v>
      </c>
    </row>
    <row r="940" spans="1:19" x14ac:dyDescent="0.25">
      <c r="B940" s="3" t="s">
        <v>389</v>
      </c>
      <c r="C940" s="23"/>
      <c r="D940" s="23"/>
      <c r="E940" s="23"/>
      <c r="F940" s="23"/>
      <c r="G940" s="23"/>
      <c r="H940" s="23"/>
      <c r="I940" s="23"/>
      <c r="J940" s="23"/>
      <c r="K940" s="23"/>
      <c r="L940" s="23"/>
      <c r="M940" s="23"/>
      <c r="N940" s="23"/>
      <c r="O940" s="23"/>
      <c r="P940" s="23"/>
      <c r="Q940" s="23"/>
      <c r="R940" s="5" t="s">
        <v>396</v>
      </c>
      <c r="S940" t="s">
        <v>69</v>
      </c>
    </row>
    <row r="941" spans="1:19" x14ac:dyDescent="0.25">
      <c r="B941" s="3" t="s">
        <v>391</v>
      </c>
      <c r="C941" s="23"/>
      <c r="D941" s="23"/>
      <c r="E941" s="23"/>
      <c r="F941" s="23"/>
      <c r="G941" s="23"/>
      <c r="H941" s="23"/>
      <c r="I941" s="23"/>
      <c r="J941" s="23"/>
      <c r="K941" s="23"/>
      <c r="L941" s="23"/>
      <c r="M941" s="23"/>
      <c r="N941" s="23"/>
      <c r="O941" s="23"/>
      <c r="P941" s="23"/>
      <c r="Q941" s="23"/>
      <c r="R941" s="5" t="s">
        <v>396</v>
      </c>
      <c r="S941" t="s">
        <v>69</v>
      </c>
    </row>
    <row r="942" spans="1:19" x14ac:dyDescent="0.25">
      <c r="B942" s="3" t="s">
        <v>394</v>
      </c>
      <c r="C942" s="23"/>
      <c r="D942" s="23"/>
      <c r="E942" s="23"/>
      <c r="F942" s="23"/>
      <c r="G942" s="23"/>
      <c r="H942" s="23"/>
      <c r="I942" s="23"/>
      <c r="J942" s="23"/>
      <c r="K942" s="23"/>
      <c r="L942" s="23"/>
      <c r="M942" s="23"/>
      <c r="N942" s="23"/>
      <c r="O942" s="23"/>
      <c r="P942" s="23"/>
      <c r="Q942" s="23"/>
      <c r="R942" s="5" t="s">
        <v>396</v>
      </c>
      <c r="S942" t="s">
        <v>69</v>
      </c>
    </row>
    <row r="943" spans="1:19" x14ac:dyDescent="0.25">
      <c r="B943" s="3" t="s">
        <v>395</v>
      </c>
      <c r="C943" s="23"/>
      <c r="D943" s="23"/>
      <c r="E943" s="23"/>
      <c r="F943" s="23"/>
      <c r="G943" s="23"/>
      <c r="H943" s="23"/>
      <c r="I943" s="23"/>
      <c r="J943" s="23"/>
      <c r="K943" s="23"/>
      <c r="L943" s="23"/>
      <c r="M943" s="23"/>
      <c r="N943" s="23"/>
      <c r="O943" s="23"/>
      <c r="P943" s="23"/>
      <c r="Q943" s="23"/>
      <c r="R943" s="5" t="s">
        <v>396</v>
      </c>
      <c r="S943" t="s">
        <v>69</v>
      </c>
    </row>
    <row r="944" spans="1:19" x14ac:dyDescent="0.25">
      <c r="A944" t="s">
        <v>899</v>
      </c>
      <c r="B944" s="3" t="s">
        <v>397</v>
      </c>
      <c r="C944" s="23"/>
      <c r="D944" s="23"/>
      <c r="E944" s="23"/>
      <c r="F944" s="23"/>
      <c r="G944" s="23"/>
      <c r="H944" s="23"/>
      <c r="I944" s="23"/>
      <c r="J944" s="23"/>
      <c r="K944" s="23"/>
      <c r="L944" s="23"/>
      <c r="M944" s="23"/>
      <c r="N944" s="23"/>
      <c r="O944" s="23"/>
      <c r="P944" s="23"/>
      <c r="Q944" s="23"/>
      <c r="R944" s="5" t="s">
        <v>396</v>
      </c>
      <c r="S944" t="s">
        <v>69</v>
      </c>
    </row>
    <row r="945" spans="1:19" x14ac:dyDescent="0.25">
      <c r="B945" t="s">
        <v>340</v>
      </c>
      <c r="C945" s="21">
        <v>1</v>
      </c>
      <c r="D945" s="21">
        <v>2</v>
      </c>
      <c r="E945" s="21">
        <v>3</v>
      </c>
      <c r="F945" s="21">
        <v>4</v>
      </c>
      <c r="G945" s="21">
        <v>5</v>
      </c>
      <c r="H945" s="21">
        <v>6</v>
      </c>
      <c r="I945" s="21">
        <v>7</v>
      </c>
      <c r="J945" s="21">
        <v>8</v>
      </c>
      <c r="K945" s="21">
        <v>9</v>
      </c>
      <c r="L945" s="21">
        <v>10</v>
      </c>
      <c r="M945" s="21">
        <v>11</v>
      </c>
      <c r="N945" s="21">
        <v>12</v>
      </c>
      <c r="O945" s="21">
        <v>13</v>
      </c>
      <c r="P945" s="21">
        <v>14</v>
      </c>
      <c r="Q945" s="21">
        <v>15</v>
      </c>
      <c r="R945" s="5" t="s">
        <v>11</v>
      </c>
      <c r="S945" t="s">
        <v>126</v>
      </c>
    </row>
    <row r="946" spans="1:19" x14ac:dyDescent="0.25">
      <c r="A946" t="s">
        <v>900</v>
      </c>
      <c r="B946" t="s">
        <v>10</v>
      </c>
      <c r="C946" s="2">
        <v>0.42049999999999998</v>
      </c>
      <c r="D946" s="2">
        <v>0.45479999999999998</v>
      </c>
      <c r="E946" s="2">
        <v>0.48899999999999999</v>
      </c>
      <c r="F946" s="2">
        <v>0.53790000000000004</v>
      </c>
      <c r="G946" s="2">
        <v>0.57210000000000005</v>
      </c>
      <c r="H946" s="2">
        <v>0.61129999999999995</v>
      </c>
      <c r="I946" s="2">
        <v>0.66500000000000004</v>
      </c>
      <c r="J946" s="2">
        <v>0.71879999999999999</v>
      </c>
      <c r="K946" s="2">
        <v>0.77259999999999995</v>
      </c>
      <c r="L946" s="2">
        <v>0.83130000000000004</v>
      </c>
      <c r="M946" s="2">
        <v>0.89849999999999997</v>
      </c>
      <c r="N946" s="2">
        <v>0.97760000000000002</v>
      </c>
      <c r="O946" s="2">
        <v>1.0567</v>
      </c>
      <c r="P946" s="2">
        <v>1.1357999999999999</v>
      </c>
      <c r="Q946" s="2">
        <v>1.222</v>
      </c>
      <c r="R946" t="s">
        <v>6</v>
      </c>
      <c r="S946" t="s">
        <v>127</v>
      </c>
    </row>
    <row r="947" spans="1:19" x14ac:dyDescent="0.25">
      <c r="B947" t="s">
        <v>9</v>
      </c>
      <c r="C947" s="2">
        <v>0.4214</v>
      </c>
      <c r="D947" s="2">
        <v>0.45569999999999999</v>
      </c>
      <c r="E947" s="2">
        <v>0.49</v>
      </c>
      <c r="F947" s="2">
        <v>0.53900000000000003</v>
      </c>
      <c r="G947" s="2">
        <v>0.57330000000000003</v>
      </c>
      <c r="H947" s="2">
        <v>0.61250000000000004</v>
      </c>
      <c r="I947" s="2">
        <v>0.66639999999999999</v>
      </c>
      <c r="J947" s="2">
        <v>0.72030000000000005</v>
      </c>
      <c r="K947" s="2">
        <v>0.7742</v>
      </c>
      <c r="L947" s="2">
        <v>0.83299999999999996</v>
      </c>
      <c r="M947" s="2">
        <v>0.90039999999999998</v>
      </c>
      <c r="N947" s="2">
        <v>0.97960000000000003</v>
      </c>
      <c r="O947" s="2">
        <v>1.0588</v>
      </c>
      <c r="P947" s="2">
        <v>1.1380999999999999</v>
      </c>
      <c r="Q947" s="2">
        <v>1.2244999999999999</v>
      </c>
      <c r="R947" t="s">
        <v>6</v>
      </c>
      <c r="S947" t="s">
        <v>127</v>
      </c>
    </row>
    <row r="948" spans="1:19" x14ac:dyDescent="0.25">
      <c r="B948" t="s">
        <v>278</v>
      </c>
      <c r="C948" s="2">
        <v>0.2606</v>
      </c>
      <c r="D948" s="2">
        <v>0.28179999999999999</v>
      </c>
      <c r="E948" s="2">
        <v>0.30299999999999999</v>
      </c>
      <c r="F948" s="2">
        <v>0.33329999999999999</v>
      </c>
      <c r="G948" s="2">
        <v>0.35449999999999998</v>
      </c>
      <c r="H948" s="2">
        <v>0.37869999999999998</v>
      </c>
      <c r="I948" s="2">
        <v>0.41210000000000002</v>
      </c>
      <c r="J948" s="2">
        <v>0.44540000000000002</v>
      </c>
      <c r="K948" s="2">
        <v>0.47870000000000001</v>
      </c>
      <c r="L948" s="2">
        <v>0.5151</v>
      </c>
      <c r="M948" s="2">
        <v>0.55679999999999996</v>
      </c>
      <c r="N948" s="2">
        <v>0.60580000000000001</v>
      </c>
      <c r="O948" s="2">
        <v>0.65480000000000005</v>
      </c>
      <c r="P948" s="2">
        <v>0.70369999999999999</v>
      </c>
      <c r="Q948" s="2">
        <v>0.75719999999999998</v>
      </c>
      <c r="R948" t="s">
        <v>6</v>
      </c>
      <c r="S948" t="s">
        <v>127</v>
      </c>
    </row>
    <row r="949" spans="1:19" x14ac:dyDescent="0.25">
      <c r="B949" t="s">
        <v>341</v>
      </c>
      <c r="C949" s="2">
        <v>0.14099999999999999</v>
      </c>
      <c r="D949" s="2">
        <v>0.1525</v>
      </c>
      <c r="E949" s="2">
        <v>0.16400000000000001</v>
      </c>
      <c r="F949" s="2">
        <v>0.1804</v>
      </c>
      <c r="G949" s="2">
        <v>0.19189999999999999</v>
      </c>
      <c r="H949" s="2">
        <v>0.20499999999999999</v>
      </c>
      <c r="I949" s="2">
        <v>0.223</v>
      </c>
      <c r="J949" s="2">
        <v>0.24110000000000001</v>
      </c>
      <c r="K949" s="2">
        <v>0.2591</v>
      </c>
      <c r="L949" s="2">
        <v>0.27879999999999999</v>
      </c>
      <c r="M949" s="2">
        <v>0.3014</v>
      </c>
      <c r="N949" s="2">
        <v>0.32790000000000002</v>
      </c>
      <c r="O949" s="2">
        <v>0.35439999999999999</v>
      </c>
      <c r="P949" s="2">
        <v>0.38090000000000002</v>
      </c>
      <c r="Q949" s="2">
        <v>0.4098</v>
      </c>
      <c r="R949" t="s">
        <v>6</v>
      </c>
      <c r="S949" t="s">
        <v>127</v>
      </c>
    </row>
    <row r="950" spans="1:19" x14ac:dyDescent="0.25">
      <c r="B950" t="s">
        <v>7</v>
      </c>
      <c r="C950" s="2">
        <v>0.71040000000000003</v>
      </c>
      <c r="D950" s="2">
        <v>0.76819999999999999</v>
      </c>
      <c r="E950" s="2">
        <v>0.82599999999999996</v>
      </c>
      <c r="F950" s="2">
        <v>0.90859999999999996</v>
      </c>
      <c r="G950" s="2">
        <v>0.96640000000000004</v>
      </c>
      <c r="H950" s="2">
        <v>1.0325</v>
      </c>
      <c r="I950" s="2">
        <v>1.1234</v>
      </c>
      <c r="J950" s="2">
        <v>1.2141999999999999</v>
      </c>
      <c r="K950" s="2">
        <v>1.3050999999999999</v>
      </c>
      <c r="L950" s="2">
        <v>1.4041999999999999</v>
      </c>
      <c r="M950" s="2">
        <v>1.5178</v>
      </c>
      <c r="N950" s="2">
        <v>1.6513</v>
      </c>
      <c r="O950" s="2">
        <v>1.7848999999999999</v>
      </c>
      <c r="P950" s="2">
        <v>1.9185000000000001</v>
      </c>
      <c r="Q950" s="2">
        <v>2.0642</v>
      </c>
      <c r="R950" t="s">
        <v>6</v>
      </c>
      <c r="S950" t="s">
        <v>127</v>
      </c>
    </row>
    <row r="951" spans="1:19" x14ac:dyDescent="0.25">
      <c r="B951" t="s">
        <v>14</v>
      </c>
      <c r="C951" s="2">
        <v>1.2169000000000001</v>
      </c>
      <c r="D951" s="2">
        <v>1.3160000000000001</v>
      </c>
      <c r="E951" s="2">
        <v>1.415</v>
      </c>
      <c r="F951" s="2">
        <v>1.5565</v>
      </c>
      <c r="G951" s="2">
        <v>1.6556</v>
      </c>
      <c r="H951" s="2">
        <v>1.7687999999999999</v>
      </c>
      <c r="I951" s="2">
        <v>1.9244000000000001</v>
      </c>
      <c r="J951" s="2">
        <v>2.0800999999999998</v>
      </c>
      <c r="K951" s="2">
        <v>2.2357</v>
      </c>
      <c r="L951" s="2">
        <v>2.4055</v>
      </c>
      <c r="M951" s="2">
        <v>2.6000999999999999</v>
      </c>
      <c r="N951" s="2">
        <v>2.8289</v>
      </c>
      <c r="O951" s="2">
        <v>3.0577000000000001</v>
      </c>
      <c r="P951" s="2">
        <v>3.2865000000000002</v>
      </c>
      <c r="Q951" s="2">
        <v>3.5360999999999998</v>
      </c>
      <c r="R951" t="s">
        <v>5</v>
      </c>
      <c r="S951" t="s">
        <v>127</v>
      </c>
    </row>
    <row r="952" spans="1:19" x14ac:dyDescent="0.25">
      <c r="B952" t="s">
        <v>155</v>
      </c>
      <c r="C952" s="2">
        <v>0.63929999999999998</v>
      </c>
      <c r="D952" s="2">
        <v>0.69140000000000001</v>
      </c>
      <c r="E952" s="2">
        <v>0.74339999999999995</v>
      </c>
      <c r="F952" s="2">
        <v>0.81769999999999998</v>
      </c>
      <c r="G952" s="2">
        <v>0.86980000000000002</v>
      </c>
      <c r="H952" s="2">
        <v>0.92930000000000001</v>
      </c>
      <c r="I952" s="2">
        <v>1.0109999999999999</v>
      </c>
      <c r="J952" s="2">
        <v>1.0928</v>
      </c>
      <c r="K952" s="2">
        <v>1.1746000000000001</v>
      </c>
      <c r="L952" s="2">
        <v>1.2638</v>
      </c>
      <c r="M952" s="2">
        <v>1.353</v>
      </c>
      <c r="N952" s="2">
        <v>1.4421999999999999</v>
      </c>
      <c r="O952" s="2">
        <v>1.5314000000000001</v>
      </c>
      <c r="P952" s="2">
        <v>1.6206</v>
      </c>
      <c r="Q952" s="2">
        <v>1.7098</v>
      </c>
      <c r="R952" t="s">
        <v>3</v>
      </c>
      <c r="S952" t="s">
        <v>127</v>
      </c>
    </row>
    <row r="953" spans="1:19" x14ac:dyDescent="0.25">
      <c r="B953" t="s">
        <v>135</v>
      </c>
      <c r="C953" s="2">
        <v>1.2784</v>
      </c>
      <c r="D953" s="2">
        <v>1.3824000000000001</v>
      </c>
      <c r="E953" s="2">
        <v>1.4864999999999999</v>
      </c>
      <c r="F953" s="2">
        <v>1.6351</v>
      </c>
      <c r="G953" s="2">
        <v>1.7392000000000001</v>
      </c>
      <c r="H953" s="2">
        <v>1.8581000000000001</v>
      </c>
      <c r="I953" s="2">
        <v>2.0215999999999998</v>
      </c>
      <c r="J953" s="2">
        <v>2.1850999999999998</v>
      </c>
      <c r="K953" s="2">
        <v>2.3485999999999998</v>
      </c>
      <c r="L953" s="2">
        <v>2.5270000000000001</v>
      </c>
      <c r="M953" s="2">
        <v>2.7054</v>
      </c>
      <c r="N953" s="2">
        <v>2.8837999999999999</v>
      </c>
      <c r="O953" s="2">
        <v>3.0621999999999998</v>
      </c>
      <c r="P953" s="2">
        <v>3.2404999999999999</v>
      </c>
      <c r="Q953" s="2">
        <v>3.4188999999999998</v>
      </c>
      <c r="R953" t="s">
        <v>3</v>
      </c>
      <c r="S953" t="s">
        <v>127</v>
      </c>
    </row>
    <row r="954" spans="1:19" x14ac:dyDescent="0.25">
      <c r="B954" t="s">
        <v>136</v>
      </c>
      <c r="C954" s="2">
        <v>1.5968</v>
      </c>
      <c r="D954" s="2">
        <v>1.7266999999999999</v>
      </c>
      <c r="E954" s="2">
        <v>1.8567</v>
      </c>
      <c r="F954" s="2">
        <v>2.0424000000000002</v>
      </c>
      <c r="G954" s="2">
        <v>2.1722999999999999</v>
      </c>
      <c r="H954" s="2">
        <v>2.3209</v>
      </c>
      <c r="I954" s="2">
        <v>2.5251000000000001</v>
      </c>
      <c r="J954" s="2">
        <v>2.7292999999999998</v>
      </c>
      <c r="K954" s="2">
        <v>2.9336000000000002</v>
      </c>
      <c r="L954" s="2">
        <v>3.1564000000000001</v>
      </c>
      <c r="M954" s="2">
        <v>3.3792</v>
      </c>
      <c r="N954" s="2">
        <v>3.6019999999999999</v>
      </c>
      <c r="O954" s="2">
        <v>3.8248000000000002</v>
      </c>
      <c r="P954" s="2">
        <v>4.0476000000000001</v>
      </c>
      <c r="Q954" s="2">
        <v>4.2704000000000004</v>
      </c>
      <c r="R954" t="s">
        <v>3</v>
      </c>
      <c r="S954" t="s">
        <v>127</v>
      </c>
    </row>
    <row r="955" spans="1:19" x14ac:dyDescent="0.25">
      <c r="B955" t="s">
        <v>342</v>
      </c>
      <c r="C955" s="2">
        <v>1.1128</v>
      </c>
      <c r="D955" s="2">
        <v>1.1962999999999999</v>
      </c>
      <c r="E955" s="2">
        <v>1.2797000000000001</v>
      </c>
      <c r="F955" s="2">
        <v>1.391</v>
      </c>
      <c r="G955" s="2">
        <v>1.4744999999999999</v>
      </c>
      <c r="H955" s="2">
        <v>1.5579000000000001</v>
      </c>
      <c r="I955" s="2">
        <v>1.6692</v>
      </c>
      <c r="J955" s="2">
        <v>1.7805</v>
      </c>
      <c r="K955" s="2">
        <v>1.8917999999999999</v>
      </c>
      <c r="L955" s="2">
        <v>2.0030000000000001</v>
      </c>
      <c r="M955" s="2">
        <v>2.1143000000000001</v>
      </c>
      <c r="N955" s="2">
        <v>2.2256</v>
      </c>
      <c r="O955" s="2">
        <v>2.3647</v>
      </c>
      <c r="P955" s="2">
        <v>2.5038</v>
      </c>
      <c r="Q955" s="2">
        <v>2.6429</v>
      </c>
      <c r="R955" t="s">
        <v>19</v>
      </c>
      <c r="S955" t="s">
        <v>127</v>
      </c>
    </row>
    <row r="956" spans="1:19" x14ac:dyDescent="0.25">
      <c r="B956" t="s">
        <v>344</v>
      </c>
      <c r="C956" s="2">
        <v>0.72</v>
      </c>
      <c r="D956" s="2">
        <v>0.77400000000000002</v>
      </c>
      <c r="E956" s="2">
        <v>0.82799999999999996</v>
      </c>
      <c r="F956" s="2">
        <v>0.9</v>
      </c>
      <c r="G956" s="2">
        <v>0.95399999999999996</v>
      </c>
      <c r="H956" s="2">
        <v>1.008</v>
      </c>
      <c r="I956" s="2">
        <v>1.08</v>
      </c>
      <c r="J956" s="2">
        <v>1.1519999999999999</v>
      </c>
      <c r="K956" s="2">
        <v>1.224</v>
      </c>
      <c r="L956" s="2">
        <v>1.296</v>
      </c>
      <c r="M956" s="2">
        <v>1.3680000000000001</v>
      </c>
      <c r="N956" s="2">
        <v>1.44</v>
      </c>
      <c r="O956" s="2">
        <v>1.53</v>
      </c>
      <c r="P956" s="2">
        <v>1.62</v>
      </c>
      <c r="Q956" s="2">
        <v>1.71</v>
      </c>
      <c r="R956" t="s">
        <v>0</v>
      </c>
      <c r="S956" t="s">
        <v>127</v>
      </c>
    </row>
    <row r="957" spans="1:19" x14ac:dyDescent="0.25">
      <c r="B957" t="s">
        <v>345</v>
      </c>
      <c r="C957" s="2">
        <v>0.88</v>
      </c>
      <c r="D957" s="2">
        <v>0.94599999999999995</v>
      </c>
      <c r="E957" s="2">
        <v>1.012</v>
      </c>
      <c r="F957" s="2">
        <v>1.1000000000000001</v>
      </c>
      <c r="G957" s="2">
        <v>1.1659999999999999</v>
      </c>
      <c r="H957" s="2">
        <v>1.232</v>
      </c>
      <c r="I957" s="2">
        <v>1.32</v>
      </c>
      <c r="J957" s="2">
        <v>1.4079999999999999</v>
      </c>
      <c r="K957" s="2">
        <v>1.496</v>
      </c>
      <c r="L957" s="2">
        <v>1.5840000000000001</v>
      </c>
      <c r="M957" s="2">
        <v>1.6719999999999999</v>
      </c>
      <c r="N957" s="2">
        <v>1.76</v>
      </c>
      <c r="O957" s="2">
        <v>1.87</v>
      </c>
      <c r="P957" s="2">
        <v>1.98</v>
      </c>
      <c r="Q957" s="2">
        <v>2.09</v>
      </c>
      <c r="R957" t="s">
        <v>0</v>
      </c>
      <c r="S957" t="s">
        <v>127</v>
      </c>
    </row>
    <row r="958" spans="1:19" x14ac:dyDescent="0.25">
      <c r="B958" t="s">
        <v>346</v>
      </c>
      <c r="C958" s="2">
        <v>1.0960000000000001</v>
      </c>
      <c r="D958" s="2">
        <v>1.1781999999999999</v>
      </c>
      <c r="E958" s="2">
        <v>1.2604</v>
      </c>
      <c r="F958" s="2">
        <v>1.37</v>
      </c>
      <c r="G958" s="2">
        <v>1.4521999999999999</v>
      </c>
      <c r="H958" s="2">
        <v>1.5344</v>
      </c>
      <c r="I958" s="2">
        <v>1.6439999999999999</v>
      </c>
      <c r="J958" s="2">
        <v>1.7536</v>
      </c>
      <c r="K958" s="2">
        <v>1.8632</v>
      </c>
      <c r="L958" s="2">
        <v>1.9728000000000001</v>
      </c>
      <c r="M958" s="2">
        <v>2.0823999999999998</v>
      </c>
      <c r="N958" s="2">
        <v>2.1920000000000002</v>
      </c>
      <c r="O958" s="2">
        <v>2.3290000000000002</v>
      </c>
      <c r="P958" s="2">
        <v>2.4660000000000002</v>
      </c>
      <c r="Q958" s="2">
        <v>2.6030000000000002</v>
      </c>
      <c r="R958" t="s">
        <v>0</v>
      </c>
      <c r="S958" t="s">
        <v>127</v>
      </c>
    </row>
    <row r="959" spans="1:19" x14ac:dyDescent="0.25">
      <c r="B959" t="s">
        <v>343</v>
      </c>
      <c r="C959" s="2">
        <v>1.1200000000000001</v>
      </c>
      <c r="D959" s="2">
        <v>1.204</v>
      </c>
      <c r="E959" s="2">
        <v>1.288</v>
      </c>
      <c r="F959" s="2">
        <v>1.4</v>
      </c>
      <c r="G959" s="2">
        <v>1.484</v>
      </c>
      <c r="H959" s="2">
        <v>1.5680000000000001</v>
      </c>
      <c r="I959" s="2">
        <v>1.68</v>
      </c>
      <c r="J959" s="2">
        <v>1.792</v>
      </c>
      <c r="K959" s="2">
        <v>1.9039999999999999</v>
      </c>
      <c r="L959" s="2">
        <v>2.016</v>
      </c>
      <c r="M959" s="2">
        <v>2.1280000000000001</v>
      </c>
      <c r="N959" s="2">
        <v>2.2400000000000002</v>
      </c>
      <c r="O959" s="2">
        <v>2.38</v>
      </c>
      <c r="P959" s="2">
        <v>2.52</v>
      </c>
      <c r="Q959" s="2">
        <v>2.66</v>
      </c>
      <c r="R959" t="s">
        <v>0</v>
      </c>
      <c r="S959" t="s">
        <v>127</v>
      </c>
    </row>
    <row r="960" spans="1:19" x14ac:dyDescent="0.25">
      <c r="B960" s="3" t="s">
        <v>771</v>
      </c>
      <c r="C960" s="23"/>
      <c r="D960" s="23"/>
      <c r="E960" s="23"/>
      <c r="F960" s="23"/>
      <c r="G960" s="23"/>
      <c r="H960" s="23"/>
      <c r="I960" s="23"/>
      <c r="J960" s="23"/>
      <c r="K960" s="23"/>
      <c r="L960" s="23"/>
      <c r="M960" s="23"/>
      <c r="N960" s="23"/>
      <c r="O960" s="23"/>
      <c r="P960" s="23"/>
      <c r="Q960" s="23"/>
      <c r="R960" s="5" t="s">
        <v>771</v>
      </c>
      <c r="S960" t="s">
        <v>772</v>
      </c>
    </row>
    <row r="961" spans="1:19" x14ac:dyDescent="0.25">
      <c r="B961" s="3" t="s">
        <v>390</v>
      </c>
      <c r="C961" s="23"/>
      <c r="D961" s="23"/>
      <c r="E961" s="23"/>
      <c r="F961" s="23"/>
      <c r="G961" s="23"/>
      <c r="H961" s="23"/>
      <c r="I961" s="23"/>
      <c r="J961" s="23"/>
      <c r="K961" s="23"/>
      <c r="L961" s="23"/>
      <c r="M961" s="23"/>
      <c r="N961" s="23"/>
      <c r="O961" s="23"/>
      <c r="P961" s="23"/>
      <c r="Q961" s="23"/>
      <c r="R961" s="5" t="s">
        <v>396</v>
      </c>
      <c r="S961" t="s">
        <v>69</v>
      </c>
    </row>
    <row r="962" spans="1:19" x14ac:dyDescent="0.25">
      <c r="B962" s="3" t="s">
        <v>392</v>
      </c>
      <c r="C962" s="23"/>
      <c r="D962" s="23"/>
      <c r="E962" s="23"/>
      <c r="F962" s="23"/>
      <c r="G962" s="23"/>
      <c r="H962" s="23"/>
      <c r="I962" s="23"/>
      <c r="J962" s="23"/>
      <c r="K962" s="23"/>
      <c r="L962" s="23"/>
      <c r="M962" s="23"/>
      <c r="N962" s="23"/>
      <c r="O962" s="23"/>
      <c r="P962" s="23"/>
      <c r="Q962" s="23"/>
      <c r="R962" s="5" t="s">
        <v>396</v>
      </c>
      <c r="S962" t="s">
        <v>69</v>
      </c>
    </row>
    <row r="963" spans="1:19" x14ac:dyDescent="0.25">
      <c r="B963" s="3" t="s">
        <v>393</v>
      </c>
      <c r="C963" s="23"/>
      <c r="D963" s="23"/>
      <c r="E963" s="23"/>
      <c r="F963" s="23"/>
      <c r="G963" s="23"/>
      <c r="H963" s="23"/>
      <c r="I963" s="23"/>
      <c r="J963" s="23"/>
      <c r="K963" s="23"/>
      <c r="L963" s="23"/>
      <c r="M963" s="23"/>
      <c r="N963" s="23"/>
      <c r="O963" s="23"/>
      <c r="P963" s="23"/>
      <c r="Q963" s="23"/>
      <c r="R963" s="5" t="s">
        <v>396</v>
      </c>
      <c r="S963" t="s">
        <v>69</v>
      </c>
    </row>
    <row r="964" spans="1:19" x14ac:dyDescent="0.25">
      <c r="B964" s="3" t="s">
        <v>389</v>
      </c>
      <c r="C964" s="23"/>
      <c r="D964" s="23"/>
      <c r="E964" s="23"/>
      <c r="F964" s="23"/>
      <c r="G964" s="23"/>
      <c r="H964" s="23"/>
      <c r="I964" s="23"/>
      <c r="J964" s="23"/>
      <c r="K964" s="23"/>
      <c r="L964" s="23"/>
      <c r="M964" s="23"/>
      <c r="N964" s="23"/>
      <c r="O964" s="23"/>
      <c r="P964" s="23"/>
      <c r="Q964" s="23"/>
      <c r="R964" s="5" t="s">
        <v>396</v>
      </c>
      <c r="S964" t="s">
        <v>69</v>
      </c>
    </row>
    <row r="965" spans="1:19" x14ac:dyDescent="0.25">
      <c r="B965" s="3" t="s">
        <v>391</v>
      </c>
      <c r="C965" s="23"/>
      <c r="D965" s="23"/>
      <c r="E965" s="23"/>
      <c r="F965" s="23"/>
      <c r="G965" s="23"/>
      <c r="H965" s="23"/>
      <c r="I965" s="23"/>
      <c r="J965" s="23"/>
      <c r="K965" s="23"/>
      <c r="L965" s="23"/>
      <c r="M965" s="23"/>
      <c r="N965" s="23"/>
      <c r="O965" s="23"/>
      <c r="P965" s="23"/>
      <c r="Q965" s="23"/>
      <c r="R965" s="5" t="s">
        <v>396</v>
      </c>
      <c r="S965" t="s">
        <v>69</v>
      </c>
    </row>
    <row r="966" spans="1:19" x14ac:dyDescent="0.25">
      <c r="B966" s="3" t="s">
        <v>394</v>
      </c>
      <c r="C966" s="23"/>
      <c r="D966" s="23"/>
      <c r="E966" s="23"/>
      <c r="F966" s="23"/>
      <c r="G966" s="23"/>
      <c r="H966" s="23"/>
      <c r="I966" s="23"/>
      <c r="J966" s="23"/>
      <c r="K966" s="23"/>
      <c r="L966" s="23"/>
      <c r="M966" s="23"/>
      <c r="N966" s="23"/>
      <c r="O966" s="23"/>
      <c r="P966" s="23"/>
      <c r="Q966" s="23"/>
      <c r="R966" s="5" t="s">
        <v>396</v>
      </c>
      <c r="S966" t="s">
        <v>69</v>
      </c>
    </row>
    <row r="967" spans="1:19" x14ac:dyDescent="0.25">
      <c r="B967" s="3" t="s">
        <v>395</v>
      </c>
      <c r="C967" s="23"/>
      <c r="D967" s="23"/>
      <c r="E967" s="23"/>
      <c r="F967" s="23"/>
      <c r="G967" s="23"/>
      <c r="H967" s="23"/>
      <c r="I967" s="23"/>
      <c r="J967" s="23"/>
      <c r="K967" s="23"/>
      <c r="L967" s="23"/>
      <c r="M967" s="23"/>
      <c r="N967" s="23"/>
      <c r="O967" s="23"/>
      <c r="P967" s="23"/>
      <c r="Q967" s="23"/>
      <c r="R967" s="5" t="s">
        <v>396</v>
      </c>
      <c r="S967" t="s">
        <v>69</v>
      </c>
    </row>
    <row r="968" spans="1:19" x14ac:dyDescent="0.25">
      <c r="A968" t="s">
        <v>901</v>
      </c>
      <c r="B968" s="3" t="s">
        <v>397</v>
      </c>
      <c r="C968" s="23"/>
      <c r="D968" s="23"/>
      <c r="E968" s="23"/>
      <c r="F968" s="23"/>
      <c r="G968" s="23"/>
      <c r="H968" s="23"/>
      <c r="I968" s="23"/>
      <c r="J968" s="23"/>
      <c r="K968" s="23"/>
      <c r="L968" s="23"/>
      <c r="M968" s="23"/>
      <c r="N968" s="23"/>
      <c r="O968" s="23"/>
      <c r="P968" s="23"/>
      <c r="Q968" s="23"/>
      <c r="R968" s="5" t="s">
        <v>396</v>
      </c>
      <c r="S968" t="s">
        <v>69</v>
      </c>
    </row>
    <row r="969" spans="1:19" x14ac:dyDescent="0.25">
      <c r="B969" t="s">
        <v>347</v>
      </c>
      <c r="C969" s="21">
        <v>1</v>
      </c>
      <c r="D969" s="21">
        <v>2</v>
      </c>
      <c r="E969" s="21">
        <v>3</v>
      </c>
      <c r="F969" s="21">
        <v>4</v>
      </c>
      <c r="G969" s="21">
        <v>5</v>
      </c>
      <c r="H969" s="21">
        <v>6</v>
      </c>
      <c r="I969" s="21">
        <v>7</v>
      </c>
      <c r="J969" s="21">
        <v>8</v>
      </c>
      <c r="K969" s="21">
        <v>9</v>
      </c>
      <c r="L969" s="21">
        <v>10</v>
      </c>
      <c r="M969" s="21">
        <v>11</v>
      </c>
      <c r="N969" s="21">
        <v>12</v>
      </c>
      <c r="O969" s="21">
        <v>13</v>
      </c>
      <c r="P969" s="21">
        <v>14</v>
      </c>
      <c r="Q969" s="21">
        <v>15</v>
      </c>
      <c r="R969" s="5" t="s">
        <v>11</v>
      </c>
      <c r="S969" t="s">
        <v>126</v>
      </c>
    </row>
    <row r="970" spans="1:19" x14ac:dyDescent="0.25">
      <c r="A970" t="s">
        <v>902</v>
      </c>
      <c r="B970" t="s">
        <v>348</v>
      </c>
      <c r="C970" s="2">
        <v>0.27539999999999998</v>
      </c>
      <c r="D970" s="2">
        <v>0.29420000000000002</v>
      </c>
      <c r="E970" s="2">
        <v>0.313</v>
      </c>
      <c r="F970" s="2">
        <v>0.33800000000000002</v>
      </c>
      <c r="G970" s="2">
        <v>0.35680000000000001</v>
      </c>
      <c r="H970" s="2">
        <v>0.37869999999999998</v>
      </c>
      <c r="I970" s="2">
        <v>0.40689999999999998</v>
      </c>
      <c r="J970" s="2">
        <v>0.43509999999999999</v>
      </c>
      <c r="K970" s="2">
        <v>0.4632</v>
      </c>
      <c r="L970" s="2">
        <v>0.4914</v>
      </c>
      <c r="M970" s="2">
        <v>0.51959999999999995</v>
      </c>
      <c r="N970" s="2">
        <v>0.54779999999999995</v>
      </c>
      <c r="O970" s="2">
        <v>0.57589999999999997</v>
      </c>
      <c r="P970" s="2">
        <v>0.60409999999999997</v>
      </c>
      <c r="Q970" s="2">
        <v>0.63229999999999997</v>
      </c>
      <c r="R970" t="s">
        <v>6</v>
      </c>
      <c r="S970" t="s">
        <v>127</v>
      </c>
    </row>
    <row r="971" spans="1:19" x14ac:dyDescent="0.25">
      <c r="B971" t="s">
        <v>9</v>
      </c>
      <c r="C971" s="2">
        <v>0.56940000000000002</v>
      </c>
      <c r="D971" s="2">
        <v>0.60819999999999996</v>
      </c>
      <c r="E971" s="2">
        <v>0.64700000000000002</v>
      </c>
      <c r="F971" s="2">
        <v>0.69879999999999998</v>
      </c>
      <c r="G971" s="2">
        <v>0.73760000000000003</v>
      </c>
      <c r="H971" s="2">
        <v>0.78290000000000004</v>
      </c>
      <c r="I971" s="2">
        <v>0.84109999999999996</v>
      </c>
      <c r="J971" s="2">
        <v>0.89929999999999999</v>
      </c>
      <c r="K971" s="2">
        <v>0.95760000000000001</v>
      </c>
      <c r="L971" s="2">
        <v>1.0158</v>
      </c>
      <c r="M971" s="2">
        <v>1.0740000000000001</v>
      </c>
      <c r="N971" s="2">
        <v>1.1323000000000001</v>
      </c>
      <c r="O971" s="2">
        <v>1.1904999999999999</v>
      </c>
      <c r="P971" s="2">
        <v>1.2486999999999999</v>
      </c>
      <c r="Q971" s="2">
        <v>1.3069</v>
      </c>
      <c r="R971" t="s">
        <v>6</v>
      </c>
      <c r="S971" t="s">
        <v>127</v>
      </c>
    </row>
    <row r="972" spans="1:19" x14ac:dyDescent="0.25">
      <c r="B972" t="s">
        <v>8</v>
      </c>
      <c r="C972" s="2">
        <v>0.6855</v>
      </c>
      <c r="D972" s="2">
        <v>0.73229999999999995</v>
      </c>
      <c r="E972" s="2">
        <v>0.77900000000000003</v>
      </c>
      <c r="F972" s="2">
        <v>0.84130000000000005</v>
      </c>
      <c r="G972" s="2">
        <v>0.8881</v>
      </c>
      <c r="H972" s="2">
        <v>0.94259999999999999</v>
      </c>
      <c r="I972" s="2">
        <v>1.0126999999999999</v>
      </c>
      <c r="J972" s="2">
        <v>1.0828</v>
      </c>
      <c r="K972" s="2">
        <v>1.1529</v>
      </c>
      <c r="L972" s="2">
        <v>1.2230000000000001</v>
      </c>
      <c r="M972" s="2">
        <v>1.2930999999999999</v>
      </c>
      <c r="N972" s="2">
        <v>1.3633</v>
      </c>
      <c r="O972" s="2">
        <v>1.4334</v>
      </c>
      <c r="P972" s="2">
        <v>1.5035000000000001</v>
      </c>
      <c r="Q972" s="2">
        <v>1.5736000000000001</v>
      </c>
      <c r="R972" t="s">
        <v>6</v>
      </c>
      <c r="S972" t="s">
        <v>127</v>
      </c>
    </row>
    <row r="973" spans="1:19" x14ac:dyDescent="0.25">
      <c r="B973" t="s">
        <v>277</v>
      </c>
      <c r="C973" s="2">
        <v>0.37659999999999999</v>
      </c>
      <c r="D973" s="2">
        <v>0.40229999999999999</v>
      </c>
      <c r="E973" s="2">
        <v>0.42799999999999999</v>
      </c>
      <c r="F973" s="2">
        <v>0.4622</v>
      </c>
      <c r="G973" s="2">
        <v>0.4879</v>
      </c>
      <c r="H973" s="2">
        <v>0.51790000000000003</v>
      </c>
      <c r="I973" s="2">
        <v>0.55640000000000001</v>
      </c>
      <c r="J973" s="2">
        <v>0.59489999999999998</v>
      </c>
      <c r="K973" s="2">
        <v>0.63339999999999996</v>
      </c>
      <c r="L973" s="2">
        <v>0.67200000000000004</v>
      </c>
      <c r="M973" s="2">
        <v>0.71050000000000002</v>
      </c>
      <c r="N973" s="2">
        <v>0.749</v>
      </c>
      <c r="O973" s="2">
        <v>0.78749999999999998</v>
      </c>
      <c r="P973" s="2">
        <v>0.82599999999999996</v>
      </c>
      <c r="Q973" s="2">
        <v>0.86460000000000004</v>
      </c>
      <c r="R973" t="s">
        <v>6</v>
      </c>
      <c r="S973" t="s">
        <v>127</v>
      </c>
    </row>
    <row r="974" spans="1:19" x14ac:dyDescent="0.25">
      <c r="B974" t="s">
        <v>7</v>
      </c>
      <c r="C974" s="2">
        <v>0.71540000000000004</v>
      </c>
      <c r="D974" s="2">
        <v>0.76419999999999999</v>
      </c>
      <c r="E974" s="2">
        <v>0.81299999999999994</v>
      </c>
      <c r="F974" s="2">
        <v>0.878</v>
      </c>
      <c r="G974" s="2">
        <v>0.92679999999999996</v>
      </c>
      <c r="H974" s="2">
        <v>0.98370000000000002</v>
      </c>
      <c r="I974" s="2">
        <v>1.0569</v>
      </c>
      <c r="J974" s="2">
        <v>1.1301000000000001</v>
      </c>
      <c r="K974" s="2">
        <v>1.2032</v>
      </c>
      <c r="L974" s="2">
        <v>1.2764</v>
      </c>
      <c r="M974" s="2">
        <v>1.3495999999999999</v>
      </c>
      <c r="N974" s="2">
        <v>1.4228000000000001</v>
      </c>
      <c r="O974" s="2">
        <v>1.4959</v>
      </c>
      <c r="P974" s="2">
        <v>1.5690999999999999</v>
      </c>
      <c r="Q974" s="2">
        <v>1.6423000000000001</v>
      </c>
      <c r="R974" t="s">
        <v>6</v>
      </c>
      <c r="S974" t="s">
        <v>127</v>
      </c>
    </row>
    <row r="975" spans="1:19" x14ac:dyDescent="0.25">
      <c r="B975" t="s">
        <v>217</v>
      </c>
      <c r="C975" s="2">
        <v>0.95830000000000004</v>
      </c>
      <c r="D975" s="2">
        <v>1.0237000000000001</v>
      </c>
      <c r="E975" s="2">
        <v>1.089</v>
      </c>
      <c r="F975" s="2">
        <v>1.1760999999999999</v>
      </c>
      <c r="G975" s="2">
        <v>1.2415</v>
      </c>
      <c r="H975" s="2">
        <v>1.3177000000000001</v>
      </c>
      <c r="I975" s="2">
        <v>1.4157</v>
      </c>
      <c r="J975" s="2">
        <v>1.5137</v>
      </c>
      <c r="K975" s="2">
        <v>1.6116999999999999</v>
      </c>
      <c r="L975" s="2">
        <v>1.7097</v>
      </c>
      <c r="M975" s="2">
        <v>1.8077000000000001</v>
      </c>
      <c r="N975" s="2">
        <v>1.9057999999999999</v>
      </c>
      <c r="O975" s="2">
        <v>2.0038</v>
      </c>
      <c r="P975" s="2">
        <v>2.1017999999999999</v>
      </c>
      <c r="Q975" s="2">
        <v>2.1998000000000002</v>
      </c>
      <c r="R975" t="s">
        <v>6</v>
      </c>
      <c r="S975" t="s">
        <v>127</v>
      </c>
    </row>
    <row r="976" spans="1:19" x14ac:dyDescent="0.25">
      <c r="B976" t="s">
        <v>14</v>
      </c>
      <c r="C976" s="2">
        <v>1.2109000000000001</v>
      </c>
      <c r="D976" s="2">
        <v>1.2934000000000001</v>
      </c>
      <c r="E976" s="2">
        <v>1.3759999999999999</v>
      </c>
      <c r="F976" s="2">
        <v>1.4861</v>
      </c>
      <c r="G976" s="2">
        <v>1.5686</v>
      </c>
      <c r="H976" s="2">
        <v>1.665</v>
      </c>
      <c r="I976" s="2">
        <v>1.7887999999999999</v>
      </c>
      <c r="J976" s="2">
        <v>1.9126000000000001</v>
      </c>
      <c r="K976" s="2">
        <v>2.0365000000000002</v>
      </c>
      <c r="L976" s="2">
        <v>2.1602999999999999</v>
      </c>
      <c r="M976" s="2">
        <v>2.2841999999999998</v>
      </c>
      <c r="N976" s="2">
        <v>2.4079999999999999</v>
      </c>
      <c r="O976" s="2">
        <v>2.5318000000000001</v>
      </c>
      <c r="P976" s="2">
        <v>2.6556999999999999</v>
      </c>
      <c r="Q976" s="2">
        <v>2.7795000000000001</v>
      </c>
      <c r="R976" t="s">
        <v>5</v>
      </c>
      <c r="S976" t="s">
        <v>127</v>
      </c>
    </row>
    <row r="977" spans="1:19" x14ac:dyDescent="0.25">
      <c r="B977" t="s">
        <v>155</v>
      </c>
      <c r="C977" s="2">
        <v>0.81830000000000003</v>
      </c>
      <c r="D977" s="2">
        <v>0.88490000000000002</v>
      </c>
      <c r="E977" s="2">
        <v>0.9516</v>
      </c>
      <c r="F977" s="2">
        <v>1.0467</v>
      </c>
      <c r="G977" s="2">
        <v>1.1133</v>
      </c>
      <c r="H977" s="2">
        <v>1.1894</v>
      </c>
      <c r="I977" s="2">
        <v>1.2941</v>
      </c>
      <c r="J977" s="2">
        <v>1.3988</v>
      </c>
      <c r="K977" s="2">
        <v>1.5035000000000001</v>
      </c>
      <c r="L977" s="2">
        <v>1.6175999999999999</v>
      </c>
      <c r="M977" s="2">
        <v>1.7318</v>
      </c>
      <c r="N977" s="2">
        <v>1.8460000000000001</v>
      </c>
      <c r="O977" s="2">
        <v>1.9601999999999999</v>
      </c>
      <c r="P977" s="2">
        <v>2.0743999999999998</v>
      </c>
      <c r="Q977" s="2">
        <v>2.1886000000000001</v>
      </c>
      <c r="R977" t="s">
        <v>3</v>
      </c>
      <c r="S977" t="s">
        <v>127</v>
      </c>
    </row>
    <row r="978" spans="1:19" x14ac:dyDescent="0.25">
      <c r="B978" t="s">
        <v>135</v>
      </c>
      <c r="C978" s="2">
        <v>1.6363000000000001</v>
      </c>
      <c r="D978" s="2">
        <v>1.7695000000000001</v>
      </c>
      <c r="E978" s="2">
        <v>1.9027000000000001</v>
      </c>
      <c r="F978" s="2">
        <v>2.093</v>
      </c>
      <c r="G978" s="2">
        <v>2.2262</v>
      </c>
      <c r="H978" s="2">
        <v>2.3784000000000001</v>
      </c>
      <c r="I978" s="2">
        <v>2.5876999999999999</v>
      </c>
      <c r="J978" s="2">
        <v>2.7970000000000002</v>
      </c>
      <c r="K978" s="2">
        <v>3.0063</v>
      </c>
      <c r="L978" s="2">
        <v>3.2345999999999999</v>
      </c>
      <c r="M978" s="2">
        <v>3.4628999999999999</v>
      </c>
      <c r="N978" s="2">
        <v>3.6911999999999998</v>
      </c>
      <c r="O978" s="2">
        <v>3.9196</v>
      </c>
      <c r="P978" s="2">
        <v>4.1478999999999999</v>
      </c>
      <c r="Q978" s="2">
        <v>4.3761999999999999</v>
      </c>
      <c r="R978" t="s">
        <v>3</v>
      </c>
      <c r="S978" t="s">
        <v>127</v>
      </c>
    </row>
    <row r="979" spans="1:19" x14ac:dyDescent="0.25">
      <c r="B979" t="s">
        <v>136</v>
      </c>
      <c r="C979" s="2">
        <v>2.0438999999999998</v>
      </c>
      <c r="D979" s="2">
        <v>2.2101999999999999</v>
      </c>
      <c r="E979" s="2">
        <v>2.3765999999999998</v>
      </c>
      <c r="F979" s="2">
        <v>2.6141999999999999</v>
      </c>
      <c r="G979" s="2">
        <v>2.7806000000000002</v>
      </c>
      <c r="H979" s="2">
        <v>2.9706999999999999</v>
      </c>
      <c r="I979" s="2">
        <v>3.2321</v>
      </c>
      <c r="J979" s="2">
        <v>3.4935999999999998</v>
      </c>
      <c r="K979" s="2">
        <v>3.7549999999999999</v>
      </c>
      <c r="L979" s="2">
        <v>4.0401999999999996</v>
      </c>
      <c r="M979" s="2">
        <v>4.3254000000000001</v>
      </c>
      <c r="N979" s="2">
        <v>4.6105999999999998</v>
      </c>
      <c r="O979" s="2">
        <v>4.8956999999999997</v>
      </c>
      <c r="P979" s="2">
        <v>5.1809000000000003</v>
      </c>
      <c r="Q979" s="2">
        <v>5.4661</v>
      </c>
      <c r="R979" t="s">
        <v>3</v>
      </c>
      <c r="S979" t="s">
        <v>127</v>
      </c>
    </row>
    <row r="980" spans="1:19" x14ac:dyDescent="0.25">
      <c r="B980" t="s">
        <v>4</v>
      </c>
      <c r="C980" s="2">
        <v>2.528</v>
      </c>
      <c r="D980" s="2">
        <v>2.7176</v>
      </c>
      <c r="E980" s="2">
        <v>2.9072</v>
      </c>
      <c r="F980" s="2">
        <v>3.16</v>
      </c>
      <c r="G980" s="2">
        <v>3.3496000000000001</v>
      </c>
      <c r="H980" s="2">
        <v>3.5392000000000001</v>
      </c>
      <c r="I980" s="2">
        <v>3.7919999999999998</v>
      </c>
      <c r="J980" s="2">
        <v>4.0448000000000004</v>
      </c>
      <c r="K980" s="2">
        <v>4.2976000000000001</v>
      </c>
      <c r="L980" s="2">
        <v>4.5503999999999998</v>
      </c>
      <c r="M980" s="2">
        <v>4.8032000000000004</v>
      </c>
      <c r="N980" s="2">
        <v>5.056</v>
      </c>
      <c r="O980" s="2">
        <v>5.3719999999999999</v>
      </c>
      <c r="P980" s="2">
        <v>5.6879999999999997</v>
      </c>
      <c r="Q980" s="2">
        <v>6.0039999999999996</v>
      </c>
      <c r="R980" t="s">
        <v>19</v>
      </c>
      <c r="S980" t="s">
        <v>127</v>
      </c>
    </row>
    <row r="981" spans="1:19" x14ac:dyDescent="0.25">
      <c r="B981" s="3" t="s">
        <v>771</v>
      </c>
      <c r="C981" s="23"/>
      <c r="D981" s="23"/>
      <c r="E981" s="23"/>
      <c r="F981" s="23"/>
      <c r="G981" s="23"/>
      <c r="H981" s="23"/>
      <c r="I981" s="23"/>
      <c r="J981" s="23"/>
      <c r="K981" s="23"/>
      <c r="L981" s="23"/>
      <c r="M981" s="23"/>
      <c r="N981" s="23"/>
      <c r="O981" s="23"/>
      <c r="P981" s="23"/>
      <c r="Q981" s="23"/>
      <c r="R981" s="5" t="s">
        <v>771</v>
      </c>
      <c r="S981" t="s">
        <v>772</v>
      </c>
    </row>
    <row r="982" spans="1:19" x14ac:dyDescent="0.25">
      <c r="B982" s="3" t="s">
        <v>390</v>
      </c>
      <c r="C982" s="23"/>
      <c r="D982" s="23"/>
      <c r="E982" s="23"/>
      <c r="F982" s="23"/>
      <c r="G982" s="23"/>
      <c r="H982" s="23"/>
      <c r="I982" s="23"/>
      <c r="J982" s="23"/>
      <c r="K982" s="23"/>
      <c r="L982" s="23"/>
      <c r="M982" s="23"/>
      <c r="N982" s="23"/>
      <c r="O982" s="23"/>
      <c r="P982" s="23"/>
      <c r="Q982" s="23"/>
      <c r="R982" s="5" t="s">
        <v>396</v>
      </c>
      <c r="S982" t="s">
        <v>69</v>
      </c>
    </row>
    <row r="983" spans="1:19" x14ac:dyDescent="0.25">
      <c r="B983" s="3" t="s">
        <v>392</v>
      </c>
      <c r="C983" s="23"/>
      <c r="D983" s="23"/>
      <c r="E983" s="23"/>
      <c r="F983" s="23"/>
      <c r="G983" s="23"/>
      <c r="H983" s="23"/>
      <c r="I983" s="23"/>
      <c r="J983" s="23"/>
      <c r="K983" s="23"/>
      <c r="L983" s="23"/>
      <c r="M983" s="23"/>
      <c r="N983" s="23"/>
      <c r="O983" s="23"/>
      <c r="P983" s="23"/>
      <c r="Q983" s="23"/>
      <c r="R983" s="5" t="s">
        <v>396</v>
      </c>
      <c r="S983" t="s">
        <v>69</v>
      </c>
    </row>
    <row r="984" spans="1:19" x14ac:dyDescent="0.25">
      <c r="B984" s="3" t="s">
        <v>393</v>
      </c>
      <c r="C984" s="23"/>
      <c r="D984" s="23"/>
      <c r="E984" s="23"/>
      <c r="F984" s="23"/>
      <c r="G984" s="23"/>
      <c r="H984" s="23"/>
      <c r="I984" s="23"/>
      <c r="J984" s="23"/>
      <c r="K984" s="23"/>
      <c r="L984" s="23"/>
      <c r="M984" s="23"/>
      <c r="N984" s="23"/>
      <c r="O984" s="23"/>
      <c r="P984" s="23"/>
      <c r="Q984" s="23"/>
      <c r="R984" s="5" t="s">
        <v>396</v>
      </c>
      <c r="S984" t="s">
        <v>69</v>
      </c>
    </row>
    <row r="985" spans="1:19" x14ac:dyDescent="0.25">
      <c r="B985" s="3" t="s">
        <v>389</v>
      </c>
      <c r="C985" s="23"/>
      <c r="D985" s="23"/>
      <c r="E985" s="23"/>
      <c r="F985" s="23"/>
      <c r="G985" s="23"/>
      <c r="H985" s="23"/>
      <c r="I985" s="23"/>
      <c r="J985" s="23"/>
      <c r="K985" s="23"/>
      <c r="L985" s="23"/>
      <c r="M985" s="23"/>
      <c r="N985" s="23"/>
      <c r="O985" s="23"/>
      <c r="P985" s="23"/>
      <c r="Q985" s="23"/>
      <c r="R985" s="5" t="s">
        <v>396</v>
      </c>
      <c r="S985" t="s">
        <v>69</v>
      </c>
    </row>
    <row r="986" spans="1:19" x14ac:dyDescent="0.25">
      <c r="B986" s="3" t="s">
        <v>391</v>
      </c>
      <c r="C986" s="23"/>
      <c r="D986" s="23"/>
      <c r="E986" s="23"/>
      <c r="F986" s="23"/>
      <c r="G986" s="23"/>
      <c r="H986" s="23"/>
      <c r="I986" s="23"/>
      <c r="J986" s="23"/>
      <c r="K986" s="23"/>
      <c r="L986" s="23"/>
      <c r="M986" s="23"/>
      <c r="N986" s="23"/>
      <c r="O986" s="23"/>
      <c r="P986" s="23"/>
      <c r="Q986" s="23"/>
      <c r="R986" s="5" t="s">
        <v>396</v>
      </c>
      <c r="S986" t="s">
        <v>69</v>
      </c>
    </row>
    <row r="987" spans="1:19" x14ac:dyDescent="0.25">
      <c r="B987" s="3" t="s">
        <v>394</v>
      </c>
      <c r="C987" s="23"/>
      <c r="D987" s="23"/>
      <c r="E987" s="23"/>
      <c r="F987" s="23"/>
      <c r="G987" s="23"/>
      <c r="H987" s="23"/>
      <c r="I987" s="23"/>
      <c r="J987" s="23"/>
      <c r="K987" s="23"/>
      <c r="L987" s="23"/>
      <c r="M987" s="23"/>
      <c r="N987" s="23"/>
      <c r="O987" s="23"/>
      <c r="P987" s="23"/>
      <c r="Q987" s="23"/>
      <c r="R987" s="5" t="s">
        <v>396</v>
      </c>
      <c r="S987" t="s">
        <v>69</v>
      </c>
    </row>
    <row r="988" spans="1:19" x14ac:dyDescent="0.25">
      <c r="B988" s="3" t="s">
        <v>395</v>
      </c>
      <c r="C988" s="23"/>
      <c r="D988" s="23"/>
      <c r="E988" s="23"/>
      <c r="F988" s="23"/>
      <c r="G988" s="23"/>
      <c r="H988" s="23"/>
      <c r="I988" s="23"/>
      <c r="J988" s="23"/>
      <c r="K988" s="23"/>
      <c r="L988" s="23"/>
      <c r="M988" s="23"/>
      <c r="N988" s="23"/>
      <c r="O988" s="23"/>
      <c r="P988" s="23"/>
      <c r="Q988" s="23"/>
      <c r="R988" s="5" t="s">
        <v>396</v>
      </c>
      <c r="S988" t="s">
        <v>69</v>
      </c>
    </row>
    <row r="989" spans="1:19" x14ac:dyDescent="0.25">
      <c r="A989" t="s">
        <v>903</v>
      </c>
      <c r="B989" s="3" t="s">
        <v>397</v>
      </c>
      <c r="C989" s="23"/>
      <c r="D989" s="23"/>
      <c r="E989" s="23"/>
      <c r="F989" s="23"/>
      <c r="G989" s="23"/>
      <c r="H989" s="23"/>
      <c r="I989" s="23"/>
      <c r="J989" s="23"/>
      <c r="K989" s="23"/>
      <c r="L989" s="23"/>
      <c r="M989" s="23"/>
      <c r="N989" s="23"/>
      <c r="O989" s="23"/>
      <c r="P989" s="23"/>
      <c r="Q989" s="23"/>
      <c r="R989" s="5" t="s">
        <v>396</v>
      </c>
      <c r="S989" t="s">
        <v>69</v>
      </c>
    </row>
    <row r="990" spans="1:19" x14ac:dyDescent="0.25">
      <c r="B990" t="s">
        <v>349</v>
      </c>
      <c r="C990" s="21">
        <v>1</v>
      </c>
      <c r="D990" s="21">
        <v>2</v>
      </c>
      <c r="E990" s="21">
        <v>3</v>
      </c>
      <c r="F990" s="21">
        <v>4</v>
      </c>
      <c r="G990" s="21">
        <v>5</v>
      </c>
      <c r="H990" s="21">
        <v>6</v>
      </c>
      <c r="I990" s="21">
        <v>7</v>
      </c>
      <c r="J990" s="21">
        <v>8</v>
      </c>
      <c r="K990" s="21">
        <v>9</v>
      </c>
      <c r="L990" s="21">
        <v>10</v>
      </c>
      <c r="M990" s="21">
        <v>11</v>
      </c>
      <c r="N990" s="21">
        <v>12</v>
      </c>
      <c r="O990" s="21">
        <v>13</v>
      </c>
      <c r="P990" s="21">
        <v>14</v>
      </c>
      <c r="Q990" s="21">
        <v>15</v>
      </c>
      <c r="R990" s="5" t="s">
        <v>11</v>
      </c>
      <c r="S990" t="s">
        <v>126</v>
      </c>
    </row>
    <row r="991" spans="1:19" x14ac:dyDescent="0.25">
      <c r="A991" t="s">
        <v>904</v>
      </c>
      <c r="B991" t="s">
        <v>10</v>
      </c>
      <c r="C991" s="2">
        <v>0.46610000000000001</v>
      </c>
      <c r="D991" s="2">
        <v>0.50409999999999999</v>
      </c>
      <c r="E991" s="2">
        <v>0.54200000000000004</v>
      </c>
      <c r="F991" s="2">
        <v>0.59619999999999995</v>
      </c>
      <c r="G991" s="2">
        <v>0.6341</v>
      </c>
      <c r="H991" s="2">
        <v>0.67749999999999999</v>
      </c>
      <c r="I991" s="2">
        <v>0.73709999999999998</v>
      </c>
      <c r="J991" s="2">
        <v>0.79669999999999996</v>
      </c>
      <c r="K991" s="2">
        <v>0.85640000000000005</v>
      </c>
      <c r="L991" s="2">
        <v>0.9214</v>
      </c>
      <c r="M991" s="2">
        <v>0.99590000000000001</v>
      </c>
      <c r="N991" s="2">
        <v>1.0835999999999999</v>
      </c>
      <c r="O991" s="2">
        <v>1.1712</v>
      </c>
      <c r="P991" s="2">
        <v>1.2587999999999999</v>
      </c>
      <c r="Q991" s="2">
        <v>1.3545</v>
      </c>
      <c r="R991" t="s">
        <v>6</v>
      </c>
      <c r="S991" t="s">
        <v>127</v>
      </c>
    </row>
    <row r="992" spans="1:19" x14ac:dyDescent="0.25">
      <c r="B992" t="s">
        <v>9</v>
      </c>
      <c r="C992" s="2">
        <v>0.47639999999999999</v>
      </c>
      <c r="D992" s="2">
        <v>0.51519999999999999</v>
      </c>
      <c r="E992" s="2">
        <v>0.55400000000000005</v>
      </c>
      <c r="F992" s="2">
        <v>0.60940000000000005</v>
      </c>
      <c r="G992" s="2">
        <v>0.6482</v>
      </c>
      <c r="H992" s="2">
        <v>0.6925</v>
      </c>
      <c r="I992" s="2">
        <v>0.75339999999999996</v>
      </c>
      <c r="J992" s="2">
        <v>0.81440000000000001</v>
      </c>
      <c r="K992" s="2">
        <v>0.87529999999999997</v>
      </c>
      <c r="L992" s="2">
        <v>0.94179999999999997</v>
      </c>
      <c r="M992" s="2">
        <v>1.018</v>
      </c>
      <c r="N992" s="2">
        <v>1.1075999999999999</v>
      </c>
      <c r="O992" s="2">
        <v>1.1971000000000001</v>
      </c>
      <c r="P992" s="2">
        <v>1.2867</v>
      </c>
      <c r="Q992" s="2">
        <v>1.3844000000000001</v>
      </c>
      <c r="R992" t="s">
        <v>6</v>
      </c>
      <c r="S992" t="s">
        <v>127</v>
      </c>
    </row>
    <row r="993" spans="2:20" x14ac:dyDescent="0.25">
      <c r="B993" t="s">
        <v>278</v>
      </c>
      <c r="C993" s="2">
        <v>0.28549999999999998</v>
      </c>
      <c r="D993" s="2">
        <v>0.30880000000000002</v>
      </c>
      <c r="E993" s="2">
        <v>0.33200000000000002</v>
      </c>
      <c r="F993" s="2">
        <v>0.36520000000000002</v>
      </c>
      <c r="G993" s="2">
        <v>0.38840000000000002</v>
      </c>
      <c r="H993" s="2">
        <v>0.41499999999999998</v>
      </c>
      <c r="I993" s="2">
        <v>0.45150000000000001</v>
      </c>
      <c r="J993" s="2">
        <v>0.48799999999999999</v>
      </c>
      <c r="K993" s="2">
        <v>0.52459999999999996</v>
      </c>
      <c r="L993" s="2">
        <v>0.56440000000000001</v>
      </c>
      <c r="M993" s="2">
        <v>0.61009999999999998</v>
      </c>
      <c r="N993" s="2">
        <v>0.66369999999999996</v>
      </c>
      <c r="O993" s="2">
        <v>0.71740000000000004</v>
      </c>
      <c r="P993" s="2">
        <v>0.77110000000000001</v>
      </c>
      <c r="Q993" s="2">
        <v>0.82969999999999999</v>
      </c>
      <c r="R993" t="s">
        <v>6</v>
      </c>
      <c r="S993" t="s">
        <v>127</v>
      </c>
    </row>
    <row r="994" spans="2:20" x14ac:dyDescent="0.25">
      <c r="B994" t="s">
        <v>13</v>
      </c>
      <c r="C994" s="2">
        <v>0.55989999999999995</v>
      </c>
      <c r="D994" s="2">
        <v>0.60540000000000005</v>
      </c>
      <c r="E994" s="2">
        <v>0.65100000000000002</v>
      </c>
      <c r="F994" s="2">
        <v>0.71609999999999996</v>
      </c>
      <c r="G994" s="2">
        <v>0.76170000000000004</v>
      </c>
      <c r="H994" s="2">
        <v>0.81379999999999997</v>
      </c>
      <c r="I994" s="2">
        <v>0.88539999999999996</v>
      </c>
      <c r="J994" s="2">
        <v>0.95699999999999996</v>
      </c>
      <c r="K994" s="2">
        <v>1.0286</v>
      </c>
      <c r="L994" s="2">
        <v>1.1067</v>
      </c>
      <c r="M994" s="2">
        <v>1.1961999999999999</v>
      </c>
      <c r="N994" s="2">
        <v>1.3015000000000001</v>
      </c>
      <c r="O994" s="2">
        <v>1.4067000000000001</v>
      </c>
      <c r="P994" s="2">
        <v>1.512</v>
      </c>
      <c r="Q994" s="2">
        <v>1.6268</v>
      </c>
      <c r="R994" t="s">
        <v>6</v>
      </c>
      <c r="S994" t="s">
        <v>127</v>
      </c>
    </row>
    <row r="995" spans="2:20" x14ac:dyDescent="0.25">
      <c r="B995" t="s">
        <v>199</v>
      </c>
      <c r="C995" s="2">
        <v>0.35859999999999997</v>
      </c>
      <c r="D995" s="2">
        <v>0.38779999999999998</v>
      </c>
      <c r="E995" s="2">
        <v>0.41699999999999998</v>
      </c>
      <c r="F995" s="2">
        <v>0.4587</v>
      </c>
      <c r="G995" s="2">
        <v>0.4879</v>
      </c>
      <c r="H995" s="2">
        <v>0.52129999999999999</v>
      </c>
      <c r="I995" s="2">
        <v>0.56710000000000005</v>
      </c>
      <c r="J995" s="2">
        <v>0.61299999999999999</v>
      </c>
      <c r="K995" s="2">
        <v>0.65890000000000004</v>
      </c>
      <c r="L995" s="2">
        <v>0.70889999999999997</v>
      </c>
      <c r="M995" s="2">
        <v>0.76619999999999999</v>
      </c>
      <c r="N995" s="2">
        <v>0.8337</v>
      </c>
      <c r="O995" s="2">
        <v>0.90110000000000001</v>
      </c>
      <c r="P995" s="2">
        <v>0.96850000000000003</v>
      </c>
      <c r="Q995" s="2">
        <v>1.0421</v>
      </c>
      <c r="R995" t="s">
        <v>6</v>
      </c>
      <c r="S995" t="s">
        <v>127</v>
      </c>
    </row>
    <row r="996" spans="2:20" x14ac:dyDescent="0.25">
      <c r="B996" t="s">
        <v>140</v>
      </c>
      <c r="C996" s="2">
        <v>0.47299999999999998</v>
      </c>
      <c r="D996" s="2">
        <v>0.51149999999999995</v>
      </c>
      <c r="E996" s="2">
        <v>0.55000000000000004</v>
      </c>
      <c r="F996" s="2">
        <v>0.60499999999999998</v>
      </c>
      <c r="G996" s="2">
        <v>0.64349999999999996</v>
      </c>
      <c r="H996" s="2">
        <v>0.6875</v>
      </c>
      <c r="I996" s="2">
        <v>0.748</v>
      </c>
      <c r="J996" s="2">
        <v>0.8085</v>
      </c>
      <c r="K996" s="2">
        <v>0.86899999999999999</v>
      </c>
      <c r="L996" s="2">
        <v>0.93500000000000005</v>
      </c>
      <c r="M996" s="2">
        <v>1.0105999999999999</v>
      </c>
      <c r="N996" s="2">
        <v>1.0995999999999999</v>
      </c>
      <c r="O996" s="2">
        <v>1.1884999999999999</v>
      </c>
      <c r="P996" s="2">
        <v>1.2774000000000001</v>
      </c>
      <c r="Q996" s="2">
        <v>1.3745000000000001</v>
      </c>
      <c r="R996" t="s">
        <v>5</v>
      </c>
      <c r="S996" t="s">
        <v>127</v>
      </c>
    </row>
    <row r="997" spans="2:20" x14ac:dyDescent="0.25">
      <c r="B997" t="s">
        <v>141</v>
      </c>
      <c r="C997" s="2">
        <v>0.56159999999999999</v>
      </c>
      <c r="D997" s="2">
        <v>0.60729999999999995</v>
      </c>
      <c r="E997" s="2">
        <v>0.65300000000000002</v>
      </c>
      <c r="F997" s="2">
        <v>0.71830000000000005</v>
      </c>
      <c r="G997" s="2">
        <v>0.76400000000000001</v>
      </c>
      <c r="H997" s="2">
        <v>0.81630000000000003</v>
      </c>
      <c r="I997" s="2">
        <v>0.8881</v>
      </c>
      <c r="J997" s="2">
        <v>0.95989999999999998</v>
      </c>
      <c r="K997" s="2">
        <v>1.0317000000000001</v>
      </c>
      <c r="L997" s="2">
        <v>1.1101000000000001</v>
      </c>
      <c r="M997" s="2">
        <v>1.1999</v>
      </c>
      <c r="N997" s="2">
        <v>1.3055000000000001</v>
      </c>
      <c r="O997" s="2">
        <v>1.4111</v>
      </c>
      <c r="P997" s="2">
        <v>1.5166999999999999</v>
      </c>
      <c r="Q997" s="2">
        <v>1.6317999999999999</v>
      </c>
      <c r="R997" t="s">
        <v>5</v>
      </c>
      <c r="S997" t="s">
        <v>127</v>
      </c>
    </row>
    <row r="998" spans="2:20" x14ac:dyDescent="0.25">
      <c r="B998" t="s">
        <v>155</v>
      </c>
      <c r="C998" s="2">
        <v>0.63929999999999998</v>
      </c>
      <c r="D998" s="2">
        <v>0.69140000000000001</v>
      </c>
      <c r="E998" s="2">
        <v>0.74339999999999995</v>
      </c>
      <c r="F998" s="2">
        <v>0.81769999999999998</v>
      </c>
      <c r="G998" s="2">
        <v>0.86980000000000002</v>
      </c>
      <c r="H998" s="2">
        <v>0.92930000000000001</v>
      </c>
      <c r="I998" s="2">
        <v>1.0109999999999999</v>
      </c>
      <c r="J998" s="2">
        <v>1.0928</v>
      </c>
      <c r="K998" s="2">
        <v>1.1746000000000001</v>
      </c>
      <c r="L998" s="2">
        <v>1.2638</v>
      </c>
      <c r="M998" s="2">
        <v>1.353</v>
      </c>
      <c r="N998" s="2">
        <v>1.4421999999999999</v>
      </c>
      <c r="O998" s="2">
        <v>1.5314000000000001</v>
      </c>
      <c r="P998" s="2">
        <v>1.6206</v>
      </c>
      <c r="Q998" s="2">
        <v>1.7098</v>
      </c>
      <c r="R998" t="s">
        <v>3</v>
      </c>
      <c r="S998" t="s">
        <v>127</v>
      </c>
    </row>
    <row r="999" spans="2:20" x14ac:dyDescent="0.25">
      <c r="B999" t="s">
        <v>135</v>
      </c>
      <c r="C999" s="2">
        <v>1.2784</v>
      </c>
      <c r="D999" s="2">
        <v>1.3824000000000001</v>
      </c>
      <c r="E999" s="2">
        <v>1.4864999999999999</v>
      </c>
      <c r="F999" s="2">
        <v>1.6351</v>
      </c>
      <c r="G999" s="2">
        <v>1.7392000000000001</v>
      </c>
      <c r="H999" s="2">
        <v>1.8581000000000001</v>
      </c>
      <c r="I999" s="2">
        <v>2.0215999999999998</v>
      </c>
      <c r="J999" s="2">
        <v>2.1850999999999998</v>
      </c>
      <c r="K999" s="2">
        <v>2.3485999999999998</v>
      </c>
      <c r="L999" s="2">
        <v>2.5270000000000001</v>
      </c>
      <c r="M999" s="2">
        <v>2.7054</v>
      </c>
      <c r="N999" s="2">
        <v>2.8837999999999999</v>
      </c>
      <c r="O999" s="2">
        <v>3.0621999999999998</v>
      </c>
      <c r="P999" s="2">
        <v>3.2404999999999999</v>
      </c>
      <c r="Q999" s="2">
        <v>3.4188999999999998</v>
      </c>
      <c r="R999" t="s">
        <v>3</v>
      </c>
      <c r="S999" t="s">
        <v>127</v>
      </c>
    </row>
    <row r="1000" spans="2:20" x14ac:dyDescent="0.25">
      <c r="B1000" t="s">
        <v>136</v>
      </c>
      <c r="C1000" s="2">
        <v>1.5968</v>
      </c>
      <c r="D1000" s="2">
        <v>1.7266999999999999</v>
      </c>
      <c r="E1000" s="2">
        <v>1.8567</v>
      </c>
      <c r="F1000" s="2">
        <v>2.0424000000000002</v>
      </c>
      <c r="G1000" s="2">
        <v>2.1722999999999999</v>
      </c>
      <c r="H1000" s="2">
        <v>2.3209</v>
      </c>
      <c r="I1000" s="2">
        <v>2.5251000000000001</v>
      </c>
      <c r="J1000" s="2">
        <v>2.7292999999999998</v>
      </c>
      <c r="K1000" s="2">
        <v>2.9336000000000002</v>
      </c>
      <c r="L1000" s="2">
        <v>3.1564000000000001</v>
      </c>
      <c r="M1000" s="2">
        <v>3.3792</v>
      </c>
      <c r="N1000" s="2">
        <v>3.6019999999999999</v>
      </c>
      <c r="O1000" s="2">
        <v>3.8248000000000002</v>
      </c>
      <c r="P1000" s="2">
        <v>4.0476000000000001</v>
      </c>
      <c r="Q1000" s="2">
        <v>4.2704000000000004</v>
      </c>
      <c r="R1000" t="s">
        <v>3</v>
      </c>
      <c r="S1000" t="s">
        <v>127</v>
      </c>
    </row>
    <row r="1001" spans="2:20" x14ac:dyDescent="0.25">
      <c r="B1001" t="s">
        <v>301</v>
      </c>
      <c r="C1001" s="2">
        <v>1.68</v>
      </c>
      <c r="D1001" s="2">
        <v>1.806</v>
      </c>
      <c r="E1001" s="2">
        <v>1.9319999999999999</v>
      </c>
      <c r="F1001" s="2">
        <v>2.1</v>
      </c>
      <c r="G1001" s="2">
        <v>2.226</v>
      </c>
      <c r="H1001" s="2">
        <v>2.3519999999999999</v>
      </c>
      <c r="I1001" s="2">
        <v>2.52</v>
      </c>
      <c r="J1001" s="2">
        <v>2.6880000000000002</v>
      </c>
      <c r="K1001" s="2">
        <v>2.8559999999999999</v>
      </c>
      <c r="L1001" s="2">
        <v>3.024</v>
      </c>
      <c r="M1001" s="2">
        <v>3.1920000000000002</v>
      </c>
      <c r="N1001" s="2">
        <v>3.36</v>
      </c>
      <c r="O1001" s="2">
        <v>3.57</v>
      </c>
      <c r="P1001" s="2">
        <v>3.78</v>
      </c>
      <c r="Q1001" s="2">
        <v>3.99</v>
      </c>
      <c r="R1001" t="s">
        <v>19</v>
      </c>
      <c r="S1001" t="s">
        <v>127</v>
      </c>
    </row>
    <row r="1002" spans="2:20" x14ac:dyDescent="0.25">
      <c r="B1002" t="s">
        <v>350</v>
      </c>
      <c r="C1002" s="2">
        <v>1.9119999999999999</v>
      </c>
      <c r="D1002" s="2">
        <v>2.0554000000000001</v>
      </c>
      <c r="E1002" s="2">
        <v>2.1987999999999999</v>
      </c>
      <c r="F1002" s="2">
        <v>2.39</v>
      </c>
      <c r="G1002" s="2">
        <v>2.5333999999999999</v>
      </c>
      <c r="H1002" s="2">
        <v>2.6768000000000001</v>
      </c>
      <c r="I1002" s="2">
        <v>2.8679999999999999</v>
      </c>
      <c r="J1002" s="2">
        <v>3.0592000000000001</v>
      </c>
      <c r="K1002" s="2">
        <v>3.2504</v>
      </c>
      <c r="L1002" s="2">
        <v>3.4416000000000002</v>
      </c>
      <c r="M1002" s="2">
        <v>3.6328</v>
      </c>
      <c r="N1002" s="2">
        <v>3.8239999999999998</v>
      </c>
      <c r="O1002" s="2">
        <v>4.0629999999999997</v>
      </c>
      <c r="P1002" s="2">
        <v>4.3019999999999996</v>
      </c>
      <c r="Q1002" s="2">
        <v>4.5410000000000004</v>
      </c>
      <c r="R1002" t="s">
        <v>19</v>
      </c>
      <c r="S1002" t="s">
        <v>127</v>
      </c>
    </row>
    <row r="1003" spans="2:20" x14ac:dyDescent="0.25">
      <c r="B1003" t="s">
        <v>969</v>
      </c>
      <c r="C1003" s="2">
        <v>2.52</v>
      </c>
      <c r="D1003" s="2">
        <v>2.7090000000000001</v>
      </c>
      <c r="E1003" s="2">
        <v>2.8979999999999997</v>
      </c>
      <c r="F1003" s="2">
        <v>3.1500000000000004</v>
      </c>
      <c r="G1003" s="2">
        <v>3.339</v>
      </c>
      <c r="H1003" s="2">
        <v>3.5279999999999996</v>
      </c>
      <c r="I1003" s="2">
        <v>3.7800000000000002</v>
      </c>
      <c r="J1003" s="2">
        <v>4.032</v>
      </c>
      <c r="K1003" s="2">
        <v>4.2839999999999998</v>
      </c>
      <c r="L1003" s="2">
        <v>4.5359999999999996</v>
      </c>
      <c r="M1003" s="2">
        <v>4.7880000000000003</v>
      </c>
      <c r="N1003" s="2">
        <v>5.04</v>
      </c>
      <c r="O1003" s="2">
        <v>5.3549999999999995</v>
      </c>
      <c r="P1003" s="2">
        <v>5.67</v>
      </c>
      <c r="Q1003" s="2">
        <v>5.9850000000000003</v>
      </c>
      <c r="R1003" t="s">
        <v>19</v>
      </c>
      <c r="S1003" t="s">
        <v>127</v>
      </c>
    </row>
    <row r="1004" spans="2:20" x14ac:dyDescent="0.25">
      <c r="B1004" t="s">
        <v>970</v>
      </c>
      <c r="C1004" s="2">
        <v>2.8679999999999999</v>
      </c>
      <c r="D1004" s="2">
        <v>3.0831</v>
      </c>
      <c r="E1004" s="2">
        <v>3.2981999999999996</v>
      </c>
      <c r="F1004" s="2">
        <v>3.585</v>
      </c>
      <c r="G1004" s="2">
        <v>3.8000999999999996</v>
      </c>
      <c r="H1004" s="2">
        <v>4.0152000000000001</v>
      </c>
      <c r="I1004" s="2">
        <v>4.3019999999999996</v>
      </c>
      <c r="J1004" s="2">
        <v>4.5888</v>
      </c>
      <c r="K1004" s="2">
        <v>4.8756000000000004</v>
      </c>
      <c r="L1004" s="2">
        <v>5.1623999999999999</v>
      </c>
      <c r="M1004" s="2">
        <v>5.4492000000000003</v>
      </c>
      <c r="N1004" s="2">
        <v>5.7359999999999998</v>
      </c>
      <c r="O1004" s="2">
        <v>6.0945</v>
      </c>
      <c r="P1004" s="2">
        <v>6.4529999999999994</v>
      </c>
      <c r="Q1004" s="2">
        <v>6.8115000000000006</v>
      </c>
      <c r="R1004" t="s">
        <v>19</v>
      </c>
      <c r="S1004" t="s">
        <v>127</v>
      </c>
    </row>
    <row r="1005" spans="2:20" x14ac:dyDescent="0.25">
      <c r="B1005" t="s">
        <v>351</v>
      </c>
      <c r="C1005" s="2">
        <v>0.54269999999999996</v>
      </c>
      <c r="D1005" s="2">
        <v>0.58340000000000003</v>
      </c>
      <c r="E1005" s="2">
        <v>0.62409999999999999</v>
      </c>
      <c r="F1005" s="2">
        <v>0.6784</v>
      </c>
      <c r="G1005" s="2">
        <v>0.71909999999999996</v>
      </c>
      <c r="H1005" s="2">
        <v>0.75980000000000003</v>
      </c>
      <c r="I1005" s="2">
        <v>0.81410000000000005</v>
      </c>
      <c r="J1005" s="2">
        <v>0.86839999999999995</v>
      </c>
      <c r="K1005" s="2">
        <v>0.92259999999999998</v>
      </c>
      <c r="L1005" s="2">
        <v>0.97689999999999999</v>
      </c>
      <c r="M1005" s="2">
        <v>1.0311999999999999</v>
      </c>
      <c r="N1005" s="2">
        <v>1.0853999999999999</v>
      </c>
      <c r="O1005" s="2">
        <v>1.1533</v>
      </c>
      <c r="P1005" s="2">
        <v>1.2211000000000001</v>
      </c>
      <c r="Q1005" s="2">
        <v>1.2889999999999999</v>
      </c>
      <c r="R1005" t="s">
        <v>0</v>
      </c>
      <c r="S1005" t="s">
        <v>127</v>
      </c>
    </row>
    <row r="1006" spans="2:20" x14ac:dyDescent="0.25">
      <c r="B1006" t="s">
        <v>951</v>
      </c>
      <c r="C1006" s="2">
        <v>0.06</v>
      </c>
      <c r="D1006" s="2">
        <v>0.06</v>
      </c>
      <c r="E1006" s="2">
        <v>0.06</v>
      </c>
      <c r="F1006" s="2">
        <v>0.06</v>
      </c>
      <c r="G1006" s="2">
        <v>0.06</v>
      </c>
      <c r="H1006" s="2">
        <v>0.06</v>
      </c>
      <c r="I1006" s="2">
        <v>0.06</v>
      </c>
      <c r="J1006" s="2">
        <v>0.06</v>
      </c>
      <c r="K1006" s="2">
        <v>0.06</v>
      </c>
      <c r="L1006" s="2">
        <v>0.06</v>
      </c>
      <c r="M1006" s="2">
        <v>0.06</v>
      </c>
      <c r="N1006" s="2">
        <v>0.06</v>
      </c>
      <c r="O1006" s="2">
        <v>0.06</v>
      </c>
      <c r="P1006" s="2">
        <v>0.06</v>
      </c>
      <c r="Q1006" s="2">
        <v>0.06</v>
      </c>
      <c r="R1006" t="s">
        <v>249</v>
      </c>
      <c r="S1006" t="s">
        <v>226</v>
      </c>
      <c r="T1006" t="s">
        <v>955</v>
      </c>
    </row>
    <row r="1007" spans="2:20" x14ac:dyDescent="0.25">
      <c r="B1007" s="3" t="s">
        <v>771</v>
      </c>
      <c r="C1007" s="23"/>
      <c r="D1007" s="23"/>
      <c r="E1007" s="23"/>
      <c r="F1007" s="23"/>
      <c r="G1007" s="23"/>
      <c r="H1007" s="23"/>
      <c r="I1007" s="23"/>
      <c r="J1007" s="23"/>
      <c r="K1007" s="23"/>
      <c r="L1007" s="23"/>
      <c r="M1007" s="23"/>
      <c r="N1007" s="23"/>
      <c r="O1007" s="23"/>
      <c r="P1007" s="23"/>
      <c r="Q1007" s="23"/>
      <c r="R1007" s="5" t="s">
        <v>771</v>
      </c>
      <c r="S1007" t="s">
        <v>772</v>
      </c>
    </row>
    <row r="1008" spans="2:20" x14ac:dyDescent="0.25">
      <c r="B1008" s="3" t="s">
        <v>390</v>
      </c>
      <c r="C1008" s="23"/>
      <c r="D1008" s="23"/>
      <c r="E1008" s="23"/>
      <c r="F1008" s="23"/>
      <c r="G1008" s="23"/>
      <c r="H1008" s="23"/>
      <c r="I1008" s="23"/>
      <c r="J1008" s="23"/>
      <c r="K1008" s="23"/>
      <c r="L1008" s="23"/>
      <c r="M1008" s="23"/>
      <c r="N1008" s="23"/>
      <c r="O1008" s="23"/>
      <c r="P1008" s="23"/>
      <c r="Q1008" s="23"/>
      <c r="R1008" s="5" t="s">
        <v>396</v>
      </c>
      <c r="S1008" t="s">
        <v>69</v>
      </c>
    </row>
    <row r="1009" spans="1:19" x14ac:dyDescent="0.25">
      <c r="B1009" s="3" t="s">
        <v>392</v>
      </c>
      <c r="C1009" s="23"/>
      <c r="D1009" s="23"/>
      <c r="E1009" s="23"/>
      <c r="F1009" s="23"/>
      <c r="G1009" s="23"/>
      <c r="H1009" s="23"/>
      <c r="I1009" s="23"/>
      <c r="J1009" s="23"/>
      <c r="K1009" s="23"/>
      <c r="L1009" s="23"/>
      <c r="M1009" s="23"/>
      <c r="N1009" s="23"/>
      <c r="O1009" s="23"/>
      <c r="P1009" s="23"/>
      <c r="Q1009" s="23"/>
      <c r="R1009" s="5" t="s">
        <v>396</v>
      </c>
      <c r="S1009" t="s">
        <v>69</v>
      </c>
    </row>
    <row r="1010" spans="1:19" x14ac:dyDescent="0.25">
      <c r="B1010" s="3" t="s">
        <v>393</v>
      </c>
      <c r="C1010" s="23"/>
      <c r="D1010" s="23"/>
      <c r="E1010" s="23"/>
      <c r="F1010" s="23"/>
      <c r="G1010" s="23"/>
      <c r="H1010" s="23"/>
      <c r="I1010" s="23"/>
      <c r="J1010" s="23"/>
      <c r="K1010" s="23"/>
      <c r="L1010" s="23"/>
      <c r="M1010" s="23"/>
      <c r="N1010" s="23"/>
      <c r="O1010" s="23"/>
      <c r="P1010" s="23"/>
      <c r="Q1010" s="23"/>
      <c r="R1010" s="5" t="s">
        <v>396</v>
      </c>
      <c r="S1010" t="s">
        <v>69</v>
      </c>
    </row>
    <row r="1011" spans="1:19" x14ac:dyDescent="0.25">
      <c r="B1011" s="3" t="s">
        <v>389</v>
      </c>
      <c r="C1011" s="23"/>
      <c r="D1011" s="23"/>
      <c r="E1011" s="23"/>
      <c r="F1011" s="23"/>
      <c r="G1011" s="23"/>
      <c r="H1011" s="23"/>
      <c r="I1011" s="23"/>
      <c r="J1011" s="23"/>
      <c r="K1011" s="23"/>
      <c r="L1011" s="23"/>
      <c r="M1011" s="23"/>
      <c r="N1011" s="23"/>
      <c r="O1011" s="23"/>
      <c r="P1011" s="23"/>
      <c r="Q1011" s="23"/>
      <c r="R1011" s="5" t="s">
        <v>396</v>
      </c>
      <c r="S1011" t="s">
        <v>69</v>
      </c>
    </row>
    <row r="1012" spans="1:19" x14ac:dyDescent="0.25">
      <c r="B1012" s="3" t="s">
        <v>391</v>
      </c>
      <c r="C1012" s="23"/>
      <c r="D1012" s="23"/>
      <c r="E1012" s="23"/>
      <c r="F1012" s="23"/>
      <c r="G1012" s="23"/>
      <c r="H1012" s="23"/>
      <c r="I1012" s="23"/>
      <c r="J1012" s="23"/>
      <c r="K1012" s="23"/>
      <c r="L1012" s="23"/>
      <c r="M1012" s="23"/>
      <c r="N1012" s="23"/>
      <c r="O1012" s="23"/>
      <c r="P1012" s="23"/>
      <c r="Q1012" s="23"/>
      <c r="R1012" s="5" t="s">
        <v>396</v>
      </c>
      <c r="S1012" t="s">
        <v>69</v>
      </c>
    </row>
    <row r="1013" spans="1:19" x14ac:dyDescent="0.25">
      <c r="B1013" s="3" t="s">
        <v>394</v>
      </c>
      <c r="C1013" s="23"/>
      <c r="D1013" s="23"/>
      <c r="E1013" s="23"/>
      <c r="F1013" s="23"/>
      <c r="G1013" s="23"/>
      <c r="H1013" s="23"/>
      <c r="I1013" s="23"/>
      <c r="J1013" s="23"/>
      <c r="K1013" s="23"/>
      <c r="L1013" s="23"/>
      <c r="M1013" s="23"/>
      <c r="N1013" s="23"/>
      <c r="O1013" s="23"/>
      <c r="P1013" s="23"/>
      <c r="Q1013" s="23"/>
      <c r="R1013" s="5" t="s">
        <v>396</v>
      </c>
      <c r="S1013" t="s">
        <v>69</v>
      </c>
    </row>
    <row r="1014" spans="1:19" x14ac:dyDescent="0.25">
      <c r="B1014" s="3" t="s">
        <v>395</v>
      </c>
      <c r="C1014" s="23"/>
      <c r="D1014" s="23"/>
      <c r="E1014" s="23"/>
      <c r="F1014" s="23"/>
      <c r="G1014" s="23"/>
      <c r="H1014" s="23"/>
      <c r="I1014" s="23"/>
      <c r="J1014" s="23"/>
      <c r="K1014" s="23"/>
      <c r="L1014" s="23"/>
      <c r="M1014" s="23"/>
      <c r="N1014" s="23"/>
      <c r="O1014" s="23"/>
      <c r="P1014" s="23"/>
      <c r="Q1014" s="23"/>
      <c r="R1014" s="5" t="s">
        <v>396</v>
      </c>
      <c r="S1014" t="s">
        <v>69</v>
      </c>
    </row>
    <row r="1015" spans="1:19" x14ac:dyDescent="0.25">
      <c r="A1015" t="s">
        <v>905</v>
      </c>
      <c r="B1015" s="3" t="s">
        <v>397</v>
      </c>
      <c r="C1015" s="23"/>
      <c r="D1015" s="23"/>
      <c r="E1015" s="23"/>
      <c r="F1015" s="23"/>
      <c r="G1015" s="23"/>
      <c r="H1015" s="23"/>
      <c r="I1015" s="23"/>
      <c r="J1015" s="23"/>
      <c r="K1015" s="23"/>
      <c r="L1015" s="23"/>
      <c r="M1015" s="23"/>
      <c r="N1015" s="23"/>
      <c r="O1015" s="23"/>
      <c r="P1015" s="23"/>
      <c r="Q1015" s="23"/>
      <c r="R1015" s="5" t="s">
        <v>396</v>
      </c>
      <c r="S1015" t="s">
        <v>69</v>
      </c>
    </row>
    <row r="1016" spans="1:19" x14ac:dyDescent="0.25">
      <c r="B1016" t="s">
        <v>352</v>
      </c>
      <c r="C1016" s="21">
        <v>1</v>
      </c>
      <c r="D1016" s="21">
        <v>2</v>
      </c>
      <c r="E1016" s="21">
        <v>3</v>
      </c>
      <c r="F1016" s="21">
        <v>4</v>
      </c>
      <c r="G1016" s="21">
        <v>5</v>
      </c>
      <c r="H1016" s="21">
        <v>6</v>
      </c>
      <c r="I1016" s="21">
        <v>7</v>
      </c>
      <c r="J1016" s="21">
        <v>8</v>
      </c>
      <c r="K1016" s="21">
        <v>9</v>
      </c>
      <c r="L1016" s="21">
        <v>10</v>
      </c>
      <c r="M1016" s="21">
        <v>11</v>
      </c>
      <c r="N1016" s="21">
        <v>12</v>
      </c>
      <c r="O1016" s="21">
        <v>13</v>
      </c>
      <c r="P1016" s="21">
        <v>14</v>
      </c>
      <c r="Q1016" s="21">
        <v>15</v>
      </c>
      <c r="R1016" s="5" t="s">
        <v>11</v>
      </c>
      <c r="S1016" t="s">
        <v>126</v>
      </c>
    </row>
    <row r="1017" spans="1:19" x14ac:dyDescent="0.25">
      <c r="A1017" t="s">
        <v>906</v>
      </c>
      <c r="B1017" t="s">
        <v>10</v>
      </c>
      <c r="C1017" s="2">
        <v>0.76539999999999997</v>
      </c>
      <c r="D1017" s="2">
        <v>0.82769999999999999</v>
      </c>
      <c r="E1017" s="2">
        <v>0.89</v>
      </c>
      <c r="F1017" s="2">
        <v>0.97899999999999998</v>
      </c>
      <c r="G1017" s="2">
        <v>1.0412999999999999</v>
      </c>
      <c r="H1017" s="2">
        <v>1.1125</v>
      </c>
      <c r="I1017" s="2">
        <v>1.2103999999999999</v>
      </c>
      <c r="J1017" s="2">
        <v>1.3083</v>
      </c>
      <c r="K1017" s="2">
        <v>1.4061999999999999</v>
      </c>
      <c r="L1017" s="2">
        <v>1.5129999999999999</v>
      </c>
      <c r="M1017" s="2">
        <v>1.6197999999999999</v>
      </c>
      <c r="N1017" s="2">
        <v>1.7265999999999999</v>
      </c>
      <c r="O1017" s="2">
        <v>1.8333999999999999</v>
      </c>
      <c r="P1017" s="2">
        <v>1.9401999999999999</v>
      </c>
      <c r="Q1017" s="2">
        <v>2.0470000000000002</v>
      </c>
      <c r="R1017" t="s">
        <v>6</v>
      </c>
      <c r="S1017" t="s">
        <v>127</v>
      </c>
    </row>
    <row r="1018" spans="1:19" x14ac:dyDescent="0.25">
      <c r="B1018" t="s">
        <v>9</v>
      </c>
      <c r="C1018" s="2">
        <v>0.73960000000000004</v>
      </c>
      <c r="D1018" s="2">
        <v>0.79979999999999996</v>
      </c>
      <c r="E1018" s="2">
        <v>0.86</v>
      </c>
      <c r="F1018" s="2">
        <v>0.94599999999999995</v>
      </c>
      <c r="G1018" s="2">
        <v>1.0062</v>
      </c>
      <c r="H1018" s="2">
        <v>1.075</v>
      </c>
      <c r="I1018" s="2">
        <v>1.1696</v>
      </c>
      <c r="J1018" s="2">
        <v>1.2642</v>
      </c>
      <c r="K1018" s="2">
        <v>1.3588</v>
      </c>
      <c r="L1018" s="2">
        <v>1.462</v>
      </c>
      <c r="M1018" s="2">
        <v>1.5651999999999999</v>
      </c>
      <c r="N1018" s="2">
        <v>1.6684000000000001</v>
      </c>
      <c r="O1018" s="2">
        <v>1.7716000000000001</v>
      </c>
      <c r="P1018" s="2">
        <v>1.8748</v>
      </c>
      <c r="Q1018" s="2">
        <v>1.978</v>
      </c>
      <c r="R1018" t="s">
        <v>6</v>
      </c>
      <c r="S1018" t="s">
        <v>127</v>
      </c>
    </row>
    <row r="1019" spans="1:19" x14ac:dyDescent="0.25">
      <c r="B1019" t="s">
        <v>8</v>
      </c>
      <c r="C1019" s="2">
        <v>0.9546</v>
      </c>
      <c r="D1019" s="2">
        <v>1.0323</v>
      </c>
      <c r="E1019" s="2">
        <v>1.1100000000000001</v>
      </c>
      <c r="F1019" s="2">
        <v>1.2210000000000001</v>
      </c>
      <c r="G1019" s="2">
        <v>1.2987</v>
      </c>
      <c r="H1019" s="2">
        <v>1.3875</v>
      </c>
      <c r="I1019" s="2">
        <v>1.5096000000000001</v>
      </c>
      <c r="J1019" s="2">
        <v>1.6316999999999999</v>
      </c>
      <c r="K1019" s="2">
        <v>1.7538</v>
      </c>
      <c r="L1019" s="2">
        <v>1.887</v>
      </c>
      <c r="M1019" s="2">
        <v>2.0202</v>
      </c>
      <c r="N1019" s="2">
        <v>2.1534</v>
      </c>
      <c r="O1019" s="2">
        <v>2.2866</v>
      </c>
      <c r="P1019" s="2">
        <v>2.4198</v>
      </c>
      <c r="Q1019" s="2">
        <v>2.5529999999999999</v>
      </c>
      <c r="R1019" t="s">
        <v>6</v>
      </c>
      <c r="S1019" t="s">
        <v>127</v>
      </c>
    </row>
    <row r="1020" spans="1:19" x14ac:dyDescent="0.25">
      <c r="B1020" t="s">
        <v>13</v>
      </c>
      <c r="C1020" s="2">
        <v>1.1584000000000001</v>
      </c>
      <c r="D1020" s="2">
        <v>1.2526999999999999</v>
      </c>
      <c r="E1020" s="2">
        <v>1.347</v>
      </c>
      <c r="F1020" s="2">
        <v>1.4817</v>
      </c>
      <c r="G1020" s="2">
        <v>1.5760000000000001</v>
      </c>
      <c r="H1020" s="2">
        <v>1.6838</v>
      </c>
      <c r="I1020" s="2">
        <v>1.8319000000000001</v>
      </c>
      <c r="J1020" s="2">
        <v>1.9801</v>
      </c>
      <c r="K1020" s="2">
        <v>2.1282999999999999</v>
      </c>
      <c r="L1020" s="2">
        <v>2.2898999999999998</v>
      </c>
      <c r="M1020" s="2">
        <v>2.4514999999999998</v>
      </c>
      <c r="N1020" s="2">
        <v>2.6132</v>
      </c>
      <c r="O1020" s="2">
        <v>2.7747999999999999</v>
      </c>
      <c r="P1020" s="2">
        <v>2.9365000000000001</v>
      </c>
      <c r="Q1020" s="2">
        <v>3.0981000000000001</v>
      </c>
      <c r="R1020" t="s">
        <v>6</v>
      </c>
      <c r="S1020" t="s">
        <v>127</v>
      </c>
    </row>
    <row r="1021" spans="1:19" x14ac:dyDescent="0.25">
      <c r="B1021" t="s">
        <v>157</v>
      </c>
      <c r="C1021" s="2">
        <v>0.62549999999999994</v>
      </c>
      <c r="D1021" s="2">
        <v>0.6764</v>
      </c>
      <c r="E1021" s="2">
        <v>0.72729999999999995</v>
      </c>
      <c r="F1021" s="2">
        <v>0.8</v>
      </c>
      <c r="G1021" s="2">
        <v>0.85089999999999999</v>
      </c>
      <c r="H1021" s="2">
        <v>0.90910000000000002</v>
      </c>
      <c r="I1021" s="2">
        <v>0.98909999999999998</v>
      </c>
      <c r="J1021" s="2">
        <v>1.0690999999999999</v>
      </c>
      <c r="K1021" s="2">
        <v>1.1491</v>
      </c>
      <c r="L1021" s="2">
        <v>1.2363999999999999</v>
      </c>
      <c r="M1021" s="2">
        <v>1.3236000000000001</v>
      </c>
      <c r="N1021" s="2">
        <v>1.4109</v>
      </c>
      <c r="O1021" s="2">
        <v>1.4982</v>
      </c>
      <c r="P1021" s="2">
        <v>1.5854999999999999</v>
      </c>
      <c r="Q1021" s="2">
        <v>1.6727000000000001</v>
      </c>
      <c r="R1021" t="s">
        <v>5</v>
      </c>
      <c r="S1021" t="s">
        <v>127</v>
      </c>
    </row>
    <row r="1022" spans="1:19" x14ac:dyDescent="0.25">
      <c r="B1022" t="s">
        <v>158</v>
      </c>
      <c r="C1022" s="2">
        <v>1.1309</v>
      </c>
      <c r="D1022" s="2">
        <v>1.2230000000000001</v>
      </c>
      <c r="E1022" s="2">
        <v>1.3149999999999999</v>
      </c>
      <c r="F1022" s="2">
        <v>1.4464999999999999</v>
      </c>
      <c r="G1022" s="2">
        <v>1.5386</v>
      </c>
      <c r="H1022" s="2">
        <v>1.6437999999999999</v>
      </c>
      <c r="I1022" s="2">
        <v>1.7884</v>
      </c>
      <c r="J1022" s="2">
        <v>1.9331</v>
      </c>
      <c r="K1022" s="2">
        <v>2.0777000000000001</v>
      </c>
      <c r="L1022" s="2">
        <v>2.2355</v>
      </c>
      <c r="M1022" s="2">
        <v>2.3933</v>
      </c>
      <c r="N1022" s="2">
        <v>2.5510999999999999</v>
      </c>
      <c r="O1022" s="2">
        <v>2.7088999999999999</v>
      </c>
      <c r="P1022" s="2">
        <v>2.8666999999999998</v>
      </c>
      <c r="Q1022" s="2">
        <v>3.0245000000000002</v>
      </c>
      <c r="R1022" t="s">
        <v>5</v>
      </c>
      <c r="S1022" t="s">
        <v>127</v>
      </c>
    </row>
    <row r="1023" spans="1:19" x14ac:dyDescent="0.25">
      <c r="B1023" t="s">
        <v>155</v>
      </c>
      <c r="C1023" s="2">
        <v>0.74590000000000001</v>
      </c>
      <c r="D1023" s="2">
        <v>0.80659999999999998</v>
      </c>
      <c r="E1023" s="2">
        <v>0.86729999999999996</v>
      </c>
      <c r="F1023" s="2">
        <v>0.95399999999999996</v>
      </c>
      <c r="G1023" s="2">
        <v>1.0146999999999999</v>
      </c>
      <c r="H1023" s="2">
        <v>1.0841000000000001</v>
      </c>
      <c r="I1023" s="2">
        <v>1.1795</v>
      </c>
      <c r="J1023" s="2">
        <v>1.2748999999999999</v>
      </c>
      <c r="K1023" s="2">
        <v>1.3703000000000001</v>
      </c>
      <c r="L1023" s="2">
        <v>1.4743999999999999</v>
      </c>
      <c r="M1023" s="2">
        <v>1.5785</v>
      </c>
      <c r="N1023" s="2">
        <v>1.6826000000000001</v>
      </c>
      <c r="O1023" s="2">
        <v>1.7866</v>
      </c>
      <c r="P1023" s="2">
        <v>1.8907</v>
      </c>
      <c r="Q1023" s="2">
        <v>1.9947999999999999</v>
      </c>
      <c r="R1023" t="s">
        <v>3</v>
      </c>
      <c r="S1023" t="s">
        <v>127</v>
      </c>
    </row>
    <row r="1024" spans="1:19" x14ac:dyDescent="0.25">
      <c r="B1024" t="s">
        <v>135</v>
      </c>
      <c r="C1024" s="2">
        <v>1.4914000000000001</v>
      </c>
      <c r="D1024" s="2">
        <v>1.6128</v>
      </c>
      <c r="E1024" s="2">
        <v>1.7342</v>
      </c>
      <c r="F1024" s="2">
        <v>1.9077</v>
      </c>
      <c r="G1024" s="2">
        <v>2.0291000000000001</v>
      </c>
      <c r="H1024" s="2">
        <v>2.1678000000000002</v>
      </c>
      <c r="I1024" s="2">
        <v>2.3586</v>
      </c>
      <c r="J1024" s="2">
        <v>2.5493000000000001</v>
      </c>
      <c r="K1024" s="2">
        <v>2.7401</v>
      </c>
      <c r="L1024" s="2">
        <v>2.9481999999999999</v>
      </c>
      <c r="M1024" s="2">
        <v>3.1562999999999999</v>
      </c>
      <c r="N1024" s="2">
        <v>3.3643999999999998</v>
      </c>
      <c r="O1024" s="2">
        <v>3.5724999999999998</v>
      </c>
      <c r="P1024" s="2">
        <v>3.7806000000000002</v>
      </c>
      <c r="Q1024" s="2">
        <v>3.9887000000000001</v>
      </c>
      <c r="R1024" t="s">
        <v>3</v>
      </c>
      <c r="S1024" t="s">
        <v>127</v>
      </c>
    </row>
    <row r="1025" spans="1:19" x14ac:dyDescent="0.25">
      <c r="B1025" t="s">
        <v>136</v>
      </c>
      <c r="C1025" s="2">
        <v>1.8629</v>
      </c>
      <c r="D1025" s="2">
        <v>2.0145</v>
      </c>
      <c r="E1025" s="2">
        <v>2.1661999999999999</v>
      </c>
      <c r="F1025" s="2">
        <v>2.3828</v>
      </c>
      <c r="G1025" s="2">
        <v>2.5344000000000002</v>
      </c>
      <c r="H1025" s="2">
        <v>2.7077</v>
      </c>
      <c r="I1025" s="2">
        <v>2.9460000000000002</v>
      </c>
      <c r="J1025" s="2">
        <v>3.1842000000000001</v>
      </c>
      <c r="K1025" s="2">
        <v>3.4224999999999999</v>
      </c>
      <c r="L1025" s="2">
        <v>3.6825000000000001</v>
      </c>
      <c r="M1025" s="2">
        <v>3.9424000000000001</v>
      </c>
      <c r="N1025" s="2">
        <v>4.2023000000000001</v>
      </c>
      <c r="O1025" s="2">
        <v>4.4622999999999999</v>
      </c>
      <c r="P1025" s="2">
        <v>4.7222</v>
      </c>
      <c r="Q1025" s="2">
        <v>4.9821</v>
      </c>
      <c r="R1025" t="s">
        <v>3</v>
      </c>
      <c r="S1025" t="s">
        <v>127</v>
      </c>
    </row>
    <row r="1026" spans="1:19" x14ac:dyDescent="0.25">
      <c r="B1026" t="s">
        <v>353</v>
      </c>
      <c r="C1026" s="2">
        <v>1.696</v>
      </c>
      <c r="D1026" s="2">
        <v>1.8231999999999999</v>
      </c>
      <c r="E1026" s="2">
        <v>1.9503999999999999</v>
      </c>
      <c r="F1026" s="2">
        <v>2.12</v>
      </c>
      <c r="G1026" s="2">
        <v>2.2471999999999999</v>
      </c>
      <c r="H1026" s="2">
        <v>2.3744000000000001</v>
      </c>
      <c r="I1026" s="2">
        <v>2.544</v>
      </c>
      <c r="J1026" s="2">
        <v>2.7136</v>
      </c>
      <c r="K1026" s="2">
        <v>2.8832</v>
      </c>
      <c r="L1026" s="2">
        <v>3.0528</v>
      </c>
      <c r="M1026" s="2">
        <v>3.2223999999999999</v>
      </c>
      <c r="N1026" s="2">
        <v>3.3919999999999999</v>
      </c>
      <c r="O1026" s="2">
        <v>3.6040000000000001</v>
      </c>
      <c r="P1026" s="2">
        <v>3.8159999999999998</v>
      </c>
      <c r="Q1026" s="2">
        <v>4.0279999999999996</v>
      </c>
      <c r="R1026" t="s">
        <v>19</v>
      </c>
      <c r="S1026" t="s">
        <v>127</v>
      </c>
    </row>
    <row r="1027" spans="1:19" x14ac:dyDescent="0.25">
      <c r="B1027" t="s">
        <v>265</v>
      </c>
      <c r="C1027" s="2">
        <v>0.33600000000000002</v>
      </c>
      <c r="D1027" s="2">
        <v>0.36120000000000002</v>
      </c>
      <c r="E1027" s="2">
        <v>0.38640000000000002</v>
      </c>
      <c r="F1027" s="2">
        <v>0.42</v>
      </c>
      <c r="G1027" s="2">
        <v>0.44519999999999998</v>
      </c>
      <c r="H1027" s="2">
        <v>0.47039999999999998</v>
      </c>
      <c r="I1027" s="2">
        <v>0.504</v>
      </c>
      <c r="J1027" s="2">
        <v>0.53759999999999997</v>
      </c>
      <c r="K1027" s="2">
        <v>0.57120000000000004</v>
      </c>
      <c r="L1027" s="2">
        <v>0.6048</v>
      </c>
      <c r="M1027" s="2">
        <v>0.63839999999999997</v>
      </c>
      <c r="N1027" s="2">
        <v>0.67200000000000004</v>
      </c>
      <c r="O1027" s="2">
        <v>0.71399999999999997</v>
      </c>
      <c r="P1027" s="2">
        <v>0.75600000000000001</v>
      </c>
      <c r="Q1027" s="2">
        <v>0.79800000000000004</v>
      </c>
      <c r="R1027" t="s">
        <v>19</v>
      </c>
      <c r="S1027" t="s">
        <v>127</v>
      </c>
    </row>
    <row r="1028" spans="1:19" x14ac:dyDescent="0.25">
      <c r="B1028" t="s">
        <v>173</v>
      </c>
      <c r="C1028" s="2">
        <v>3.4079999999999999</v>
      </c>
      <c r="D1028" s="2">
        <v>3.6636000000000002</v>
      </c>
      <c r="E1028" s="2">
        <v>3.9192</v>
      </c>
      <c r="F1028" s="2">
        <v>4.26</v>
      </c>
      <c r="G1028" s="2">
        <v>4.5156000000000001</v>
      </c>
      <c r="H1028" s="2">
        <v>4.7712000000000003</v>
      </c>
      <c r="I1028" s="2">
        <v>5.1120000000000001</v>
      </c>
      <c r="J1028" s="2">
        <v>5.4527999999999999</v>
      </c>
      <c r="K1028" s="2">
        <v>5.7935999999999996</v>
      </c>
      <c r="L1028" s="2">
        <v>6.1344000000000003</v>
      </c>
      <c r="M1028" s="2">
        <v>6.4752000000000001</v>
      </c>
      <c r="N1028" s="2">
        <v>6.8159999999999998</v>
      </c>
      <c r="O1028" s="2">
        <v>7.242</v>
      </c>
      <c r="P1028" s="2">
        <v>7.6680000000000001</v>
      </c>
      <c r="Q1028" s="2">
        <v>8.0939999999999994</v>
      </c>
      <c r="R1028" t="s">
        <v>0</v>
      </c>
      <c r="S1028" t="s">
        <v>127</v>
      </c>
    </row>
    <row r="1029" spans="1:19" x14ac:dyDescent="0.25">
      <c r="B1029" t="s">
        <v>354</v>
      </c>
      <c r="C1029" s="2">
        <v>0.4</v>
      </c>
      <c r="D1029" s="2">
        <v>0.43</v>
      </c>
      <c r="E1029" s="2">
        <v>0.46</v>
      </c>
      <c r="F1029" s="2">
        <v>0.5</v>
      </c>
      <c r="G1029" s="2">
        <v>0.53</v>
      </c>
      <c r="H1029" s="2">
        <v>0.56000000000000005</v>
      </c>
      <c r="I1029" s="2">
        <v>0.6</v>
      </c>
      <c r="J1029" s="2">
        <v>0.64</v>
      </c>
      <c r="K1029" s="2">
        <v>0.68</v>
      </c>
      <c r="L1029" s="2">
        <v>0.72</v>
      </c>
      <c r="M1029" s="2">
        <v>0.76</v>
      </c>
      <c r="N1029" s="2">
        <v>0.8</v>
      </c>
      <c r="O1029" s="2">
        <v>0.85</v>
      </c>
      <c r="P1029" s="2">
        <v>0.9</v>
      </c>
      <c r="Q1029" s="2">
        <v>0.95</v>
      </c>
      <c r="R1029" t="s">
        <v>0</v>
      </c>
      <c r="S1029" t="s">
        <v>127</v>
      </c>
    </row>
    <row r="1030" spans="1:19" x14ac:dyDescent="0.25">
      <c r="B1030" t="s">
        <v>355</v>
      </c>
      <c r="C1030" s="29">
        <v>0.5</v>
      </c>
      <c r="D1030" s="29">
        <v>0.5</v>
      </c>
      <c r="E1030" s="29">
        <v>0.5</v>
      </c>
      <c r="F1030" s="29">
        <v>0.5</v>
      </c>
      <c r="G1030" s="29">
        <v>0.5</v>
      </c>
      <c r="H1030" s="29">
        <v>0.5</v>
      </c>
      <c r="I1030" s="29">
        <v>0.5</v>
      </c>
      <c r="J1030" s="29">
        <v>0.5</v>
      </c>
      <c r="K1030" s="29">
        <v>0.5</v>
      </c>
      <c r="L1030" s="29">
        <v>0.5</v>
      </c>
      <c r="M1030" s="29">
        <v>0.5</v>
      </c>
      <c r="N1030" s="29">
        <v>0.5</v>
      </c>
      <c r="O1030" s="29">
        <v>0.5</v>
      </c>
      <c r="P1030" s="29">
        <v>0.5</v>
      </c>
      <c r="Q1030" s="29">
        <v>0.5</v>
      </c>
      <c r="R1030" t="s">
        <v>5</v>
      </c>
      <c r="S1030" t="s">
        <v>130</v>
      </c>
    </row>
    <row r="1031" spans="1:19" x14ac:dyDescent="0.25">
      <c r="B1031" s="3" t="s">
        <v>771</v>
      </c>
      <c r="C1031" s="23"/>
      <c r="D1031" s="23"/>
      <c r="E1031" s="23"/>
      <c r="F1031" s="23"/>
      <c r="G1031" s="23"/>
      <c r="H1031" s="23"/>
      <c r="I1031" s="23"/>
      <c r="J1031" s="23"/>
      <c r="K1031" s="23"/>
      <c r="L1031" s="23"/>
      <c r="M1031" s="23"/>
      <c r="N1031" s="23"/>
      <c r="O1031" s="23"/>
      <c r="P1031" s="23"/>
      <c r="Q1031" s="23"/>
      <c r="R1031" s="5" t="s">
        <v>771</v>
      </c>
      <c r="S1031" t="s">
        <v>772</v>
      </c>
    </row>
    <row r="1032" spans="1:19" x14ac:dyDescent="0.25">
      <c r="B1032" s="3" t="s">
        <v>390</v>
      </c>
      <c r="C1032" s="23"/>
      <c r="D1032" s="23"/>
      <c r="E1032" s="23"/>
      <c r="F1032" s="23"/>
      <c r="G1032" s="23"/>
      <c r="H1032" s="23"/>
      <c r="I1032" s="23"/>
      <c r="J1032" s="23"/>
      <c r="K1032" s="23"/>
      <c r="L1032" s="23"/>
      <c r="M1032" s="23"/>
      <c r="N1032" s="23"/>
      <c r="O1032" s="23"/>
      <c r="P1032" s="23"/>
      <c r="Q1032" s="23"/>
      <c r="R1032" s="5" t="s">
        <v>396</v>
      </c>
      <c r="S1032" t="s">
        <v>69</v>
      </c>
    </row>
    <row r="1033" spans="1:19" x14ac:dyDescent="0.25">
      <c r="B1033" s="3" t="s">
        <v>392</v>
      </c>
      <c r="C1033" s="23"/>
      <c r="D1033" s="23"/>
      <c r="E1033" s="23"/>
      <c r="F1033" s="23"/>
      <c r="G1033" s="23"/>
      <c r="H1033" s="23"/>
      <c r="I1033" s="23"/>
      <c r="J1033" s="23"/>
      <c r="K1033" s="23"/>
      <c r="L1033" s="23"/>
      <c r="M1033" s="23"/>
      <c r="N1033" s="23"/>
      <c r="O1033" s="23"/>
      <c r="P1033" s="23"/>
      <c r="Q1033" s="23"/>
      <c r="R1033" s="5" t="s">
        <v>396</v>
      </c>
      <c r="S1033" t="s">
        <v>69</v>
      </c>
    </row>
    <row r="1034" spans="1:19" x14ac:dyDescent="0.25">
      <c r="B1034" s="3" t="s">
        <v>393</v>
      </c>
      <c r="C1034" s="23"/>
      <c r="D1034" s="23"/>
      <c r="E1034" s="23"/>
      <c r="F1034" s="23"/>
      <c r="G1034" s="23"/>
      <c r="H1034" s="23"/>
      <c r="I1034" s="23"/>
      <c r="J1034" s="23"/>
      <c r="K1034" s="23"/>
      <c r="L1034" s="23"/>
      <c r="M1034" s="23"/>
      <c r="N1034" s="23"/>
      <c r="O1034" s="23"/>
      <c r="P1034" s="23"/>
      <c r="Q1034" s="23"/>
      <c r="R1034" s="5" t="s">
        <v>396</v>
      </c>
      <c r="S1034" t="s">
        <v>69</v>
      </c>
    </row>
    <row r="1035" spans="1:19" x14ac:dyDescent="0.25">
      <c r="B1035" s="3" t="s">
        <v>389</v>
      </c>
      <c r="C1035" s="23"/>
      <c r="D1035" s="23"/>
      <c r="E1035" s="23"/>
      <c r="F1035" s="23"/>
      <c r="G1035" s="23"/>
      <c r="H1035" s="23"/>
      <c r="I1035" s="23"/>
      <c r="J1035" s="23"/>
      <c r="K1035" s="23"/>
      <c r="L1035" s="23"/>
      <c r="M1035" s="23"/>
      <c r="N1035" s="23"/>
      <c r="O1035" s="23"/>
      <c r="P1035" s="23"/>
      <c r="Q1035" s="23"/>
      <c r="R1035" s="5" t="s">
        <v>396</v>
      </c>
      <c r="S1035" t="s">
        <v>69</v>
      </c>
    </row>
    <row r="1036" spans="1:19" x14ac:dyDescent="0.25">
      <c r="B1036" s="3" t="s">
        <v>391</v>
      </c>
      <c r="C1036" s="23"/>
      <c r="D1036" s="23"/>
      <c r="E1036" s="23"/>
      <c r="F1036" s="23"/>
      <c r="G1036" s="23"/>
      <c r="H1036" s="23"/>
      <c r="I1036" s="23"/>
      <c r="J1036" s="23"/>
      <c r="K1036" s="23"/>
      <c r="L1036" s="23"/>
      <c r="M1036" s="23"/>
      <c r="N1036" s="23"/>
      <c r="O1036" s="23"/>
      <c r="P1036" s="23"/>
      <c r="Q1036" s="23"/>
      <c r="R1036" s="5" t="s">
        <v>396</v>
      </c>
      <c r="S1036" t="s">
        <v>69</v>
      </c>
    </row>
    <row r="1037" spans="1:19" x14ac:dyDescent="0.25">
      <c r="B1037" s="3" t="s">
        <v>394</v>
      </c>
      <c r="C1037" s="23"/>
      <c r="D1037" s="23"/>
      <c r="E1037" s="23"/>
      <c r="F1037" s="23"/>
      <c r="G1037" s="23"/>
      <c r="H1037" s="23"/>
      <c r="I1037" s="23"/>
      <c r="J1037" s="23"/>
      <c r="K1037" s="23"/>
      <c r="L1037" s="23"/>
      <c r="M1037" s="23"/>
      <c r="N1037" s="23"/>
      <c r="O1037" s="23"/>
      <c r="P1037" s="23"/>
      <c r="Q1037" s="23"/>
      <c r="R1037" s="5" t="s">
        <v>396</v>
      </c>
      <c r="S1037" t="s">
        <v>69</v>
      </c>
    </row>
    <row r="1038" spans="1:19" x14ac:dyDescent="0.25">
      <c r="B1038" s="3" t="s">
        <v>395</v>
      </c>
      <c r="C1038" s="23"/>
      <c r="D1038" s="23"/>
      <c r="E1038" s="23"/>
      <c r="F1038" s="23"/>
      <c r="G1038" s="23"/>
      <c r="H1038" s="23"/>
      <c r="I1038" s="23"/>
      <c r="J1038" s="23"/>
      <c r="K1038" s="23"/>
      <c r="L1038" s="23"/>
      <c r="M1038" s="23"/>
      <c r="N1038" s="23"/>
      <c r="O1038" s="23"/>
      <c r="P1038" s="23"/>
      <c r="Q1038" s="23"/>
      <c r="R1038" s="5" t="s">
        <v>396</v>
      </c>
      <c r="S1038" t="s">
        <v>69</v>
      </c>
    </row>
    <row r="1039" spans="1:19" x14ac:dyDescent="0.25">
      <c r="A1039" t="s">
        <v>907</v>
      </c>
      <c r="B1039" s="3" t="s">
        <v>397</v>
      </c>
      <c r="C1039" s="23"/>
      <c r="D1039" s="23"/>
      <c r="E1039" s="23"/>
      <c r="F1039" s="23"/>
      <c r="G1039" s="23"/>
      <c r="H1039" s="23"/>
      <c r="I1039" s="23"/>
      <c r="J1039" s="23"/>
      <c r="K1039" s="23"/>
      <c r="L1039" s="23"/>
      <c r="M1039" s="23"/>
      <c r="N1039" s="23"/>
      <c r="O1039" s="23"/>
      <c r="P1039" s="23"/>
      <c r="Q1039" s="23"/>
      <c r="R1039" s="5" t="s">
        <v>396</v>
      </c>
      <c r="S1039" t="s">
        <v>69</v>
      </c>
    </row>
    <row r="1040" spans="1:19" x14ac:dyDescent="0.25">
      <c r="B1040" t="s">
        <v>356</v>
      </c>
      <c r="C1040" s="21">
        <v>1</v>
      </c>
      <c r="D1040" s="21">
        <v>2</v>
      </c>
      <c r="E1040" s="21">
        <v>3</v>
      </c>
      <c r="F1040" s="21">
        <v>4</v>
      </c>
      <c r="G1040" s="21">
        <v>5</v>
      </c>
      <c r="H1040" s="21">
        <v>6</v>
      </c>
      <c r="I1040" s="21">
        <v>7</v>
      </c>
      <c r="J1040" s="21">
        <v>8</v>
      </c>
      <c r="K1040" s="21">
        <v>9</v>
      </c>
      <c r="L1040" s="21">
        <v>10</v>
      </c>
      <c r="M1040" s="21">
        <v>11</v>
      </c>
      <c r="N1040" s="21">
        <v>12</v>
      </c>
      <c r="O1040" s="21">
        <v>13</v>
      </c>
      <c r="P1040" s="21">
        <v>14</v>
      </c>
      <c r="Q1040" s="21">
        <v>15</v>
      </c>
      <c r="R1040" s="5" t="s">
        <v>11</v>
      </c>
      <c r="S1040" t="s">
        <v>126</v>
      </c>
    </row>
    <row r="1041" spans="1:19" x14ac:dyDescent="0.25">
      <c r="A1041" t="s">
        <v>908</v>
      </c>
      <c r="B1041" t="s">
        <v>10</v>
      </c>
      <c r="C1041" s="2">
        <v>0.58340000000000003</v>
      </c>
      <c r="D1041" s="2">
        <v>0.62719999999999998</v>
      </c>
      <c r="E1041" s="2">
        <v>0.67090000000000005</v>
      </c>
      <c r="F1041" s="2">
        <v>0.72929999999999995</v>
      </c>
      <c r="G1041" s="2">
        <v>0.77300000000000002</v>
      </c>
      <c r="H1041" s="2">
        <v>0.81679999999999997</v>
      </c>
      <c r="I1041" s="2">
        <v>0.87509999999999999</v>
      </c>
      <c r="J1041" s="2">
        <v>0.9335</v>
      </c>
      <c r="K1041" s="2">
        <v>0.99180000000000001</v>
      </c>
      <c r="L1041" s="2">
        <v>1.0501</v>
      </c>
      <c r="M1041" s="2">
        <v>1.1085</v>
      </c>
      <c r="N1041" s="2">
        <v>1.1668000000000001</v>
      </c>
      <c r="O1041" s="2">
        <v>1.2398</v>
      </c>
      <c r="P1041" s="2">
        <v>1.3127</v>
      </c>
      <c r="Q1041" s="2">
        <v>1.3855999999999999</v>
      </c>
      <c r="R1041" t="s">
        <v>6</v>
      </c>
      <c r="S1041" t="s">
        <v>127</v>
      </c>
    </row>
    <row r="1042" spans="1:19" x14ac:dyDescent="0.25">
      <c r="B1042" t="s">
        <v>9</v>
      </c>
      <c r="C1042" s="2">
        <v>0.52129999999999999</v>
      </c>
      <c r="D1042" s="2">
        <v>0.56040000000000001</v>
      </c>
      <c r="E1042" s="2">
        <v>0.59940000000000004</v>
      </c>
      <c r="F1042" s="2">
        <v>0.65159999999999996</v>
      </c>
      <c r="G1042" s="2">
        <v>0.69069999999999998</v>
      </c>
      <c r="H1042" s="2">
        <v>0.7298</v>
      </c>
      <c r="I1042" s="2">
        <v>0.78190000000000004</v>
      </c>
      <c r="J1042" s="2">
        <v>0.83399999999999996</v>
      </c>
      <c r="K1042" s="2">
        <v>0.8861</v>
      </c>
      <c r="L1042" s="2">
        <v>0.93830000000000002</v>
      </c>
      <c r="M1042" s="2">
        <v>0.99039999999999995</v>
      </c>
      <c r="N1042" s="2">
        <v>1.0425</v>
      </c>
      <c r="O1042" s="2">
        <v>1.1076999999999999</v>
      </c>
      <c r="P1042" s="2">
        <v>1.1728000000000001</v>
      </c>
      <c r="Q1042" s="2">
        <v>1.238</v>
      </c>
      <c r="R1042" t="s">
        <v>6</v>
      </c>
      <c r="S1042" t="s">
        <v>127</v>
      </c>
    </row>
    <row r="1043" spans="1:19" x14ac:dyDescent="0.25">
      <c r="B1043" t="s">
        <v>8</v>
      </c>
      <c r="C1043" s="2">
        <v>0.7601</v>
      </c>
      <c r="D1043" s="2">
        <v>0.81710000000000005</v>
      </c>
      <c r="E1043" s="2">
        <v>0.87409999999999999</v>
      </c>
      <c r="F1043" s="2">
        <v>0.95020000000000004</v>
      </c>
      <c r="G1043" s="2">
        <v>1.0072000000000001</v>
      </c>
      <c r="H1043" s="2">
        <v>1.0642</v>
      </c>
      <c r="I1043" s="2">
        <v>1.1402000000000001</v>
      </c>
      <c r="J1043" s="2">
        <v>1.2161999999999999</v>
      </c>
      <c r="K1043" s="2">
        <v>1.2922</v>
      </c>
      <c r="L1043" s="2">
        <v>1.3682000000000001</v>
      </c>
      <c r="M1043" s="2">
        <v>1.4441999999999999</v>
      </c>
      <c r="N1043" s="2">
        <v>1.5203</v>
      </c>
      <c r="O1043" s="2">
        <v>1.6153</v>
      </c>
      <c r="P1043" s="2">
        <v>1.7102999999999999</v>
      </c>
      <c r="Q1043" s="2">
        <v>1.8052999999999999</v>
      </c>
      <c r="R1043" t="s">
        <v>6</v>
      </c>
      <c r="S1043" t="s">
        <v>127</v>
      </c>
    </row>
    <row r="1044" spans="1:19" x14ac:dyDescent="0.25">
      <c r="B1044" t="s">
        <v>357</v>
      </c>
      <c r="C1044" s="2">
        <v>0.98229999999999995</v>
      </c>
      <c r="D1044" s="2">
        <v>1.0410999999999999</v>
      </c>
      <c r="E1044" s="2">
        <v>1.0999000000000001</v>
      </c>
      <c r="F1044" s="2">
        <v>1.1763999999999999</v>
      </c>
      <c r="G1044" s="2">
        <v>1.2352000000000001</v>
      </c>
      <c r="H1044" s="2">
        <v>1.294</v>
      </c>
      <c r="I1044" s="2">
        <v>1.3705000000000001</v>
      </c>
      <c r="J1044" s="2">
        <v>1.4470000000000001</v>
      </c>
      <c r="K1044" s="2">
        <v>1.5234000000000001</v>
      </c>
      <c r="L1044" s="2">
        <v>1.5999000000000001</v>
      </c>
      <c r="M1044" s="2">
        <v>1.6763999999999999</v>
      </c>
      <c r="N1044" s="2">
        <v>1.7527999999999999</v>
      </c>
      <c r="O1044" s="2">
        <v>1.8292999999999999</v>
      </c>
      <c r="P1044" s="2">
        <v>1.9057999999999999</v>
      </c>
      <c r="Q1044" s="2">
        <v>1.9822</v>
      </c>
      <c r="R1044" t="s">
        <v>5</v>
      </c>
      <c r="S1044" t="s">
        <v>127</v>
      </c>
    </row>
    <row r="1045" spans="1:19" x14ac:dyDescent="0.25">
      <c r="B1045" t="s">
        <v>358</v>
      </c>
      <c r="C1045" s="2">
        <v>1.1556</v>
      </c>
      <c r="D1045" s="2">
        <v>1.2248000000000001</v>
      </c>
      <c r="E1045" s="2">
        <v>1.294</v>
      </c>
      <c r="F1045" s="2">
        <v>1.3839999999999999</v>
      </c>
      <c r="G1045" s="2">
        <v>1.4532</v>
      </c>
      <c r="H1045" s="2">
        <v>1.5224</v>
      </c>
      <c r="I1045" s="2">
        <v>1.6124000000000001</v>
      </c>
      <c r="J1045" s="2">
        <v>1.7022999999999999</v>
      </c>
      <c r="K1045" s="2">
        <v>1.7923</v>
      </c>
      <c r="L1045" s="2">
        <v>1.8822000000000001</v>
      </c>
      <c r="M1045" s="2">
        <v>1.9722</v>
      </c>
      <c r="N1045" s="2">
        <v>2.0621999999999998</v>
      </c>
      <c r="O1045" s="2">
        <v>2.1520999999999999</v>
      </c>
      <c r="P1045" s="2">
        <v>2.2421000000000002</v>
      </c>
      <c r="Q1045" s="2">
        <v>2.3319999999999999</v>
      </c>
      <c r="R1045" t="s">
        <v>5</v>
      </c>
      <c r="S1045" t="s">
        <v>127</v>
      </c>
    </row>
    <row r="1046" spans="1:19" x14ac:dyDescent="0.25">
      <c r="B1046" t="s">
        <v>359</v>
      </c>
      <c r="C1046" s="2">
        <v>1.329</v>
      </c>
      <c r="D1046" s="2">
        <v>1.4086000000000001</v>
      </c>
      <c r="E1046" s="2">
        <v>1.4881</v>
      </c>
      <c r="F1046" s="2">
        <v>1.5915999999999999</v>
      </c>
      <c r="G1046" s="2">
        <v>1.6712</v>
      </c>
      <c r="H1046" s="2">
        <v>1.7507999999999999</v>
      </c>
      <c r="I1046" s="2">
        <v>1.8542000000000001</v>
      </c>
      <c r="J1046" s="2">
        <v>1.9577</v>
      </c>
      <c r="K1046" s="2">
        <v>2.0611000000000002</v>
      </c>
      <c r="L1046" s="2">
        <v>2.1646000000000001</v>
      </c>
      <c r="M1046" s="2">
        <v>2.2679999999999998</v>
      </c>
      <c r="N1046" s="2">
        <v>2.3715000000000002</v>
      </c>
      <c r="O1046" s="2">
        <v>2.4748999999999999</v>
      </c>
      <c r="P1046" s="2">
        <v>2.5783999999999998</v>
      </c>
      <c r="Q1046" s="2">
        <v>2.6818</v>
      </c>
      <c r="R1046" t="s">
        <v>5</v>
      </c>
      <c r="S1046" t="s">
        <v>127</v>
      </c>
    </row>
    <row r="1047" spans="1:19" x14ac:dyDescent="0.25">
      <c r="B1047" t="s">
        <v>360</v>
      </c>
      <c r="C1047" s="2">
        <v>1.5023</v>
      </c>
      <c r="D1047" s="2">
        <v>1.5923</v>
      </c>
      <c r="E1047" s="2">
        <v>1.6822999999999999</v>
      </c>
      <c r="F1047" s="2">
        <v>1.7991999999999999</v>
      </c>
      <c r="G1047" s="2">
        <v>1.8892</v>
      </c>
      <c r="H1047" s="2">
        <v>1.9791000000000001</v>
      </c>
      <c r="I1047" s="2">
        <v>2.0960999999999999</v>
      </c>
      <c r="J1047" s="2">
        <v>2.2130000000000001</v>
      </c>
      <c r="K1047" s="2">
        <v>2.33</v>
      </c>
      <c r="L1047" s="2">
        <v>2.4468999999999999</v>
      </c>
      <c r="M1047" s="2">
        <v>2.5638999999999998</v>
      </c>
      <c r="N1047" s="2">
        <v>2.6808000000000001</v>
      </c>
      <c r="O1047" s="2">
        <v>2.7978000000000001</v>
      </c>
      <c r="P1047" s="2">
        <v>2.9146999999999998</v>
      </c>
      <c r="Q1047" s="2">
        <v>3.0316999999999998</v>
      </c>
      <c r="R1047" t="s">
        <v>5</v>
      </c>
      <c r="S1047" t="s">
        <v>127</v>
      </c>
    </row>
    <row r="1048" spans="1:19" x14ac:dyDescent="0.25">
      <c r="B1048" t="s">
        <v>361</v>
      </c>
      <c r="C1048" s="2">
        <v>1.6757</v>
      </c>
      <c r="D1048" s="2">
        <v>1.776</v>
      </c>
      <c r="E1048" s="2">
        <v>1.8764000000000001</v>
      </c>
      <c r="F1048" s="2">
        <v>2.0068000000000001</v>
      </c>
      <c r="G1048" s="2">
        <v>2.1071</v>
      </c>
      <c r="H1048" s="2">
        <v>2.2075</v>
      </c>
      <c r="I1048" s="2">
        <v>2.3378999999999999</v>
      </c>
      <c r="J1048" s="2">
        <v>2.4683999999999999</v>
      </c>
      <c r="K1048" s="2">
        <v>2.5988000000000002</v>
      </c>
      <c r="L1048" s="2">
        <v>2.7292000000000001</v>
      </c>
      <c r="M1048" s="2">
        <v>2.8597000000000001</v>
      </c>
      <c r="N1048" s="2">
        <v>2.9901</v>
      </c>
      <c r="O1048" s="2">
        <v>3.1206</v>
      </c>
      <c r="P1048" s="2">
        <v>3.2509999999999999</v>
      </c>
      <c r="Q1048" s="2">
        <v>3.3815</v>
      </c>
      <c r="R1048" t="s">
        <v>5</v>
      </c>
      <c r="S1048" t="s">
        <v>127</v>
      </c>
    </row>
    <row r="1049" spans="1:19" x14ac:dyDescent="0.25">
      <c r="B1049" t="s">
        <v>155</v>
      </c>
      <c r="C1049" s="2">
        <v>0.56830000000000003</v>
      </c>
      <c r="D1049" s="2">
        <v>0.61450000000000005</v>
      </c>
      <c r="E1049" s="2">
        <v>0.66080000000000005</v>
      </c>
      <c r="F1049" s="2">
        <v>0.72689999999999999</v>
      </c>
      <c r="G1049" s="2">
        <v>0.77310000000000001</v>
      </c>
      <c r="H1049" s="2">
        <v>0.82599999999999996</v>
      </c>
      <c r="I1049" s="2">
        <v>0.89870000000000005</v>
      </c>
      <c r="J1049" s="2">
        <v>0.97140000000000004</v>
      </c>
      <c r="K1049" s="2">
        <v>1.0441</v>
      </c>
      <c r="L1049" s="2">
        <v>1.1234</v>
      </c>
      <c r="M1049" s="2">
        <v>1.2027000000000001</v>
      </c>
      <c r="N1049" s="2">
        <v>1.282</v>
      </c>
      <c r="O1049" s="2">
        <v>1.3612</v>
      </c>
      <c r="P1049" s="2">
        <v>1.4404999999999999</v>
      </c>
      <c r="Q1049" s="2">
        <v>1.5198</v>
      </c>
      <c r="R1049" t="s">
        <v>3</v>
      </c>
      <c r="S1049" t="s">
        <v>127</v>
      </c>
    </row>
    <row r="1050" spans="1:19" x14ac:dyDescent="0.25">
      <c r="B1050" t="s">
        <v>135</v>
      </c>
      <c r="C1050" s="2">
        <v>1.1363000000000001</v>
      </c>
      <c r="D1050" s="2">
        <v>1.2287999999999999</v>
      </c>
      <c r="E1050" s="2">
        <v>1.3212999999999999</v>
      </c>
      <c r="F1050" s="2">
        <v>1.4535</v>
      </c>
      <c r="G1050" s="2">
        <v>1.5459000000000001</v>
      </c>
      <c r="H1050" s="2">
        <v>1.6516999999999999</v>
      </c>
      <c r="I1050" s="2">
        <v>1.7969999999999999</v>
      </c>
      <c r="J1050" s="2">
        <v>1.9422999999999999</v>
      </c>
      <c r="K1050" s="2">
        <v>2.0876999999999999</v>
      </c>
      <c r="L1050" s="2">
        <v>2.2462</v>
      </c>
      <c r="M1050" s="2">
        <v>2.4047999999999998</v>
      </c>
      <c r="N1050" s="2">
        <v>2.5634000000000001</v>
      </c>
      <c r="O1050" s="2">
        <v>2.7219000000000002</v>
      </c>
      <c r="P1050" s="2">
        <v>2.8805000000000001</v>
      </c>
      <c r="Q1050" s="2">
        <v>3.0390000000000001</v>
      </c>
      <c r="R1050" t="s">
        <v>3</v>
      </c>
      <c r="S1050" t="s">
        <v>127</v>
      </c>
    </row>
    <row r="1051" spans="1:19" x14ac:dyDescent="0.25">
      <c r="B1051" t="s">
        <v>136</v>
      </c>
      <c r="C1051" s="2">
        <v>1.4193</v>
      </c>
      <c r="D1051" s="2">
        <v>1.5348999999999999</v>
      </c>
      <c r="E1051" s="2">
        <v>1.6504000000000001</v>
      </c>
      <c r="F1051" s="2">
        <v>1.8153999999999999</v>
      </c>
      <c r="G1051" s="2">
        <v>1.931</v>
      </c>
      <c r="H1051" s="2">
        <v>2.0630000000000002</v>
      </c>
      <c r="I1051" s="2">
        <v>2.2444999999999999</v>
      </c>
      <c r="J1051" s="2">
        <v>2.4260999999999999</v>
      </c>
      <c r="K1051" s="2">
        <v>2.6076000000000001</v>
      </c>
      <c r="L1051" s="2">
        <v>2.8056999999999999</v>
      </c>
      <c r="M1051" s="2">
        <v>3.0036999999999998</v>
      </c>
      <c r="N1051" s="2">
        <v>3.2018</v>
      </c>
      <c r="O1051" s="2">
        <v>3.3997999999999999</v>
      </c>
      <c r="P1051" s="2">
        <v>3.5979000000000001</v>
      </c>
      <c r="Q1051" s="2">
        <v>3.7959000000000001</v>
      </c>
      <c r="R1051" t="s">
        <v>3</v>
      </c>
      <c r="S1051" t="s">
        <v>127</v>
      </c>
    </row>
    <row r="1052" spans="1:19" x14ac:dyDescent="0.25">
      <c r="B1052" t="s">
        <v>4</v>
      </c>
      <c r="C1052" s="2">
        <v>1.696</v>
      </c>
      <c r="D1052" s="2">
        <v>1.8231999999999999</v>
      </c>
      <c r="E1052" s="2">
        <v>1.9503999999999999</v>
      </c>
      <c r="F1052" s="2">
        <v>2.12</v>
      </c>
      <c r="G1052" s="2">
        <v>2.2471999999999999</v>
      </c>
      <c r="H1052" s="2">
        <v>2.3744000000000001</v>
      </c>
      <c r="I1052" s="2">
        <v>2.544</v>
      </c>
      <c r="J1052" s="2">
        <v>2.7136</v>
      </c>
      <c r="K1052" s="2">
        <v>2.8832</v>
      </c>
      <c r="L1052" s="2">
        <v>3.0528</v>
      </c>
      <c r="M1052" s="2">
        <v>3.2223999999999999</v>
      </c>
      <c r="N1052" s="2">
        <v>3.3919999999999999</v>
      </c>
      <c r="O1052" s="2">
        <v>3.6040000000000001</v>
      </c>
      <c r="P1052" s="2">
        <v>3.8159999999999998</v>
      </c>
      <c r="Q1052" s="2">
        <v>4.0279999999999996</v>
      </c>
      <c r="R1052" t="s">
        <v>19</v>
      </c>
      <c r="S1052" t="s">
        <v>127</v>
      </c>
    </row>
    <row r="1053" spans="1:19" x14ac:dyDescent="0.25">
      <c r="B1053" t="s">
        <v>173</v>
      </c>
      <c r="C1053" s="2">
        <v>1.8240000000000001</v>
      </c>
      <c r="D1053" s="2">
        <v>1.9608000000000001</v>
      </c>
      <c r="E1053" s="2">
        <v>2.0975999999999999</v>
      </c>
      <c r="F1053" s="2">
        <v>2.2799999999999998</v>
      </c>
      <c r="G1053" s="2">
        <v>2.4167999999999998</v>
      </c>
      <c r="H1053" s="2">
        <v>2.5535999999999999</v>
      </c>
      <c r="I1053" s="2">
        <v>2.7360000000000002</v>
      </c>
      <c r="J1053" s="2">
        <v>2.9184000000000001</v>
      </c>
      <c r="K1053" s="2">
        <v>3.1008</v>
      </c>
      <c r="L1053" s="2">
        <v>3.2831999999999999</v>
      </c>
      <c r="M1053" s="2">
        <v>3.4655999999999998</v>
      </c>
      <c r="N1053" s="2">
        <v>3.6480000000000001</v>
      </c>
      <c r="O1053" s="2">
        <v>3.8759999999999999</v>
      </c>
      <c r="P1053" s="2">
        <v>4.1040000000000001</v>
      </c>
      <c r="Q1053" s="2">
        <v>4.3319999999999999</v>
      </c>
      <c r="R1053" t="s">
        <v>0</v>
      </c>
      <c r="S1053" t="s">
        <v>127</v>
      </c>
    </row>
    <row r="1054" spans="1:19" x14ac:dyDescent="0.25">
      <c r="B1054" t="s">
        <v>362</v>
      </c>
      <c r="C1054" s="2">
        <v>0.8</v>
      </c>
      <c r="D1054" s="2">
        <v>0.8</v>
      </c>
      <c r="E1054" s="2">
        <v>0.8</v>
      </c>
      <c r="F1054" s="2">
        <v>0.8</v>
      </c>
      <c r="G1054" s="2">
        <v>0.8</v>
      </c>
      <c r="H1054" s="2">
        <v>0.8</v>
      </c>
      <c r="I1054" s="2">
        <v>0.8</v>
      </c>
      <c r="J1054" s="2">
        <v>0.8</v>
      </c>
      <c r="K1054" s="2">
        <v>0.8</v>
      </c>
      <c r="L1054" s="2">
        <v>0.8</v>
      </c>
      <c r="M1054" s="2">
        <v>0.8</v>
      </c>
      <c r="N1054" s="2">
        <v>0.8</v>
      </c>
      <c r="O1054" s="2">
        <v>0.8</v>
      </c>
      <c r="P1054" s="2">
        <v>0.8</v>
      </c>
      <c r="Q1054" s="2">
        <v>0.8</v>
      </c>
      <c r="R1054" t="s">
        <v>5</v>
      </c>
      <c r="S1054" t="s">
        <v>127</v>
      </c>
    </row>
    <row r="1055" spans="1:19" x14ac:dyDescent="0.25">
      <c r="B1055" s="3" t="s">
        <v>771</v>
      </c>
      <c r="C1055" s="23"/>
      <c r="D1055" s="23"/>
      <c r="E1055" s="23"/>
      <c r="F1055" s="23"/>
      <c r="G1055" s="23"/>
      <c r="H1055" s="23"/>
      <c r="I1055" s="23"/>
      <c r="J1055" s="23"/>
      <c r="K1055" s="23"/>
      <c r="L1055" s="23"/>
      <c r="M1055" s="23"/>
      <c r="N1055" s="23"/>
      <c r="O1055" s="23"/>
      <c r="P1055" s="23"/>
      <c r="Q1055" s="23"/>
      <c r="R1055" s="5" t="s">
        <v>771</v>
      </c>
      <c r="S1055" t="s">
        <v>772</v>
      </c>
    </row>
    <row r="1056" spans="1:19" x14ac:dyDescent="0.25">
      <c r="B1056" s="3" t="s">
        <v>390</v>
      </c>
      <c r="C1056" s="23"/>
      <c r="D1056" s="23"/>
      <c r="E1056" s="23"/>
      <c r="F1056" s="23"/>
      <c r="G1056" s="23"/>
      <c r="H1056" s="23"/>
      <c r="I1056" s="23"/>
      <c r="J1056" s="23"/>
      <c r="K1056" s="23"/>
      <c r="L1056" s="23"/>
      <c r="M1056" s="23"/>
      <c r="N1056" s="23"/>
      <c r="O1056" s="23"/>
      <c r="P1056" s="23"/>
      <c r="Q1056" s="23"/>
      <c r="R1056" s="5" t="s">
        <v>396</v>
      </c>
      <c r="S1056" t="s">
        <v>69</v>
      </c>
    </row>
    <row r="1057" spans="1:19" x14ac:dyDescent="0.25">
      <c r="B1057" s="3" t="s">
        <v>392</v>
      </c>
      <c r="C1057" s="23"/>
      <c r="D1057" s="23"/>
      <c r="E1057" s="23"/>
      <c r="F1057" s="23"/>
      <c r="G1057" s="23"/>
      <c r="H1057" s="23"/>
      <c r="I1057" s="23"/>
      <c r="J1057" s="23"/>
      <c r="K1057" s="23"/>
      <c r="L1057" s="23"/>
      <c r="M1057" s="23"/>
      <c r="N1057" s="23"/>
      <c r="O1057" s="23"/>
      <c r="P1057" s="23"/>
      <c r="Q1057" s="23"/>
      <c r="R1057" s="5" t="s">
        <v>396</v>
      </c>
      <c r="S1057" t="s">
        <v>69</v>
      </c>
    </row>
    <row r="1058" spans="1:19" x14ac:dyDescent="0.25">
      <c r="B1058" s="3" t="s">
        <v>393</v>
      </c>
      <c r="C1058" s="23"/>
      <c r="D1058" s="23"/>
      <c r="E1058" s="23"/>
      <c r="F1058" s="23"/>
      <c r="G1058" s="23"/>
      <c r="H1058" s="23"/>
      <c r="I1058" s="23"/>
      <c r="J1058" s="23"/>
      <c r="K1058" s="23"/>
      <c r="L1058" s="23"/>
      <c r="M1058" s="23"/>
      <c r="N1058" s="23"/>
      <c r="O1058" s="23"/>
      <c r="P1058" s="23"/>
      <c r="Q1058" s="23"/>
      <c r="R1058" s="5" t="s">
        <v>396</v>
      </c>
      <c r="S1058" t="s">
        <v>69</v>
      </c>
    </row>
    <row r="1059" spans="1:19" x14ac:dyDescent="0.25">
      <c r="B1059" s="3" t="s">
        <v>389</v>
      </c>
      <c r="C1059" s="23"/>
      <c r="D1059" s="23"/>
      <c r="E1059" s="23"/>
      <c r="F1059" s="23"/>
      <c r="G1059" s="23"/>
      <c r="H1059" s="23"/>
      <c r="I1059" s="23"/>
      <c r="J1059" s="23"/>
      <c r="K1059" s="23"/>
      <c r="L1059" s="23"/>
      <c r="M1059" s="23"/>
      <c r="N1059" s="23"/>
      <c r="O1059" s="23"/>
      <c r="P1059" s="23"/>
      <c r="Q1059" s="23"/>
      <c r="R1059" s="5" t="s">
        <v>396</v>
      </c>
      <c r="S1059" t="s">
        <v>69</v>
      </c>
    </row>
    <row r="1060" spans="1:19" x14ac:dyDescent="0.25">
      <c r="B1060" s="3" t="s">
        <v>391</v>
      </c>
      <c r="C1060" s="23"/>
      <c r="D1060" s="23"/>
      <c r="E1060" s="23"/>
      <c r="F1060" s="23"/>
      <c r="G1060" s="23"/>
      <c r="H1060" s="23"/>
      <c r="I1060" s="23"/>
      <c r="J1060" s="23"/>
      <c r="K1060" s="23"/>
      <c r="L1060" s="23"/>
      <c r="M1060" s="23"/>
      <c r="N1060" s="23"/>
      <c r="O1060" s="23"/>
      <c r="P1060" s="23"/>
      <c r="Q1060" s="23"/>
      <c r="R1060" s="5" t="s">
        <v>396</v>
      </c>
      <c r="S1060" t="s">
        <v>69</v>
      </c>
    </row>
    <row r="1061" spans="1:19" x14ac:dyDescent="0.25">
      <c r="B1061" s="3" t="s">
        <v>394</v>
      </c>
      <c r="C1061" s="23"/>
      <c r="D1061" s="23"/>
      <c r="E1061" s="23"/>
      <c r="F1061" s="23"/>
      <c r="G1061" s="23"/>
      <c r="H1061" s="23"/>
      <c r="I1061" s="23"/>
      <c r="J1061" s="23"/>
      <c r="K1061" s="23"/>
      <c r="L1061" s="23"/>
      <c r="M1061" s="23"/>
      <c r="N1061" s="23"/>
      <c r="O1061" s="23"/>
      <c r="P1061" s="23"/>
      <c r="Q1061" s="23"/>
      <c r="R1061" s="5" t="s">
        <v>396</v>
      </c>
      <c r="S1061" t="s">
        <v>69</v>
      </c>
    </row>
    <row r="1062" spans="1:19" x14ac:dyDescent="0.25">
      <c r="B1062" s="3" t="s">
        <v>395</v>
      </c>
      <c r="C1062" s="23"/>
      <c r="D1062" s="23"/>
      <c r="E1062" s="23"/>
      <c r="F1062" s="23"/>
      <c r="G1062" s="23"/>
      <c r="H1062" s="23"/>
      <c r="I1062" s="23"/>
      <c r="J1062" s="23"/>
      <c r="K1062" s="23"/>
      <c r="L1062" s="23"/>
      <c r="M1062" s="23"/>
      <c r="N1062" s="23"/>
      <c r="O1062" s="23"/>
      <c r="P1062" s="23"/>
      <c r="Q1062" s="23"/>
      <c r="R1062" s="5" t="s">
        <v>396</v>
      </c>
      <c r="S1062" t="s">
        <v>69</v>
      </c>
    </row>
    <row r="1063" spans="1:19" x14ac:dyDescent="0.25">
      <c r="A1063" t="s">
        <v>909</v>
      </c>
      <c r="B1063" s="3" t="s">
        <v>397</v>
      </c>
      <c r="C1063" s="23"/>
      <c r="D1063" s="23"/>
      <c r="E1063" s="23"/>
      <c r="F1063" s="23"/>
      <c r="G1063" s="23"/>
      <c r="H1063" s="23"/>
      <c r="I1063" s="23"/>
      <c r="J1063" s="23"/>
      <c r="K1063" s="23"/>
      <c r="L1063" s="23"/>
      <c r="M1063" s="23"/>
      <c r="N1063" s="23"/>
      <c r="O1063" s="23"/>
      <c r="P1063" s="23"/>
      <c r="Q1063" s="23"/>
      <c r="R1063" s="5" t="s">
        <v>396</v>
      </c>
      <c r="S1063" t="s">
        <v>69</v>
      </c>
    </row>
    <row r="1064" spans="1:19" x14ac:dyDescent="0.25">
      <c r="B1064" t="s">
        <v>363</v>
      </c>
      <c r="C1064" s="21">
        <v>1</v>
      </c>
      <c r="D1064" s="21">
        <v>2</v>
      </c>
      <c r="E1064" s="21">
        <v>3</v>
      </c>
      <c r="F1064" s="21">
        <v>4</v>
      </c>
      <c r="G1064" s="21">
        <v>5</v>
      </c>
      <c r="H1064" s="21">
        <v>6</v>
      </c>
      <c r="I1064" s="21">
        <v>7</v>
      </c>
      <c r="J1064" s="21">
        <v>8</v>
      </c>
      <c r="K1064" s="21">
        <v>9</v>
      </c>
      <c r="L1064" s="21">
        <v>10</v>
      </c>
      <c r="M1064" s="21">
        <v>11</v>
      </c>
      <c r="N1064" s="21">
        <v>12</v>
      </c>
      <c r="O1064" s="21">
        <v>13</v>
      </c>
      <c r="P1064" s="21">
        <v>14</v>
      </c>
      <c r="Q1064" s="21">
        <v>15</v>
      </c>
      <c r="R1064" s="5" t="s">
        <v>11</v>
      </c>
      <c r="S1064" t="s">
        <v>126</v>
      </c>
    </row>
    <row r="1065" spans="1:19" x14ac:dyDescent="0.25">
      <c r="A1065" t="s">
        <v>910</v>
      </c>
      <c r="B1065" t="s">
        <v>348</v>
      </c>
      <c r="C1065" s="2">
        <v>0.35639999999999999</v>
      </c>
      <c r="D1065" s="2">
        <v>0.38069999999999998</v>
      </c>
      <c r="E1065" s="2">
        <v>0.40500000000000003</v>
      </c>
      <c r="F1065" s="2">
        <v>0.43740000000000001</v>
      </c>
      <c r="G1065" s="2">
        <v>0.4617</v>
      </c>
      <c r="H1065" s="2">
        <v>0.49009999999999998</v>
      </c>
      <c r="I1065" s="2">
        <v>0.52649999999999997</v>
      </c>
      <c r="J1065" s="2">
        <v>0.56289999999999996</v>
      </c>
      <c r="K1065" s="2">
        <v>0.59940000000000004</v>
      </c>
      <c r="L1065" s="2">
        <v>0.63590000000000002</v>
      </c>
      <c r="M1065" s="2">
        <v>0.67230000000000001</v>
      </c>
      <c r="N1065" s="2">
        <v>0.70879999999999999</v>
      </c>
      <c r="O1065" s="2">
        <v>0.74519999999999997</v>
      </c>
      <c r="P1065" s="2">
        <v>0.78169999999999995</v>
      </c>
      <c r="Q1065" s="2">
        <v>0.81810000000000005</v>
      </c>
      <c r="R1065" t="s">
        <v>6</v>
      </c>
      <c r="S1065" t="s">
        <v>127</v>
      </c>
    </row>
    <row r="1066" spans="1:19" x14ac:dyDescent="0.25">
      <c r="B1066" t="s">
        <v>9</v>
      </c>
      <c r="C1066" s="2">
        <v>0.68379999999999996</v>
      </c>
      <c r="D1066" s="2">
        <v>0.73040000000000005</v>
      </c>
      <c r="E1066" s="2">
        <v>0.77700000000000002</v>
      </c>
      <c r="F1066" s="2">
        <v>0.83919999999999995</v>
      </c>
      <c r="G1066" s="2">
        <v>0.88580000000000003</v>
      </c>
      <c r="H1066" s="2">
        <v>0.94020000000000004</v>
      </c>
      <c r="I1066" s="2">
        <v>1.0101</v>
      </c>
      <c r="J1066" s="2">
        <v>1.08</v>
      </c>
      <c r="K1066" s="2">
        <v>1.1499999999999999</v>
      </c>
      <c r="L1066" s="2">
        <v>1.2199</v>
      </c>
      <c r="M1066" s="2">
        <v>1.2898000000000001</v>
      </c>
      <c r="N1066" s="2">
        <v>1.3597999999999999</v>
      </c>
      <c r="O1066" s="2">
        <v>1.4297</v>
      </c>
      <c r="P1066" s="2">
        <v>1.4996</v>
      </c>
      <c r="Q1066" s="2">
        <v>1.5694999999999999</v>
      </c>
      <c r="R1066" t="s">
        <v>6</v>
      </c>
      <c r="S1066" t="s">
        <v>127</v>
      </c>
    </row>
    <row r="1067" spans="1:19" x14ac:dyDescent="0.25">
      <c r="B1067" t="s">
        <v>8</v>
      </c>
      <c r="C1067" s="2">
        <v>0.88890000000000002</v>
      </c>
      <c r="D1067" s="2">
        <v>0.94950000000000001</v>
      </c>
      <c r="E1067" s="2">
        <v>1.0101</v>
      </c>
      <c r="F1067" s="2">
        <v>1.0909</v>
      </c>
      <c r="G1067" s="2">
        <v>1.1515</v>
      </c>
      <c r="H1067" s="2">
        <v>1.2222</v>
      </c>
      <c r="I1067" s="2">
        <v>1.3130999999999999</v>
      </c>
      <c r="J1067" s="2">
        <v>1.4039999999999999</v>
      </c>
      <c r="K1067" s="2">
        <v>1.4948999999999999</v>
      </c>
      <c r="L1067" s="2">
        <v>1.5859000000000001</v>
      </c>
      <c r="M1067" s="2">
        <v>1.6768000000000001</v>
      </c>
      <c r="N1067" s="2">
        <v>1.7677</v>
      </c>
      <c r="O1067" s="2">
        <v>1.8586</v>
      </c>
      <c r="P1067" s="2">
        <v>1.9495</v>
      </c>
      <c r="Q1067" s="2">
        <v>2.0404</v>
      </c>
      <c r="R1067" t="s">
        <v>6</v>
      </c>
      <c r="S1067" t="s">
        <v>127</v>
      </c>
    </row>
    <row r="1068" spans="1:19" x14ac:dyDescent="0.25">
      <c r="B1068" t="s">
        <v>277</v>
      </c>
      <c r="C1068" s="2">
        <v>0.4642</v>
      </c>
      <c r="D1068" s="2">
        <v>0.49590000000000001</v>
      </c>
      <c r="E1068" s="2">
        <v>0.52749999999999997</v>
      </c>
      <c r="F1068" s="2">
        <v>0.56969999999999998</v>
      </c>
      <c r="G1068" s="2">
        <v>0.60140000000000005</v>
      </c>
      <c r="H1068" s="2">
        <v>0.63829999999999998</v>
      </c>
      <c r="I1068" s="2">
        <v>0.68579999999999997</v>
      </c>
      <c r="J1068" s="2">
        <v>0.73319999999999996</v>
      </c>
      <c r="K1068" s="2">
        <v>0.78069999999999995</v>
      </c>
      <c r="L1068" s="2">
        <v>0.82820000000000005</v>
      </c>
      <c r="M1068" s="2">
        <v>0.87570000000000003</v>
      </c>
      <c r="N1068" s="2">
        <v>0.92310000000000003</v>
      </c>
      <c r="O1068" s="2">
        <v>0.97060000000000002</v>
      </c>
      <c r="P1068" s="2">
        <v>1.0181</v>
      </c>
      <c r="Q1068" s="2">
        <v>1.0656000000000001</v>
      </c>
      <c r="R1068" t="s">
        <v>6</v>
      </c>
      <c r="S1068" t="s">
        <v>127</v>
      </c>
    </row>
    <row r="1069" spans="1:19" x14ac:dyDescent="0.25">
      <c r="B1069" t="s">
        <v>7</v>
      </c>
      <c r="C1069" s="2">
        <v>1.0586</v>
      </c>
      <c r="D1069" s="2">
        <v>1.1308</v>
      </c>
      <c r="E1069" s="2">
        <v>1.2030000000000001</v>
      </c>
      <c r="F1069" s="2">
        <v>1.2991999999999999</v>
      </c>
      <c r="G1069" s="2">
        <v>1.3714</v>
      </c>
      <c r="H1069" s="2">
        <v>1.4556</v>
      </c>
      <c r="I1069" s="2">
        <v>1.5639000000000001</v>
      </c>
      <c r="J1069" s="2">
        <v>1.6721999999999999</v>
      </c>
      <c r="K1069" s="2">
        <v>1.7804</v>
      </c>
      <c r="L1069" s="2">
        <v>1.8887</v>
      </c>
      <c r="M1069" s="2">
        <v>1.9970000000000001</v>
      </c>
      <c r="N1069" s="2">
        <v>2.1053000000000002</v>
      </c>
      <c r="O1069" s="2">
        <v>2.2134999999999998</v>
      </c>
      <c r="P1069" s="2">
        <v>2.3218000000000001</v>
      </c>
      <c r="Q1069" s="2">
        <v>2.4300999999999999</v>
      </c>
      <c r="R1069" t="s">
        <v>6</v>
      </c>
      <c r="S1069" t="s">
        <v>127</v>
      </c>
    </row>
    <row r="1070" spans="1:19" x14ac:dyDescent="0.25">
      <c r="B1070" t="s">
        <v>133</v>
      </c>
      <c r="C1070" s="2">
        <v>0.43859999999999999</v>
      </c>
      <c r="D1070" s="2">
        <v>0.4743</v>
      </c>
      <c r="E1070" s="2">
        <v>0.51</v>
      </c>
      <c r="F1070" s="2">
        <v>0.56100000000000005</v>
      </c>
      <c r="G1070" s="2">
        <v>0.59670000000000001</v>
      </c>
      <c r="H1070" s="2">
        <v>0.63749999999999996</v>
      </c>
      <c r="I1070" s="2">
        <v>0.69359999999999999</v>
      </c>
      <c r="J1070" s="2">
        <v>0.74970000000000003</v>
      </c>
      <c r="K1070" s="2">
        <v>0.80579999999999996</v>
      </c>
      <c r="L1070" s="2">
        <v>0.86699999999999999</v>
      </c>
      <c r="M1070" s="2">
        <v>0.92820000000000003</v>
      </c>
      <c r="N1070" s="2">
        <v>0.98939999999999995</v>
      </c>
      <c r="O1070" s="2">
        <v>1.0506</v>
      </c>
      <c r="P1070" s="2">
        <v>1.1117999999999999</v>
      </c>
      <c r="Q1070" s="2">
        <v>1.173</v>
      </c>
      <c r="R1070" t="s">
        <v>5</v>
      </c>
      <c r="S1070" t="s">
        <v>127</v>
      </c>
    </row>
    <row r="1071" spans="1:19" x14ac:dyDescent="0.25">
      <c r="B1071" t="s">
        <v>134</v>
      </c>
      <c r="C1071" s="2">
        <v>1.24</v>
      </c>
      <c r="D1071" s="2">
        <v>1.333</v>
      </c>
      <c r="E1071" s="2">
        <v>1.4259999999999999</v>
      </c>
      <c r="F1071" s="2">
        <v>1.55</v>
      </c>
      <c r="G1071" s="2">
        <v>1.643</v>
      </c>
      <c r="H1071" s="2">
        <v>1.736</v>
      </c>
      <c r="I1071" s="2">
        <v>1.86</v>
      </c>
      <c r="J1071" s="2">
        <v>1.984</v>
      </c>
      <c r="K1071" s="2">
        <v>2.1080000000000001</v>
      </c>
      <c r="L1071" s="2">
        <v>2.2320000000000002</v>
      </c>
      <c r="M1071" s="2">
        <v>2.3559999999999999</v>
      </c>
      <c r="N1071" s="2">
        <v>2.48</v>
      </c>
      <c r="O1071" s="2">
        <v>2.6349999999999998</v>
      </c>
      <c r="P1071" s="2">
        <v>2.79</v>
      </c>
      <c r="Q1071" s="2">
        <v>2.9449999999999998</v>
      </c>
      <c r="R1071" t="s">
        <v>5</v>
      </c>
      <c r="S1071" t="s">
        <v>127</v>
      </c>
    </row>
    <row r="1072" spans="1:19" x14ac:dyDescent="0.25">
      <c r="B1072" t="s">
        <v>364</v>
      </c>
      <c r="C1072" s="2">
        <v>0.16400000000000001</v>
      </c>
      <c r="D1072" s="2">
        <v>0.17630000000000001</v>
      </c>
      <c r="E1072" s="2">
        <v>0.18859999999999999</v>
      </c>
      <c r="F1072" s="2">
        <v>0.20499999999999999</v>
      </c>
      <c r="G1072" s="2">
        <v>0.21729999999999999</v>
      </c>
      <c r="H1072" s="2">
        <v>0.2296</v>
      </c>
      <c r="I1072" s="2">
        <v>0.246</v>
      </c>
      <c r="J1072" s="2">
        <v>0.26240000000000002</v>
      </c>
      <c r="K1072" s="2">
        <v>0.27879999999999999</v>
      </c>
      <c r="L1072" s="2">
        <v>0.29520000000000002</v>
      </c>
      <c r="M1072" s="2">
        <v>0.31159999999999999</v>
      </c>
      <c r="N1072" s="2">
        <v>0.32800000000000001</v>
      </c>
      <c r="O1072" s="2">
        <v>0.34849999999999998</v>
      </c>
      <c r="P1072" s="2">
        <v>0.36899999999999999</v>
      </c>
      <c r="Q1072" s="2">
        <v>0.38950000000000001</v>
      </c>
      <c r="R1072" t="s">
        <v>5</v>
      </c>
      <c r="S1072" t="s">
        <v>127</v>
      </c>
    </row>
    <row r="1073" spans="2:19" x14ac:dyDescent="0.25">
      <c r="B1073" t="s">
        <v>155</v>
      </c>
      <c r="C1073" s="2">
        <v>0.56830000000000003</v>
      </c>
      <c r="D1073" s="2">
        <v>0.61450000000000005</v>
      </c>
      <c r="E1073" s="2">
        <v>0.66080000000000005</v>
      </c>
      <c r="F1073" s="2">
        <v>0.72689999999999999</v>
      </c>
      <c r="G1073" s="2">
        <v>0.77310000000000001</v>
      </c>
      <c r="H1073" s="2">
        <v>0.82599999999999996</v>
      </c>
      <c r="I1073" s="2">
        <v>0.89870000000000005</v>
      </c>
      <c r="J1073" s="2">
        <v>0.97140000000000004</v>
      </c>
      <c r="K1073" s="2">
        <v>1.0441</v>
      </c>
      <c r="L1073" s="2">
        <v>1.1234</v>
      </c>
      <c r="M1073" s="2">
        <v>1.2027000000000001</v>
      </c>
      <c r="N1073" s="2">
        <v>1.282</v>
      </c>
      <c r="O1073" s="2">
        <v>1.3612</v>
      </c>
      <c r="P1073" s="2">
        <v>1.4404999999999999</v>
      </c>
      <c r="Q1073" s="2">
        <v>1.5198</v>
      </c>
      <c r="R1073" t="s">
        <v>3</v>
      </c>
      <c r="S1073" t="s">
        <v>127</v>
      </c>
    </row>
    <row r="1074" spans="2:19" x14ac:dyDescent="0.25">
      <c r="B1074" t="s">
        <v>135</v>
      </c>
      <c r="C1074" s="2">
        <v>1.1363000000000001</v>
      </c>
      <c r="D1074" s="2">
        <v>1.2287999999999999</v>
      </c>
      <c r="E1074" s="2">
        <v>1.3212999999999999</v>
      </c>
      <c r="F1074" s="2">
        <v>1.4535</v>
      </c>
      <c r="G1074" s="2">
        <v>1.5459000000000001</v>
      </c>
      <c r="H1074" s="2">
        <v>1.6516999999999999</v>
      </c>
      <c r="I1074" s="2">
        <v>1.7969999999999999</v>
      </c>
      <c r="J1074" s="2">
        <v>1.9422999999999999</v>
      </c>
      <c r="K1074" s="2">
        <v>2.0876999999999999</v>
      </c>
      <c r="L1074" s="2">
        <v>2.2462</v>
      </c>
      <c r="M1074" s="2">
        <v>2.4047999999999998</v>
      </c>
      <c r="N1074" s="2">
        <v>2.5634000000000001</v>
      </c>
      <c r="O1074" s="2">
        <v>2.7219000000000002</v>
      </c>
      <c r="P1074" s="2">
        <v>2.8805000000000001</v>
      </c>
      <c r="Q1074" s="2">
        <v>3.0390000000000001</v>
      </c>
      <c r="R1074" t="s">
        <v>3</v>
      </c>
      <c r="S1074" t="s">
        <v>127</v>
      </c>
    </row>
    <row r="1075" spans="2:19" x14ac:dyDescent="0.25">
      <c r="B1075" t="s">
        <v>136</v>
      </c>
      <c r="C1075" s="2">
        <v>1.4193</v>
      </c>
      <c r="D1075" s="2">
        <v>1.5348999999999999</v>
      </c>
      <c r="E1075" s="2">
        <v>1.6504000000000001</v>
      </c>
      <c r="F1075" s="2">
        <v>1.8153999999999999</v>
      </c>
      <c r="G1075" s="2">
        <v>1.931</v>
      </c>
      <c r="H1075" s="2">
        <v>2.0630000000000002</v>
      </c>
      <c r="I1075" s="2">
        <v>2.2444999999999999</v>
      </c>
      <c r="J1075" s="2">
        <v>2.4260999999999999</v>
      </c>
      <c r="K1075" s="2">
        <v>2.6076000000000001</v>
      </c>
      <c r="L1075" s="2">
        <v>2.8056999999999999</v>
      </c>
      <c r="M1075" s="2">
        <v>3.0036999999999998</v>
      </c>
      <c r="N1075" s="2">
        <v>3.2018</v>
      </c>
      <c r="O1075" s="2">
        <v>3.3997999999999999</v>
      </c>
      <c r="P1075" s="2">
        <v>3.5979000000000001</v>
      </c>
      <c r="Q1075" s="2">
        <v>3.7959000000000001</v>
      </c>
      <c r="R1075" t="s">
        <v>3</v>
      </c>
      <c r="S1075" t="s">
        <v>127</v>
      </c>
    </row>
    <row r="1076" spans="2:19" x14ac:dyDescent="0.25">
      <c r="B1076" t="s">
        <v>163</v>
      </c>
      <c r="C1076" s="2">
        <v>1.272</v>
      </c>
      <c r="D1076" s="2">
        <v>1.3673999999999999</v>
      </c>
      <c r="E1076" s="2">
        <v>1.4628000000000001</v>
      </c>
      <c r="F1076" s="2">
        <v>1.59</v>
      </c>
      <c r="G1076" s="2">
        <v>1.6854</v>
      </c>
      <c r="H1076" s="2">
        <v>1.7807999999999999</v>
      </c>
      <c r="I1076" s="2">
        <v>1.9079999999999999</v>
      </c>
      <c r="J1076" s="2">
        <v>2.0352000000000001</v>
      </c>
      <c r="K1076" s="2">
        <v>2.1623999999999999</v>
      </c>
      <c r="L1076" s="2">
        <v>2.2896000000000001</v>
      </c>
      <c r="M1076" s="2">
        <v>2.4167999999999998</v>
      </c>
      <c r="N1076" s="2">
        <v>2.544</v>
      </c>
      <c r="O1076" s="2">
        <v>2.7029999999999998</v>
      </c>
      <c r="P1076" s="2">
        <v>2.8620000000000001</v>
      </c>
      <c r="Q1076" s="2">
        <v>3.0209999999999999</v>
      </c>
      <c r="R1076" t="s">
        <v>0</v>
      </c>
      <c r="S1076" t="s">
        <v>127</v>
      </c>
    </row>
    <row r="1077" spans="2:19" x14ac:dyDescent="0.25">
      <c r="B1077" t="s">
        <v>365</v>
      </c>
      <c r="C1077" s="2">
        <v>1.22</v>
      </c>
      <c r="D1077" s="2">
        <v>1.3115000000000001</v>
      </c>
      <c r="E1077" s="2">
        <v>1.403</v>
      </c>
      <c r="F1077" s="2">
        <v>1.5249999999999999</v>
      </c>
      <c r="G1077" s="2">
        <v>1.6165</v>
      </c>
      <c r="H1077" s="2">
        <v>1.708</v>
      </c>
      <c r="I1077" s="2">
        <v>1.83</v>
      </c>
      <c r="J1077" s="2">
        <v>1.952</v>
      </c>
      <c r="K1077" s="2">
        <v>2.0739999999999998</v>
      </c>
      <c r="L1077" s="2">
        <v>2.1960000000000002</v>
      </c>
      <c r="M1077" s="2">
        <v>2.3180000000000001</v>
      </c>
      <c r="N1077" s="2">
        <v>2.44</v>
      </c>
      <c r="O1077" s="2">
        <v>2.5924999999999998</v>
      </c>
      <c r="P1077" s="2">
        <v>2.7450000000000001</v>
      </c>
      <c r="Q1077" s="2">
        <v>2.8975</v>
      </c>
      <c r="R1077" t="s">
        <v>0</v>
      </c>
      <c r="S1077" t="s">
        <v>127</v>
      </c>
    </row>
    <row r="1078" spans="2:19" x14ac:dyDescent="0.25">
      <c r="B1078" t="s">
        <v>376</v>
      </c>
      <c r="C1078" s="2">
        <v>0.42768</v>
      </c>
      <c r="D1078" s="2">
        <v>0.45683999999999997</v>
      </c>
      <c r="E1078" s="2">
        <v>0.48599999999999999</v>
      </c>
      <c r="F1078" s="2">
        <v>0.52488000000000001</v>
      </c>
      <c r="G1078" s="2">
        <v>0.55403999999999998</v>
      </c>
      <c r="H1078" s="2">
        <v>0.58811999999999998</v>
      </c>
      <c r="I1078" s="2">
        <v>0.63179999999999992</v>
      </c>
      <c r="J1078" s="2">
        <v>0.67547999999999997</v>
      </c>
      <c r="K1078" s="2">
        <v>0.71928000000000003</v>
      </c>
      <c r="L1078" s="2">
        <v>0.76307999999999998</v>
      </c>
      <c r="M1078" s="2">
        <v>0.80676000000000003</v>
      </c>
      <c r="N1078" s="2">
        <v>0.85055999999999998</v>
      </c>
      <c r="O1078" s="2">
        <v>0.89423999999999992</v>
      </c>
      <c r="P1078" s="2">
        <v>0.93803999999999987</v>
      </c>
      <c r="Q1078" s="2">
        <v>0.98172000000000004</v>
      </c>
      <c r="R1078" t="s">
        <v>6</v>
      </c>
      <c r="S1078" t="s">
        <v>127</v>
      </c>
    </row>
    <row r="1079" spans="2:19" x14ac:dyDescent="0.25">
      <c r="B1079" t="s">
        <v>377</v>
      </c>
      <c r="C1079" s="2">
        <v>0.41027999999999998</v>
      </c>
      <c r="D1079" s="2">
        <v>0.43824000000000002</v>
      </c>
      <c r="E1079" s="2">
        <v>0.4662</v>
      </c>
      <c r="F1079" s="2">
        <v>0.50351999999999997</v>
      </c>
      <c r="G1079" s="2">
        <v>0.53147999999999995</v>
      </c>
      <c r="H1079" s="2">
        <v>0.56411999999999995</v>
      </c>
      <c r="I1079" s="2">
        <v>0.60605999999999993</v>
      </c>
      <c r="J1079" s="2">
        <v>0.64800000000000002</v>
      </c>
      <c r="K1079" s="2">
        <v>0.69</v>
      </c>
      <c r="L1079" s="2">
        <v>0.73193999999999992</v>
      </c>
      <c r="M1079" s="2">
        <v>0.77388000000000001</v>
      </c>
      <c r="N1079" s="2">
        <v>0.81587999999999994</v>
      </c>
      <c r="O1079" s="2">
        <v>0.85781999999999992</v>
      </c>
      <c r="P1079" s="2">
        <v>0.89976</v>
      </c>
      <c r="Q1079" s="2">
        <v>0.94169999999999987</v>
      </c>
      <c r="R1079" t="s">
        <v>6</v>
      </c>
      <c r="S1079" t="s">
        <v>127</v>
      </c>
    </row>
    <row r="1080" spans="2:19" x14ac:dyDescent="0.25">
      <c r="B1080" t="s">
        <v>378</v>
      </c>
      <c r="C1080" s="2">
        <v>0.53334000000000004</v>
      </c>
      <c r="D1080" s="2">
        <v>0.56969999999999998</v>
      </c>
      <c r="E1080" s="2">
        <v>0.60605999999999993</v>
      </c>
      <c r="F1080" s="2">
        <v>0.65454000000000001</v>
      </c>
      <c r="G1080" s="2">
        <v>0.69089999999999996</v>
      </c>
      <c r="H1080" s="2">
        <v>0.73331999999999997</v>
      </c>
      <c r="I1080" s="2">
        <v>0.78785999999999989</v>
      </c>
      <c r="J1080" s="2">
        <v>0.84239999999999993</v>
      </c>
      <c r="K1080" s="2">
        <v>0.89693999999999996</v>
      </c>
      <c r="L1080" s="2">
        <v>0.95154000000000005</v>
      </c>
      <c r="M1080" s="2">
        <v>1.0060800000000001</v>
      </c>
      <c r="N1080" s="2">
        <v>1.0606199999999999</v>
      </c>
      <c r="O1080" s="2">
        <v>1.1151599999999999</v>
      </c>
      <c r="P1080" s="2">
        <v>1.1697</v>
      </c>
      <c r="Q1080" s="2">
        <v>1.22424</v>
      </c>
      <c r="R1080" t="s">
        <v>6</v>
      </c>
      <c r="S1080" t="s">
        <v>127</v>
      </c>
    </row>
    <row r="1081" spans="2:19" x14ac:dyDescent="0.25">
      <c r="B1081" t="s">
        <v>379</v>
      </c>
      <c r="C1081" s="2">
        <v>0.55703999999999998</v>
      </c>
      <c r="D1081" s="2">
        <v>0.59507999999999994</v>
      </c>
      <c r="E1081" s="2">
        <v>0.6329999999999999</v>
      </c>
      <c r="F1081" s="2">
        <v>0.68363999999999991</v>
      </c>
      <c r="G1081" s="2">
        <v>0.72167999999999999</v>
      </c>
      <c r="H1081" s="2">
        <v>0.76595999999999997</v>
      </c>
      <c r="I1081" s="2">
        <v>0.82295999999999991</v>
      </c>
      <c r="J1081" s="2">
        <v>0.87983999999999996</v>
      </c>
      <c r="K1081" s="2">
        <v>0.9368399999999999</v>
      </c>
      <c r="L1081" s="2">
        <v>0.99384000000000006</v>
      </c>
      <c r="M1081" s="2">
        <v>1.05084</v>
      </c>
      <c r="N1081" s="2">
        <v>1.10772</v>
      </c>
      <c r="O1081" s="2">
        <v>1.16472</v>
      </c>
      <c r="P1081" s="2">
        <v>1.2217199999999999</v>
      </c>
      <c r="Q1081" s="2">
        <v>1.2787200000000001</v>
      </c>
      <c r="R1081" t="s">
        <v>6</v>
      </c>
      <c r="S1081" t="s">
        <v>127</v>
      </c>
    </row>
    <row r="1082" spans="2:19" x14ac:dyDescent="0.25">
      <c r="B1082" t="s">
        <v>380</v>
      </c>
      <c r="C1082" s="2">
        <v>0.63515999999999995</v>
      </c>
      <c r="D1082" s="2">
        <v>0.67847999999999997</v>
      </c>
      <c r="E1082" s="2">
        <v>0.7218</v>
      </c>
      <c r="F1082" s="2">
        <v>0.77951999999999988</v>
      </c>
      <c r="G1082" s="2">
        <v>0.8228399999999999</v>
      </c>
      <c r="H1082" s="2">
        <v>0.87336000000000003</v>
      </c>
      <c r="I1082" s="2">
        <v>0.93833999999999995</v>
      </c>
      <c r="J1082" s="2">
        <v>1.00332</v>
      </c>
      <c r="K1082" s="2">
        <v>1.0682399999999999</v>
      </c>
      <c r="L1082" s="2">
        <v>1.1332199999999999</v>
      </c>
      <c r="M1082" s="2">
        <v>1.1981999999999999</v>
      </c>
      <c r="N1082" s="2">
        <v>1.26318</v>
      </c>
      <c r="O1082" s="2">
        <v>1.3280999999999998</v>
      </c>
      <c r="P1082" s="2">
        <v>1.3930800000000001</v>
      </c>
      <c r="Q1082" s="2">
        <v>1.4580599999999999</v>
      </c>
      <c r="R1082" t="s">
        <v>6</v>
      </c>
      <c r="S1082" t="s">
        <v>127</v>
      </c>
    </row>
    <row r="1083" spans="2:19" x14ac:dyDescent="0.25">
      <c r="B1083" s="3" t="s">
        <v>771</v>
      </c>
      <c r="C1083" s="23"/>
      <c r="D1083" s="23"/>
      <c r="E1083" s="23"/>
      <c r="F1083" s="23"/>
      <c r="G1083" s="23"/>
      <c r="H1083" s="23"/>
      <c r="I1083" s="23"/>
      <c r="J1083" s="23"/>
      <c r="K1083" s="23"/>
      <c r="L1083" s="23"/>
      <c r="M1083" s="23"/>
      <c r="N1083" s="23"/>
      <c r="O1083" s="23"/>
      <c r="P1083" s="23"/>
      <c r="Q1083" s="23"/>
      <c r="R1083" s="5" t="s">
        <v>771</v>
      </c>
      <c r="S1083" t="s">
        <v>772</v>
      </c>
    </row>
    <row r="1084" spans="2:19" x14ac:dyDescent="0.25">
      <c r="B1084" s="3" t="s">
        <v>390</v>
      </c>
      <c r="C1084" s="23"/>
      <c r="D1084" s="23"/>
      <c r="E1084" s="23"/>
      <c r="F1084" s="23"/>
      <c r="G1084" s="23"/>
      <c r="H1084" s="23"/>
      <c r="I1084" s="23"/>
      <c r="J1084" s="23"/>
      <c r="K1084" s="23"/>
      <c r="L1084" s="23"/>
      <c r="M1084" s="23"/>
      <c r="N1084" s="23"/>
      <c r="O1084" s="23"/>
      <c r="P1084" s="23"/>
      <c r="Q1084" s="23"/>
      <c r="R1084" s="5" t="s">
        <v>396</v>
      </c>
      <c r="S1084" t="s">
        <v>69</v>
      </c>
    </row>
    <row r="1085" spans="2:19" x14ac:dyDescent="0.25">
      <c r="B1085" s="3" t="s">
        <v>392</v>
      </c>
      <c r="C1085" s="23"/>
      <c r="D1085" s="23"/>
      <c r="E1085" s="23"/>
      <c r="F1085" s="23"/>
      <c r="G1085" s="23"/>
      <c r="H1085" s="23"/>
      <c r="I1085" s="23"/>
      <c r="J1085" s="23"/>
      <c r="K1085" s="23"/>
      <c r="L1085" s="23"/>
      <c r="M1085" s="23"/>
      <c r="N1085" s="23"/>
      <c r="O1085" s="23"/>
      <c r="P1085" s="23"/>
      <c r="Q1085" s="23"/>
      <c r="R1085" s="5" t="s">
        <v>396</v>
      </c>
      <c r="S1085" t="s">
        <v>69</v>
      </c>
    </row>
    <row r="1086" spans="2:19" x14ac:dyDescent="0.25">
      <c r="B1086" s="3" t="s">
        <v>393</v>
      </c>
      <c r="C1086" s="23"/>
      <c r="D1086" s="23"/>
      <c r="E1086" s="23"/>
      <c r="F1086" s="23"/>
      <c r="G1086" s="23"/>
      <c r="H1086" s="23"/>
      <c r="I1086" s="23"/>
      <c r="J1086" s="23"/>
      <c r="K1086" s="23"/>
      <c r="L1086" s="23"/>
      <c r="M1086" s="23"/>
      <c r="N1086" s="23"/>
      <c r="O1086" s="23"/>
      <c r="P1086" s="23"/>
      <c r="Q1086" s="23"/>
      <c r="R1086" s="5" t="s">
        <v>396</v>
      </c>
      <c r="S1086" t="s">
        <v>69</v>
      </c>
    </row>
    <row r="1087" spans="2:19" x14ac:dyDescent="0.25">
      <c r="B1087" s="3" t="s">
        <v>389</v>
      </c>
      <c r="C1087" s="23"/>
      <c r="D1087" s="23"/>
      <c r="E1087" s="23"/>
      <c r="F1087" s="23"/>
      <c r="G1087" s="23"/>
      <c r="H1087" s="23"/>
      <c r="I1087" s="23"/>
      <c r="J1087" s="23"/>
      <c r="K1087" s="23"/>
      <c r="L1087" s="23"/>
      <c r="M1087" s="23"/>
      <c r="N1087" s="23"/>
      <c r="O1087" s="23"/>
      <c r="P1087" s="23"/>
      <c r="Q1087" s="23"/>
      <c r="R1087" s="5" t="s">
        <v>396</v>
      </c>
      <c r="S1087" t="s">
        <v>69</v>
      </c>
    </row>
    <row r="1088" spans="2:19" x14ac:dyDescent="0.25">
      <c r="B1088" s="3" t="s">
        <v>391</v>
      </c>
      <c r="C1088" s="23"/>
      <c r="D1088" s="23"/>
      <c r="E1088" s="23"/>
      <c r="F1088" s="23"/>
      <c r="G1088" s="23"/>
      <c r="H1088" s="23"/>
      <c r="I1088" s="23"/>
      <c r="J1088" s="23"/>
      <c r="K1088" s="23"/>
      <c r="L1088" s="23"/>
      <c r="M1088" s="23"/>
      <c r="N1088" s="23"/>
      <c r="O1088" s="23"/>
      <c r="P1088" s="23"/>
      <c r="Q1088" s="23"/>
      <c r="R1088" s="5" t="s">
        <v>396</v>
      </c>
      <c r="S1088" t="s">
        <v>69</v>
      </c>
    </row>
    <row r="1089" spans="1:19" x14ac:dyDescent="0.25">
      <c r="B1089" s="3" t="s">
        <v>394</v>
      </c>
      <c r="C1089" s="23"/>
      <c r="D1089" s="23"/>
      <c r="E1089" s="23"/>
      <c r="F1089" s="23"/>
      <c r="G1089" s="23"/>
      <c r="H1089" s="23"/>
      <c r="I1089" s="23"/>
      <c r="J1089" s="23"/>
      <c r="K1089" s="23"/>
      <c r="L1089" s="23"/>
      <c r="M1089" s="23"/>
      <c r="N1089" s="23"/>
      <c r="O1089" s="23"/>
      <c r="P1089" s="23"/>
      <c r="Q1089" s="23"/>
      <c r="R1089" s="5" t="s">
        <v>396</v>
      </c>
      <c r="S1089" t="s">
        <v>69</v>
      </c>
    </row>
    <row r="1090" spans="1:19" x14ac:dyDescent="0.25">
      <c r="B1090" s="3" t="s">
        <v>395</v>
      </c>
      <c r="C1090" s="23"/>
      <c r="D1090" s="23"/>
      <c r="E1090" s="23"/>
      <c r="F1090" s="23"/>
      <c r="G1090" s="23"/>
      <c r="H1090" s="23"/>
      <c r="I1090" s="23"/>
      <c r="J1090" s="23"/>
      <c r="K1090" s="23"/>
      <c r="L1090" s="23"/>
      <c r="M1090" s="23"/>
      <c r="N1090" s="23"/>
      <c r="O1090" s="23"/>
      <c r="P1090" s="23"/>
      <c r="Q1090" s="23"/>
      <c r="R1090" s="5" t="s">
        <v>396</v>
      </c>
      <c r="S1090" t="s">
        <v>69</v>
      </c>
    </row>
    <row r="1091" spans="1:19" x14ac:dyDescent="0.25">
      <c r="A1091" t="s">
        <v>911</v>
      </c>
      <c r="B1091" s="3" t="s">
        <v>397</v>
      </c>
      <c r="C1091" s="23"/>
      <c r="D1091" s="23"/>
      <c r="E1091" s="23"/>
      <c r="F1091" s="23"/>
      <c r="G1091" s="23"/>
      <c r="H1091" s="23"/>
      <c r="I1091" s="23"/>
      <c r="J1091" s="23"/>
      <c r="K1091" s="23"/>
      <c r="L1091" s="23"/>
      <c r="M1091" s="23"/>
      <c r="N1091" s="23"/>
      <c r="O1091" s="23"/>
      <c r="P1091" s="23"/>
      <c r="Q1091" s="23"/>
      <c r="R1091" s="5" t="s">
        <v>396</v>
      </c>
      <c r="S1091" t="s">
        <v>69</v>
      </c>
    </row>
    <row r="1092" spans="1:19" x14ac:dyDescent="0.25">
      <c r="B1092" t="s">
        <v>366</v>
      </c>
      <c r="C1092" s="21">
        <v>1</v>
      </c>
      <c r="D1092" s="21">
        <v>2</v>
      </c>
      <c r="E1092" s="21">
        <v>3</v>
      </c>
      <c r="F1092" s="21">
        <v>4</v>
      </c>
      <c r="G1092" s="21">
        <v>5</v>
      </c>
      <c r="H1092" s="21">
        <v>6</v>
      </c>
      <c r="I1092" s="21">
        <v>7</v>
      </c>
      <c r="J1092" s="21">
        <v>8</v>
      </c>
      <c r="K1092" s="21">
        <v>9</v>
      </c>
      <c r="L1092" s="21">
        <v>10</v>
      </c>
      <c r="M1092" s="21">
        <v>11</v>
      </c>
      <c r="N1092" s="21">
        <v>12</v>
      </c>
      <c r="O1092" s="21">
        <v>13</v>
      </c>
      <c r="P1092" s="21">
        <v>14</v>
      </c>
      <c r="Q1092" s="21">
        <v>15</v>
      </c>
      <c r="R1092" s="5" t="s">
        <v>11</v>
      </c>
      <c r="S1092" t="s">
        <v>126</v>
      </c>
    </row>
    <row r="1093" spans="1:19" x14ac:dyDescent="0.25">
      <c r="A1093" t="s">
        <v>912</v>
      </c>
      <c r="B1093" t="s">
        <v>10</v>
      </c>
      <c r="C1093" s="2">
        <v>0.30769999999999997</v>
      </c>
      <c r="D1093" s="2">
        <v>0.3327</v>
      </c>
      <c r="E1093" s="2">
        <v>0.35780000000000001</v>
      </c>
      <c r="F1093" s="2">
        <v>0.39360000000000001</v>
      </c>
      <c r="G1093" s="2">
        <v>0.41860000000000003</v>
      </c>
      <c r="H1093" s="2">
        <v>0.44719999999999999</v>
      </c>
      <c r="I1093" s="2">
        <v>0.48659999999999998</v>
      </c>
      <c r="J1093" s="2">
        <v>0.52590000000000003</v>
      </c>
      <c r="K1093" s="2">
        <v>0.56530000000000002</v>
      </c>
      <c r="L1093" s="2">
        <v>0.60819999999999996</v>
      </c>
      <c r="M1093" s="2">
        <v>0.65739999999999998</v>
      </c>
      <c r="N1093" s="2">
        <v>0.71530000000000005</v>
      </c>
      <c r="O1093" s="2">
        <v>0.77310000000000001</v>
      </c>
      <c r="P1093" s="2">
        <v>0.83099999999999996</v>
      </c>
      <c r="Q1093" s="2">
        <v>0.89410000000000001</v>
      </c>
      <c r="R1093" t="s">
        <v>6</v>
      </c>
      <c r="S1093" t="s">
        <v>127</v>
      </c>
    </row>
    <row r="1094" spans="1:19" x14ac:dyDescent="0.25">
      <c r="B1094" t="s">
        <v>9</v>
      </c>
      <c r="C1094" s="2">
        <v>0.3115</v>
      </c>
      <c r="D1094" s="2">
        <v>0.33689999999999998</v>
      </c>
      <c r="E1094" s="2">
        <v>0.36220000000000002</v>
      </c>
      <c r="F1094" s="2">
        <v>0.39850000000000002</v>
      </c>
      <c r="G1094" s="2">
        <v>0.42380000000000001</v>
      </c>
      <c r="H1094" s="2">
        <v>0.45279999999999998</v>
      </c>
      <c r="I1094" s="2">
        <v>0.49259999999999998</v>
      </c>
      <c r="J1094" s="2">
        <v>0.53249999999999997</v>
      </c>
      <c r="K1094" s="2">
        <v>0.57230000000000003</v>
      </c>
      <c r="L1094" s="2">
        <v>0.61580000000000001</v>
      </c>
      <c r="M1094" s="2">
        <v>0.66559999999999997</v>
      </c>
      <c r="N1094" s="2">
        <v>0.72419999999999995</v>
      </c>
      <c r="O1094" s="2">
        <v>0.78269999999999995</v>
      </c>
      <c r="P1094" s="2">
        <v>0.84130000000000005</v>
      </c>
      <c r="Q1094" s="2">
        <v>0.9052</v>
      </c>
      <c r="R1094" t="s">
        <v>6</v>
      </c>
      <c r="S1094" t="s">
        <v>127</v>
      </c>
    </row>
    <row r="1095" spans="1:19" x14ac:dyDescent="0.25">
      <c r="B1095" t="s">
        <v>8</v>
      </c>
      <c r="C1095" s="2">
        <v>0.38579999999999998</v>
      </c>
      <c r="D1095" s="2">
        <v>0.41720000000000002</v>
      </c>
      <c r="E1095" s="2">
        <v>0.4486</v>
      </c>
      <c r="F1095" s="2">
        <v>0.49340000000000001</v>
      </c>
      <c r="G1095" s="2">
        <v>0.52480000000000004</v>
      </c>
      <c r="H1095" s="2">
        <v>0.56069999999999998</v>
      </c>
      <c r="I1095" s="2">
        <v>0.61</v>
      </c>
      <c r="J1095" s="2">
        <v>0.65939999999999999</v>
      </c>
      <c r="K1095" s="2">
        <v>0.7087</v>
      </c>
      <c r="L1095" s="2">
        <v>0.76259999999999994</v>
      </c>
      <c r="M1095" s="2">
        <v>0.82420000000000004</v>
      </c>
      <c r="N1095" s="2">
        <v>0.89680000000000004</v>
      </c>
      <c r="O1095" s="2">
        <v>0.96930000000000005</v>
      </c>
      <c r="P1095" s="2">
        <v>1.0418000000000001</v>
      </c>
      <c r="Q1095" s="2">
        <v>1.121</v>
      </c>
      <c r="R1095" t="s">
        <v>6</v>
      </c>
      <c r="S1095" t="s">
        <v>127</v>
      </c>
    </row>
    <row r="1096" spans="1:19" x14ac:dyDescent="0.25">
      <c r="B1096" t="s">
        <v>13</v>
      </c>
      <c r="C1096" s="2">
        <v>0.4294</v>
      </c>
      <c r="D1096" s="2">
        <v>0.46429999999999999</v>
      </c>
      <c r="E1096" s="2">
        <v>0.49930000000000002</v>
      </c>
      <c r="F1096" s="2">
        <v>0.54920000000000002</v>
      </c>
      <c r="G1096" s="2">
        <v>0.58420000000000005</v>
      </c>
      <c r="H1096" s="2">
        <v>0.62409999999999999</v>
      </c>
      <c r="I1096" s="2">
        <v>0.67900000000000005</v>
      </c>
      <c r="J1096" s="2">
        <v>0.73399999999999999</v>
      </c>
      <c r="K1096" s="2">
        <v>0.78890000000000005</v>
      </c>
      <c r="L1096" s="2">
        <v>0.8488</v>
      </c>
      <c r="M1096" s="2">
        <v>0.91739999999999999</v>
      </c>
      <c r="N1096" s="2">
        <v>0.99819999999999998</v>
      </c>
      <c r="O1096" s="2">
        <v>1.0789</v>
      </c>
      <c r="P1096" s="2">
        <v>1.1597</v>
      </c>
      <c r="Q1096" s="2">
        <v>1.2477</v>
      </c>
      <c r="R1096" t="s">
        <v>6</v>
      </c>
      <c r="S1096" t="s">
        <v>127</v>
      </c>
    </row>
    <row r="1097" spans="1:19" x14ac:dyDescent="0.25">
      <c r="B1097" t="s">
        <v>367</v>
      </c>
      <c r="C1097" s="2">
        <v>0.1075</v>
      </c>
      <c r="D1097" s="2">
        <v>0.1163</v>
      </c>
      <c r="E1097" s="2">
        <v>0.125</v>
      </c>
      <c r="F1097" s="2">
        <v>0.13750000000000001</v>
      </c>
      <c r="G1097" s="2">
        <v>0.14630000000000001</v>
      </c>
      <c r="H1097" s="2">
        <v>0.15629999999999999</v>
      </c>
      <c r="I1097" s="2">
        <v>0.17</v>
      </c>
      <c r="J1097" s="2">
        <v>0.18379999999999999</v>
      </c>
      <c r="K1097" s="2">
        <v>0.19750000000000001</v>
      </c>
      <c r="L1097" s="2">
        <v>0.21249999999999999</v>
      </c>
      <c r="M1097" s="2">
        <v>0.22969999999999999</v>
      </c>
      <c r="N1097" s="2">
        <v>0.24990000000000001</v>
      </c>
      <c r="O1097" s="2">
        <v>0.27010000000000001</v>
      </c>
      <c r="P1097" s="2">
        <v>0.2903</v>
      </c>
      <c r="Q1097" s="2">
        <v>0.31240000000000001</v>
      </c>
      <c r="R1097" t="s">
        <v>6</v>
      </c>
      <c r="S1097" t="s">
        <v>127</v>
      </c>
    </row>
    <row r="1098" spans="1:19" x14ac:dyDescent="0.25">
      <c r="B1098" t="s">
        <v>217</v>
      </c>
      <c r="C1098" s="2">
        <v>0.54500000000000004</v>
      </c>
      <c r="D1098" s="2">
        <v>0.58930000000000005</v>
      </c>
      <c r="E1098" s="2">
        <v>0.63370000000000004</v>
      </c>
      <c r="F1098" s="2">
        <v>0.69699999999999995</v>
      </c>
      <c r="G1098" s="2">
        <v>0.74139999999999995</v>
      </c>
      <c r="H1098" s="2">
        <v>0.79210000000000003</v>
      </c>
      <c r="I1098" s="2">
        <v>0.86180000000000001</v>
      </c>
      <c r="J1098" s="2">
        <v>0.93149999999999999</v>
      </c>
      <c r="K1098" s="2">
        <v>1.0012000000000001</v>
      </c>
      <c r="L1098" s="2">
        <v>1.0772999999999999</v>
      </c>
      <c r="M1098" s="2">
        <v>1.1644000000000001</v>
      </c>
      <c r="N1098" s="2">
        <v>1.2668999999999999</v>
      </c>
      <c r="O1098" s="2">
        <v>1.3693</v>
      </c>
      <c r="P1098" s="2">
        <v>1.4718</v>
      </c>
      <c r="Q1098" s="2">
        <v>1.5835999999999999</v>
      </c>
      <c r="R1098" t="s">
        <v>6</v>
      </c>
      <c r="S1098" t="s">
        <v>127</v>
      </c>
    </row>
    <row r="1099" spans="1:19" x14ac:dyDescent="0.25">
      <c r="B1099" t="s">
        <v>14</v>
      </c>
      <c r="C1099" s="2">
        <v>1.1103000000000001</v>
      </c>
      <c r="D1099" s="2">
        <v>1.2005999999999999</v>
      </c>
      <c r="E1099" s="2">
        <v>1.2909999999999999</v>
      </c>
      <c r="F1099" s="2">
        <v>1.4200999999999999</v>
      </c>
      <c r="G1099" s="2">
        <v>1.5105</v>
      </c>
      <c r="H1099" s="2">
        <v>1.6137999999999999</v>
      </c>
      <c r="I1099" s="2">
        <v>1.7558</v>
      </c>
      <c r="J1099" s="2">
        <v>1.8977999999999999</v>
      </c>
      <c r="K1099" s="2">
        <v>2.0398000000000001</v>
      </c>
      <c r="L1099" s="2">
        <v>2.1947000000000001</v>
      </c>
      <c r="M1099" s="2">
        <v>2.3721999999999999</v>
      </c>
      <c r="N1099" s="2">
        <v>2.581</v>
      </c>
      <c r="O1099" s="2">
        <v>2.7896999999999998</v>
      </c>
      <c r="P1099" s="2">
        <v>2.9984999999999999</v>
      </c>
      <c r="Q1099" s="2">
        <v>3.2262</v>
      </c>
      <c r="R1099" t="s">
        <v>5</v>
      </c>
      <c r="S1099" t="s">
        <v>127</v>
      </c>
    </row>
    <row r="1100" spans="1:19" x14ac:dyDescent="0.25">
      <c r="B1100" t="s">
        <v>155</v>
      </c>
      <c r="C1100" s="2">
        <v>0.63929999999999998</v>
      </c>
      <c r="D1100" s="2">
        <v>0.69140000000000001</v>
      </c>
      <c r="E1100" s="2">
        <v>0.74339999999999995</v>
      </c>
      <c r="F1100" s="2">
        <v>0.81769999999999998</v>
      </c>
      <c r="G1100" s="2">
        <v>0.86980000000000002</v>
      </c>
      <c r="H1100" s="2">
        <v>0.92930000000000001</v>
      </c>
      <c r="I1100" s="2">
        <v>1.0109999999999999</v>
      </c>
      <c r="J1100" s="2">
        <v>1.0928</v>
      </c>
      <c r="K1100" s="2">
        <v>1.1746000000000001</v>
      </c>
      <c r="L1100" s="2">
        <v>1.2638</v>
      </c>
      <c r="M1100" s="2">
        <v>1.353</v>
      </c>
      <c r="N1100" s="2">
        <v>1.4421999999999999</v>
      </c>
      <c r="O1100" s="2">
        <v>1.5314000000000001</v>
      </c>
      <c r="P1100" s="2">
        <v>1.6206</v>
      </c>
      <c r="Q1100" s="2">
        <v>1.7098</v>
      </c>
      <c r="R1100" t="s">
        <v>3</v>
      </c>
      <c r="S1100" t="s">
        <v>127</v>
      </c>
    </row>
    <row r="1101" spans="1:19" x14ac:dyDescent="0.25">
      <c r="B1101" t="s">
        <v>135</v>
      </c>
      <c r="C1101" s="2">
        <v>1.2784</v>
      </c>
      <c r="D1101" s="2">
        <v>1.3824000000000001</v>
      </c>
      <c r="E1101" s="2">
        <v>1.4864999999999999</v>
      </c>
      <c r="F1101" s="2">
        <v>1.6351</v>
      </c>
      <c r="G1101" s="2">
        <v>1.7392000000000001</v>
      </c>
      <c r="H1101" s="2">
        <v>1.8581000000000001</v>
      </c>
      <c r="I1101" s="2">
        <v>2.0215999999999998</v>
      </c>
      <c r="J1101" s="2">
        <v>2.1850999999999998</v>
      </c>
      <c r="K1101" s="2">
        <v>2.3485999999999998</v>
      </c>
      <c r="L1101" s="2">
        <v>2.5270000000000001</v>
      </c>
      <c r="M1101" s="2">
        <v>2.7054</v>
      </c>
      <c r="N1101" s="2">
        <v>2.8837999999999999</v>
      </c>
      <c r="O1101" s="2">
        <v>3.0621999999999998</v>
      </c>
      <c r="P1101" s="2">
        <v>3.2404999999999999</v>
      </c>
      <c r="Q1101" s="2">
        <v>3.4188999999999998</v>
      </c>
      <c r="R1101" t="s">
        <v>3</v>
      </c>
      <c r="S1101" t="s">
        <v>127</v>
      </c>
    </row>
    <row r="1102" spans="1:19" x14ac:dyDescent="0.25">
      <c r="B1102" t="s">
        <v>136</v>
      </c>
      <c r="C1102" s="2">
        <v>1.5968</v>
      </c>
      <c r="D1102" s="2">
        <v>1.7266999999999999</v>
      </c>
      <c r="E1102" s="2">
        <v>1.8567</v>
      </c>
      <c r="F1102" s="2">
        <v>2.0424000000000002</v>
      </c>
      <c r="G1102" s="2">
        <v>2.1722999999999999</v>
      </c>
      <c r="H1102" s="2">
        <v>2.3209</v>
      </c>
      <c r="I1102" s="2">
        <v>2.5251000000000001</v>
      </c>
      <c r="J1102" s="2">
        <v>2.7292999999999998</v>
      </c>
      <c r="K1102" s="2">
        <v>2.9336000000000002</v>
      </c>
      <c r="L1102" s="2">
        <v>3.1564000000000001</v>
      </c>
      <c r="M1102" s="2">
        <v>3.3792</v>
      </c>
      <c r="N1102" s="2">
        <v>3.6019999999999999</v>
      </c>
      <c r="O1102" s="2">
        <v>3.8248000000000002</v>
      </c>
      <c r="P1102" s="2">
        <v>4.0476000000000001</v>
      </c>
      <c r="Q1102" s="2">
        <v>4.2704000000000004</v>
      </c>
      <c r="R1102" t="s">
        <v>3</v>
      </c>
      <c r="S1102" t="s">
        <v>127</v>
      </c>
    </row>
    <row r="1103" spans="1:19" x14ac:dyDescent="0.25">
      <c r="B1103" t="s">
        <v>368</v>
      </c>
      <c r="C1103" s="2">
        <v>0.16</v>
      </c>
      <c r="D1103" s="2">
        <v>0.17199999999999999</v>
      </c>
      <c r="E1103" s="2">
        <v>0.184</v>
      </c>
      <c r="F1103" s="2">
        <v>0.2</v>
      </c>
      <c r="G1103" s="2">
        <v>0.21199999999999999</v>
      </c>
      <c r="H1103" s="2">
        <v>0.224</v>
      </c>
      <c r="I1103" s="2">
        <v>0.24</v>
      </c>
      <c r="J1103" s="2">
        <v>0.25600000000000001</v>
      </c>
      <c r="K1103" s="2">
        <v>0.27200000000000002</v>
      </c>
      <c r="L1103" s="2">
        <v>0.28799999999999998</v>
      </c>
      <c r="M1103" s="2">
        <v>0.30399999999999999</v>
      </c>
      <c r="N1103" s="2">
        <v>0.32</v>
      </c>
      <c r="O1103" s="2">
        <v>0.34</v>
      </c>
      <c r="P1103" s="2">
        <v>0.36</v>
      </c>
      <c r="Q1103" s="2">
        <v>0.38</v>
      </c>
      <c r="R1103" t="s">
        <v>19</v>
      </c>
      <c r="S1103" t="s">
        <v>127</v>
      </c>
    </row>
    <row r="1104" spans="1:19" x14ac:dyDescent="0.25">
      <c r="B1104" t="s">
        <v>369</v>
      </c>
      <c r="C1104" s="2">
        <v>0.32</v>
      </c>
      <c r="D1104" s="2">
        <v>0.34399999999999997</v>
      </c>
      <c r="E1104" s="2">
        <v>0.36799999999999999</v>
      </c>
      <c r="F1104" s="2">
        <v>0.4</v>
      </c>
      <c r="G1104" s="2">
        <v>0.42399999999999999</v>
      </c>
      <c r="H1104" s="2">
        <v>0.44800000000000001</v>
      </c>
      <c r="I1104" s="2">
        <v>0.48</v>
      </c>
      <c r="J1104" s="2">
        <v>0.51200000000000001</v>
      </c>
      <c r="K1104" s="2">
        <v>0.54400000000000004</v>
      </c>
      <c r="L1104" s="2">
        <v>0.57599999999999996</v>
      </c>
      <c r="M1104" s="2">
        <v>0.60799999999999998</v>
      </c>
      <c r="N1104" s="2">
        <v>0.64</v>
      </c>
      <c r="O1104" s="2">
        <v>0.68</v>
      </c>
      <c r="P1104" s="2">
        <v>0.72</v>
      </c>
      <c r="Q1104" s="2">
        <v>0.76</v>
      </c>
      <c r="R1104" t="s">
        <v>19</v>
      </c>
      <c r="S1104" t="s">
        <v>127</v>
      </c>
    </row>
    <row r="1105" spans="1:19" x14ac:dyDescent="0.25">
      <c r="B1105" t="s">
        <v>173</v>
      </c>
      <c r="C1105" s="2">
        <v>4.0107999999999997</v>
      </c>
      <c r="D1105" s="2">
        <v>4.4443999999999999</v>
      </c>
      <c r="E1105" s="2">
        <v>4.8780000000000001</v>
      </c>
      <c r="F1105" s="2">
        <v>5.42</v>
      </c>
      <c r="G1105" s="2">
        <v>5.9077999999999999</v>
      </c>
      <c r="H1105" s="2">
        <v>6.3956</v>
      </c>
      <c r="I1105" s="2">
        <v>7.0460000000000003</v>
      </c>
      <c r="J1105" s="2">
        <v>7.6963999999999997</v>
      </c>
      <c r="K1105" s="2">
        <v>8.3468</v>
      </c>
      <c r="L1105" s="2">
        <v>8.9971999999999994</v>
      </c>
      <c r="M1105" s="2">
        <v>9.6476000000000006</v>
      </c>
      <c r="N1105" s="2">
        <v>10.298</v>
      </c>
      <c r="O1105" s="2">
        <v>10.84</v>
      </c>
      <c r="P1105" s="2">
        <v>11.382</v>
      </c>
      <c r="Q1105" s="2">
        <v>11.923999999999999</v>
      </c>
      <c r="R1105" t="s">
        <v>0</v>
      </c>
      <c r="S1105" t="s">
        <v>127</v>
      </c>
    </row>
    <row r="1106" spans="1:19" x14ac:dyDescent="0.25">
      <c r="B1106" t="s">
        <v>370</v>
      </c>
      <c r="C1106" s="29">
        <v>1.3899999999999999E-2</v>
      </c>
      <c r="D1106" s="29">
        <v>1.3899999999999999E-2</v>
      </c>
      <c r="E1106" s="29">
        <v>1.3899999999999999E-2</v>
      </c>
      <c r="F1106" s="29">
        <v>1.3899999999999999E-2</v>
      </c>
      <c r="G1106" s="29">
        <v>1.3899999999999999E-2</v>
      </c>
      <c r="H1106" s="29">
        <v>1.3899999999999999E-2</v>
      </c>
      <c r="I1106" s="29">
        <v>1.3899999999999999E-2</v>
      </c>
      <c r="J1106" s="29">
        <v>1.3899999999999999E-2</v>
      </c>
      <c r="K1106" s="29">
        <v>1.3899999999999999E-2</v>
      </c>
      <c r="L1106" s="29">
        <v>1.3899999999999999E-2</v>
      </c>
      <c r="M1106" s="29">
        <v>1.3899999999999999E-2</v>
      </c>
      <c r="N1106" s="29">
        <v>1.3899999999999999E-2</v>
      </c>
      <c r="O1106" s="29">
        <v>1.3899999999999999E-2</v>
      </c>
      <c r="P1106" s="29">
        <v>1.3899999999999999E-2</v>
      </c>
      <c r="Q1106" s="29">
        <v>1.3899999999999999E-2</v>
      </c>
      <c r="R1106" t="s">
        <v>6</v>
      </c>
      <c r="S1106" t="s">
        <v>226</v>
      </c>
    </row>
    <row r="1107" spans="1:19" x14ac:dyDescent="0.25">
      <c r="B1107" t="s">
        <v>371</v>
      </c>
      <c r="C1107" s="29">
        <v>1.3899999999999999E-2</v>
      </c>
      <c r="D1107" s="29">
        <v>1.3899999999999999E-2</v>
      </c>
      <c r="E1107" s="29">
        <v>1.3899999999999999E-2</v>
      </c>
      <c r="F1107" s="29">
        <v>1.3899999999999999E-2</v>
      </c>
      <c r="G1107" s="29">
        <v>1.3899999999999999E-2</v>
      </c>
      <c r="H1107" s="29">
        <v>1.3899999999999999E-2</v>
      </c>
      <c r="I1107" s="29">
        <v>1.3899999999999999E-2</v>
      </c>
      <c r="J1107" s="29">
        <v>1.3899999999999999E-2</v>
      </c>
      <c r="K1107" s="29">
        <v>1.3899999999999999E-2</v>
      </c>
      <c r="L1107" s="29">
        <v>1.3899999999999999E-2</v>
      </c>
      <c r="M1107" s="29">
        <v>1.3899999999999999E-2</v>
      </c>
      <c r="N1107" s="29">
        <v>1.3899999999999999E-2</v>
      </c>
      <c r="O1107" s="29">
        <v>1.3899999999999999E-2</v>
      </c>
      <c r="P1107" s="29">
        <v>1.3899999999999999E-2</v>
      </c>
      <c r="Q1107" s="29">
        <v>1.3899999999999999E-2</v>
      </c>
      <c r="R1107" t="s">
        <v>5</v>
      </c>
      <c r="S1107" t="s">
        <v>226</v>
      </c>
    </row>
    <row r="1108" spans="1:19" x14ac:dyDescent="0.25">
      <c r="B1108" t="s">
        <v>372</v>
      </c>
      <c r="C1108" s="29">
        <v>1.3899999999999999E-2</v>
      </c>
      <c r="D1108" s="29">
        <v>1.3899999999999999E-2</v>
      </c>
      <c r="E1108" s="29">
        <v>1.3899999999999999E-2</v>
      </c>
      <c r="F1108" s="29">
        <v>1.3899999999999999E-2</v>
      </c>
      <c r="G1108" s="29">
        <v>1.3899999999999999E-2</v>
      </c>
      <c r="H1108" s="29">
        <v>1.3899999999999999E-2</v>
      </c>
      <c r="I1108" s="29">
        <v>1.3899999999999999E-2</v>
      </c>
      <c r="J1108" s="29">
        <v>1.3899999999999999E-2</v>
      </c>
      <c r="K1108" s="29">
        <v>1.3899999999999999E-2</v>
      </c>
      <c r="L1108" s="29">
        <v>1.3899999999999999E-2</v>
      </c>
      <c r="M1108" s="29">
        <v>1.3899999999999999E-2</v>
      </c>
      <c r="N1108" s="29">
        <v>1.3899999999999999E-2</v>
      </c>
      <c r="O1108" s="29">
        <v>1.3899999999999999E-2</v>
      </c>
      <c r="P1108" s="29">
        <v>1.3899999999999999E-2</v>
      </c>
      <c r="Q1108" s="29">
        <v>1.3899999999999999E-2</v>
      </c>
      <c r="R1108" t="s">
        <v>3</v>
      </c>
      <c r="S1108" t="s">
        <v>226</v>
      </c>
    </row>
    <row r="1109" spans="1:19" x14ac:dyDescent="0.25">
      <c r="B1109" t="s">
        <v>373</v>
      </c>
      <c r="C1109" s="29">
        <v>1.9E-2</v>
      </c>
      <c r="D1109" s="29">
        <v>1.9E-2</v>
      </c>
      <c r="E1109" s="29">
        <v>1.9E-2</v>
      </c>
      <c r="F1109" s="29">
        <v>1.9E-2</v>
      </c>
      <c r="G1109" s="29">
        <v>1.9E-2</v>
      </c>
      <c r="H1109" s="29">
        <v>1.9E-2</v>
      </c>
      <c r="I1109" s="29">
        <v>1.9E-2</v>
      </c>
      <c r="J1109" s="29">
        <v>1.9E-2</v>
      </c>
      <c r="K1109" s="29">
        <v>1.9E-2</v>
      </c>
      <c r="L1109" s="29">
        <v>1.9E-2</v>
      </c>
      <c r="M1109" s="29">
        <v>1.9E-2</v>
      </c>
      <c r="N1109" s="29">
        <v>1.9E-2</v>
      </c>
      <c r="O1109" s="29">
        <v>1.9E-2</v>
      </c>
      <c r="P1109" s="29">
        <v>1.9E-2</v>
      </c>
      <c r="Q1109" s="29">
        <v>1.9E-2</v>
      </c>
      <c r="R1109" t="s">
        <v>19</v>
      </c>
      <c r="S1109" t="s">
        <v>226</v>
      </c>
    </row>
    <row r="1110" spans="1:19" x14ac:dyDescent="0.25">
      <c r="B1110" t="s">
        <v>374</v>
      </c>
      <c r="C1110" s="20">
        <v>0.33</v>
      </c>
      <c r="D1110" s="20">
        <v>0.33</v>
      </c>
      <c r="E1110" s="20">
        <v>0.33</v>
      </c>
      <c r="F1110" s="20">
        <v>0.33</v>
      </c>
      <c r="G1110" s="20">
        <v>0.33</v>
      </c>
      <c r="H1110" s="20">
        <v>0.33</v>
      </c>
      <c r="I1110" s="20">
        <v>0.33</v>
      </c>
      <c r="J1110" s="20">
        <v>0.33</v>
      </c>
      <c r="K1110" s="20">
        <v>0.33</v>
      </c>
      <c r="L1110" s="20">
        <v>0.33</v>
      </c>
      <c r="M1110" s="20">
        <v>0.33</v>
      </c>
      <c r="N1110" s="20">
        <v>0.33</v>
      </c>
      <c r="O1110" s="20">
        <v>0.33</v>
      </c>
      <c r="P1110" s="20">
        <v>0.33</v>
      </c>
      <c r="Q1110" s="20">
        <v>0.33</v>
      </c>
      <c r="R1110" t="s">
        <v>0</v>
      </c>
      <c r="S1110" t="s">
        <v>226</v>
      </c>
    </row>
    <row r="1111" spans="1:19" x14ac:dyDescent="0.25">
      <c r="B1111" s="3" t="s">
        <v>771</v>
      </c>
      <c r="C1111" s="23"/>
      <c r="D1111" s="23"/>
      <c r="E1111" s="23"/>
      <c r="F1111" s="23"/>
      <c r="G1111" s="23"/>
      <c r="H1111" s="23"/>
      <c r="I1111" s="23"/>
      <c r="J1111" s="23"/>
      <c r="K1111" s="23"/>
      <c r="L1111" s="23"/>
      <c r="M1111" s="23"/>
      <c r="N1111" s="23"/>
      <c r="O1111" s="23"/>
      <c r="P1111" s="23"/>
      <c r="Q1111" s="23"/>
      <c r="R1111" s="5" t="s">
        <v>771</v>
      </c>
      <c r="S1111" t="s">
        <v>772</v>
      </c>
    </row>
    <row r="1112" spans="1:19" x14ac:dyDescent="0.25">
      <c r="B1112" s="3" t="s">
        <v>390</v>
      </c>
      <c r="C1112" s="23"/>
      <c r="D1112" s="23"/>
      <c r="E1112" s="23"/>
      <c r="F1112" s="23"/>
      <c r="G1112" s="23"/>
      <c r="H1112" s="23"/>
      <c r="I1112" s="23"/>
      <c r="J1112" s="23"/>
      <c r="K1112" s="23"/>
      <c r="L1112" s="23"/>
      <c r="M1112" s="23"/>
      <c r="N1112" s="23"/>
      <c r="O1112" s="23"/>
      <c r="P1112" s="23"/>
      <c r="Q1112" s="23"/>
      <c r="R1112" s="5" t="s">
        <v>396</v>
      </c>
      <c r="S1112" t="s">
        <v>69</v>
      </c>
    </row>
    <row r="1113" spans="1:19" x14ac:dyDescent="0.25">
      <c r="B1113" s="3" t="s">
        <v>392</v>
      </c>
      <c r="C1113" s="23"/>
      <c r="D1113" s="23"/>
      <c r="E1113" s="23"/>
      <c r="F1113" s="23"/>
      <c r="G1113" s="23"/>
      <c r="H1113" s="23"/>
      <c r="I1113" s="23"/>
      <c r="J1113" s="23"/>
      <c r="K1113" s="23"/>
      <c r="L1113" s="23"/>
      <c r="M1113" s="23"/>
      <c r="N1113" s="23"/>
      <c r="O1113" s="23"/>
      <c r="P1113" s="23"/>
      <c r="Q1113" s="23"/>
      <c r="R1113" s="5" t="s">
        <v>396</v>
      </c>
      <c r="S1113" t="s">
        <v>69</v>
      </c>
    </row>
    <row r="1114" spans="1:19" x14ac:dyDescent="0.25">
      <c r="B1114" s="3" t="s">
        <v>393</v>
      </c>
      <c r="C1114" s="23"/>
      <c r="D1114" s="23"/>
      <c r="E1114" s="23"/>
      <c r="F1114" s="23"/>
      <c r="G1114" s="23"/>
      <c r="H1114" s="23"/>
      <c r="I1114" s="23"/>
      <c r="J1114" s="23"/>
      <c r="K1114" s="23"/>
      <c r="L1114" s="23"/>
      <c r="M1114" s="23"/>
      <c r="N1114" s="23"/>
      <c r="O1114" s="23"/>
      <c r="P1114" s="23"/>
      <c r="Q1114" s="23"/>
      <c r="R1114" s="5" t="s">
        <v>396</v>
      </c>
      <c r="S1114" t="s">
        <v>69</v>
      </c>
    </row>
    <row r="1115" spans="1:19" x14ac:dyDescent="0.25">
      <c r="B1115" s="3" t="s">
        <v>389</v>
      </c>
      <c r="C1115" s="23"/>
      <c r="D1115" s="23"/>
      <c r="E1115" s="23"/>
      <c r="F1115" s="23"/>
      <c r="G1115" s="23"/>
      <c r="H1115" s="23"/>
      <c r="I1115" s="23"/>
      <c r="J1115" s="23"/>
      <c r="K1115" s="23"/>
      <c r="L1115" s="23"/>
      <c r="M1115" s="23"/>
      <c r="N1115" s="23"/>
      <c r="O1115" s="23"/>
      <c r="P1115" s="23"/>
      <c r="Q1115" s="23"/>
      <c r="R1115" s="5" t="s">
        <v>396</v>
      </c>
      <c r="S1115" t="s">
        <v>69</v>
      </c>
    </row>
    <row r="1116" spans="1:19" x14ac:dyDescent="0.25">
      <c r="B1116" s="3" t="s">
        <v>391</v>
      </c>
      <c r="C1116" s="23"/>
      <c r="D1116" s="23"/>
      <c r="E1116" s="23"/>
      <c r="F1116" s="23"/>
      <c r="G1116" s="23"/>
      <c r="H1116" s="23"/>
      <c r="I1116" s="23"/>
      <c r="J1116" s="23"/>
      <c r="K1116" s="23"/>
      <c r="L1116" s="23"/>
      <c r="M1116" s="23"/>
      <c r="N1116" s="23"/>
      <c r="O1116" s="23"/>
      <c r="P1116" s="23"/>
      <c r="Q1116" s="23"/>
      <c r="R1116" s="5" t="s">
        <v>396</v>
      </c>
      <c r="S1116" t="s">
        <v>69</v>
      </c>
    </row>
    <row r="1117" spans="1:19" x14ac:dyDescent="0.25">
      <c r="B1117" s="3" t="s">
        <v>394</v>
      </c>
      <c r="C1117" s="23"/>
      <c r="D1117" s="23"/>
      <c r="E1117" s="23"/>
      <c r="F1117" s="23"/>
      <c r="G1117" s="23"/>
      <c r="H1117" s="23"/>
      <c r="I1117" s="23"/>
      <c r="J1117" s="23"/>
      <c r="K1117" s="23"/>
      <c r="L1117" s="23"/>
      <c r="M1117" s="23"/>
      <c r="N1117" s="23"/>
      <c r="O1117" s="23"/>
      <c r="P1117" s="23"/>
      <c r="Q1117" s="23"/>
      <c r="R1117" s="5" t="s">
        <v>396</v>
      </c>
      <c r="S1117" t="s">
        <v>69</v>
      </c>
    </row>
    <row r="1118" spans="1:19" x14ac:dyDescent="0.25">
      <c r="B1118" s="3" t="s">
        <v>395</v>
      </c>
      <c r="C1118" s="23"/>
      <c r="D1118" s="23"/>
      <c r="E1118" s="23"/>
      <c r="F1118" s="23"/>
      <c r="G1118" s="23"/>
      <c r="H1118" s="23"/>
      <c r="I1118" s="23"/>
      <c r="J1118" s="23"/>
      <c r="K1118" s="23"/>
      <c r="L1118" s="23"/>
      <c r="M1118" s="23"/>
      <c r="N1118" s="23"/>
      <c r="O1118" s="23"/>
      <c r="P1118" s="23"/>
      <c r="Q1118" s="23"/>
      <c r="R1118" s="5" t="s">
        <v>396</v>
      </c>
      <c r="S1118" t="s">
        <v>69</v>
      </c>
    </row>
    <row r="1119" spans="1:19" x14ac:dyDescent="0.25">
      <c r="A1119" t="s">
        <v>913</v>
      </c>
      <c r="B1119" s="3" t="s">
        <v>397</v>
      </c>
      <c r="C1119" s="23"/>
      <c r="D1119" s="23"/>
      <c r="E1119" s="23"/>
      <c r="F1119" s="23"/>
      <c r="G1119" s="23"/>
      <c r="H1119" s="23"/>
      <c r="I1119" s="23"/>
      <c r="J1119" s="23"/>
      <c r="K1119" s="23"/>
      <c r="L1119" s="23"/>
      <c r="M1119" s="23"/>
      <c r="N1119" s="23"/>
      <c r="O1119" s="23"/>
      <c r="P1119" s="23"/>
      <c r="Q1119" s="23"/>
      <c r="R1119" s="5" t="s">
        <v>396</v>
      </c>
      <c r="S1119" t="s">
        <v>69</v>
      </c>
    </row>
  </sheetData>
  <phoneticPr fontId="18"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E1C60-E9D6-4EE3-A630-FF907A7349BD}">
  <dimension ref="A1:V660"/>
  <sheetViews>
    <sheetView topLeftCell="A31" workbookViewId="0">
      <selection activeCell="A226" sqref="A226:G240"/>
    </sheetView>
  </sheetViews>
  <sheetFormatPr defaultRowHeight="15" x14ac:dyDescent="0.25"/>
  <sheetData>
    <row r="1" spans="1:7" x14ac:dyDescent="0.25">
      <c r="A1" t="s">
        <v>18</v>
      </c>
      <c r="B1" t="s">
        <v>410</v>
      </c>
      <c r="C1" t="s">
        <v>411</v>
      </c>
      <c r="D1" t="s">
        <v>412</v>
      </c>
      <c r="E1" t="s">
        <v>72</v>
      </c>
      <c r="F1" t="s">
        <v>413</v>
      </c>
      <c r="G1" t="s">
        <v>414</v>
      </c>
    </row>
    <row r="2" spans="1:7" x14ac:dyDescent="0.25">
      <c r="A2">
        <v>1</v>
      </c>
      <c r="B2">
        <v>1030</v>
      </c>
      <c r="C2">
        <v>20</v>
      </c>
      <c r="D2">
        <v>68</v>
      </c>
      <c r="E2">
        <v>0</v>
      </c>
      <c r="F2">
        <v>5</v>
      </c>
      <c r="G2">
        <v>50</v>
      </c>
    </row>
    <row r="3" spans="1:7" x14ac:dyDescent="0.25">
      <c r="A3">
        <v>20</v>
      </c>
      <c r="B3">
        <v>2671</v>
      </c>
      <c r="C3">
        <v>51</v>
      </c>
      <c r="D3">
        <v>177</v>
      </c>
      <c r="E3">
        <v>0</v>
      </c>
      <c r="F3">
        <v>5</v>
      </c>
      <c r="G3">
        <v>50</v>
      </c>
    </row>
    <row r="4" spans="1:7" x14ac:dyDescent="0.25">
      <c r="A4" t="s">
        <v>415</v>
      </c>
      <c r="B4">
        <v>3554</v>
      </c>
      <c r="C4">
        <v>67</v>
      </c>
      <c r="D4">
        <v>235</v>
      </c>
      <c r="E4">
        <v>0</v>
      </c>
      <c r="F4">
        <v>5</v>
      </c>
      <c r="G4">
        <v>50</v>
      </c>
    </row>
    <row r="5" spans="1:7" x14ac:dyDescent="0.25">
      <c r="A5">
        <v>40</v>
      </c>
      <c r="B5">
        <v>5317</v>
      </c>
      <c r="C5">
        <v>101</v>
      </c>
      <c r="D5">
        <v>352</v>
      </c>
      <c r="E5">
        <v>0</v>
      </c>
      <c r="F5">
        <v>5</v>
      </c>
      <c r="G5">
        <v>50</v>
      </c>
    </row>
    <row r="6" spans="1:7" x14ac:dyDescent="0.25">
      <c r="A6" t="s">
        <v>416</v>
      </c>
      <c r="B6">
        <v>5944</v>
      </c>
      <c r="C6">
        <v>113</v>
      </c>
      <c r="D6">
        <v>394</v>
      </c>
      <c r="E6">
        <v>7.2</v>
      </c>
      <c r="F6">
        <v>5</v>
      </c>
      <c r="G6">
        <v>50</v>
      </c>
    </row>
    <row r="7" spans="1:7" x14ac:dyDescent="0.25">
      <c r="A7">
        <v>50</v>
      </c>
      <c r="B7">
        <v>6839</v>
      </c>
      <c r="C7">
        <v>130</v>
      </c>
      <c r="D7">
        <v>453</v>
      </c>
      <c r="E7">
        <v>7.2</v>
      </c>
      <c r="F7">
        <v>5</v>
      </c>
      <c r="G7">
        <v>50</v>
      </c>
    </row>
    <row r="8" spans="1:7" x14ac:dyDescent="0.25">
      <c r="A8" t="s">
        <v>417</v>
      </c>
      <c r="B8">
        <v>7675</v>
      </c>
      <c r="C8">
        <v>146</v>
      </c>
      <c r="D8">
        <v>508</v>
      </c>
      <c r="E8">
        <v>14.4</v>
      </c>
      <c r="F8">
        <v>5</v>
      </c>
      <c r="G8">
        <v>50</v>
      </c>
    </row>
    <row r="9" spans="1:7" x14ac:dyDescent="0.25">
      <c r="A9">
        <v>60</v>
      </c>
      <c r="B9">
        <v>8579</v>
      </c>
      <c r="C9">
        <v>163</v>
      </c>
      <c r="D9">
        <v>568</v>
      </c>
      <c r="E9">
        <v>14.4</v>
      </c>
      <c r="F9">
        <v>5</v>
      </c>
      <c r="G9">
        <v>50</v>
      </c>
    </row>
    <row r="10" spans="1:7" x14ac:dyDescent="0.25">
      <c r="A10" t="s">
        <v>418</v>
      </c>
      <c r="B10">
        <v>9207</v>
      </c>
      <c r="C10">
        <v>175</v>
      </c>
      <c r="D10">
        <v>610</v>
      </c>
      <c r="E10">
        <v>14.4</v>
      </c>
      <c r="F10">
        <v>5</v>
      </c>
      <c r="G10">
        <v>50</v>
      </c>
    </row>
    <row r="11" spans="1:7" x14ac:dyDescent="0.25">
      <c r="A11">
        <v>70</v>
      </c>
      <c r="B11">
        <v>10119</v>
      </c>
      <c r="C11">
        <v>192</v>
      </c>
      <c r="D11">
        <v>670</v>
      </c>
      <c r="E11">
        <v>14.4</v>
      </c>
      <c r="F11">
        <v>5</v>
      </c>
      <c r="G11">
        <v>50</v>
      </c>
    </row>
    <row r="12" spans="1:7" x14ac:dyDescent="0.25">
      <c r="A12" t="s">
        <v>419</v>
      </c>
      <c r="B12">
        <v>10746</v>
      </c>
      <c r="C12">
        <v>204</v>
      </c>
      <c r="D12">
        <v>712</v>
      </c>
      <c r="E12">
        <v>21.6</v>
      </c>
      <c r="F12">
        <v>5</v>
      </c>
      <c r="G12">
        <v>50</v>
      </c>
    </row>
    <row r="13" spans="1:7" x14ac:dyDescent="0.25">
      <c r="A13">
        <v>80</v>
      </c>
      <c r="B13">
        <v>11669</v>
      </c>
      <c r="C13">
        <v>222</v>
      </c>
      <c r="D13">
        <v>773</v>
      </c>
      <c r="E13">
        <v>21.6</v>
      </c>
      <c r="F13">
        <v>5</v>
      </c>
      <c r="G13">
        <v>50</v>
      </c>
    </row>
    <row r="14" spans="1:7" x14ac:dyDescent="0.25">
      <c r="A14" t="s">
        <v>420</v>
      </c>
      <c r="B14">
        <v>12296</v>
      </c>
      <c r="C14">
        <v>233</v>
      </c>
      <c r="D14">
        <v>815</v>
      </c>
      <c r="E14">
        <v>28.8</v>
      </c>
      <c r="F14">
        <v>5</v>
      </c>
      <c r="G14">
        <v>50</v>
      </c>
    </row>
    <row r="15" spans="1:7" x14ac:dyDescent="0.25">
      <c r="A15">
        <v>90</v>
      </c>
      <c r="B15">
        <v>13226</v>
      </c>
      <c r="C15">
        <v>251</v>
      </c>
      <c r="D15">
        <v>876</v>
      </c>
      <c r="E15">
        <v>28.8</v>
      </c>
      <c r="F15">
        <v>5</v>
      </c>
      <c r="G15">
        <v>50</v>
      </c>
    </row>
    <row r="16" spans="1:7" x14ac:dyDescent="0.25">
      <c r="A16" t="s">
        <v>433</v>
      </c>
      <c r="B16" t="s">
        <v>410</v>
      </c>
      <c r="C16" t="s">
        <v>411</v>
      </c>
      <c r="D16" t="s">
        <v>412</v>
      </c>
      <c r="E16" t="s">
        <v>74</v>
      </c>
      <c r="F16" t="s">
        <v>413</v>
      </c>
      <c r="G16" t="s">
        <v>414</v>
      </c>
    </row>
    <row r="17" spans="1:7" x14ac:dyDescent="0.25">
      <c r="A17">
        <v>1</v>
      </c>
      <c r="B17">
        <v>848</v>
      </c>
      <c r="C17">
        <v>18</v>
      </c>
      <c r="D17">
        <v>53</v>
      </c>
      <c r="E17">
        <v>0</v>
      </c>
      <c r="F17">
        <v>5</v>
      </c>
      <c r="G17">
        <v>50</v>
      </c>
    </row>
    <row r="18" spans="1:7" x14ac:dyDescent="0.25">
      <c r="A18">
        <v>20</v>
      </c>
      <c r="B18">
        <v>2201</v>
      </c>
      <c r="C18">
        <v>47</v>
      </c>
      <c r="D18">
        <v>137</v>
      </c>
      <c r="E18">
        <v>0</v>
      </c>
      <c r="F18">
        <v>5</v>
      </c>
      <c r="G18">
        <v>50</v>
      </c>
    </row>
    <row r="19" spans="1:7" x14ac:dyDescent="0.25">
      <c r="A19" t="s">
        <v>415</v>
      </c>
      <c r="B19">
        <v>2928</v>
      </c>
      <c r="C19">
        <v>63</v>
      </c>
      <c r="D19">
        <v>182</v>
      </c>
      <c r="E19">
        <v>0</v>
      </c>
      <c r="F19">
        <v>5</v>
      </c>
      <c r="G19">
        <v>50</v>
      </c>
    </row>
    <row r="20" spans="1:7" x14ac:dyDescent="0.25">
      <c r="A20">
        <v>40</v>
      </c>
      <c r="B20">
        <v>4382</v>
      </c>
      <c r="C20">
        <v>94</v>
      </c>
      <c r="D20">
        <v>272</v>
      </c>
      <c r="E20">
        <v>0</v>
      </c>
      <c r="F20">
        <v>5</v>
      </c>
      <c r="G20">
        <v>50</v>
      </c>
    </row>
    <row r="21" spans="1:7" x14ac:dyDescent="0.25">
      <c r="A21" t="s">
        <v>416</v>
      </c>
      <c r="B21">
        <v>4899</v>
      </c>
      <c r="C21">
        <v>105</v>
      </c>
      <c r="D21">
        <v>304</v>
      </c>
      <c r="E21">
        <v>7.2</v>
      </c>
      <c r="F21">
        <v>5</v>
      </c>
      <c r="G21">
        <v>50</v>
      </c>
    </row>
    <row r="22" spans="1:7" x14ac:dyDescent="0.25">
      <c r="A22">
        <v>50</v>
      </c>
      <c r="B22">
        <v>5636</v>
      </c>
      <c r="C22">
        <v>121</v>
      </c>
      <c r="D22">
        <v>350</v>
      </c>
      <c r="E22">
        <v>7.2</v>
      </c>
      <c r="F22">
        <v>5</v>
      </c>
      <c r="G22">
        <v>50</v>
      </c>
    </row>
    <row r="23" spans="1:7" x14ac:dyDescent="0.25">
      <c r="A23" t="s">
        <v>417</v>
      </c>
      <c r="B23">
        <v>6325</v>
      </c>
      <c r="C23">
        <v>136</v>
      </c>
      <c r="D23">
        <v>393</v>
      </c>
      <c r="E23">
        <v>14.4</v>
      </c>
      <c r="F23">
        <v>5</v>
      </c>
      <c r="G23">
        <v>50</v>
      </c>
    </row>
    <row r="24" spans="1:7" x14ac:dyDescent="0.25">
      <c r="A24">
        <v>60</v>
      </c>
      <c r="B24">
        <v>7070</v>
      </c>
      <c r="C24">
        <v>152</v>
      </c>
      <c r="D24">
        <v>439</v>
      </c>
      <c r="E24">
        <v>14.4</v>
      </c>
      <c r="F24">
        <v>5</v>
      </c>
      <c r="G24">
        <v>50</v>
      </c>
    </row>
    <row r="25" spans="1:7" x14ac:dyDescent="0.25">
      <c r="A25" t="s">
        <v>418</v>
      </c>
      <c r="B25">
        <v>7587</v>
      </c>
      <c r="C25">
        <v>163</v>
      </c>
      <c r="D25">
        <v>471</v>
      </c>
      <c r="E25">
        <v>14.4</v>
      </c>
      <c r="F25">
        <v>5</v>
      </c>
      <c r="G25">
        <v>50</v>
      </c>
    </row>
    <row r="26" spans="1:7" x14ac:dyDescent="0.25">
      <c r="A26">
        <v>70</v>
      </c>
      <c r="B26">
        <v>8339</v>
      </c>
      <c r="C26">
        <v>179</v>
      </c>
      <c r="D26">
        <v>517</v>
      </c>
      <c r="E26">
        <v>14.4</v>
      </c>
      <c r="F26">
        <v>5</v>
      </c>
      <c r="G26">
        <v>50</v>
      </c>
    </row>
    <row r="27" spans="1:7" x14ac:dyDescent="0.25">
      <c r="A27" t="s">
        <v>419</v>
      </c>
      <c r="B27">
        <v>8856</v>
      </c>
      <c r="C27">
        <v>190</v>
      </c>
      <c r="D27">
        <v>550</v>
      </c>
      <c r="E27">
        <v>21.6</v>
      </c>
      <c r="F27">
        <v>5</v>
      </c>
      <c r="G27">
        <v>50</v>
      </c>
    </row>
    <row r="28" spans="1:7" x14ac:dyDescent="0.25">
      <c r="A28">
        <v>80</v>
      </c>
      <c r="B28">
        <v>9616</v>
      </c>
      <c r="C28">
        <v>206</v>
      </c>
      <c r="D28">
        <v>597</v>
      </c>
      <c r="E28">
        <v>21.6</v>
      </c>
      <c r="F28">
        <v>5</v>
      </c>
      <c r="G28">
        <v>50</v>
      </c>
    </row>
    <row r="29" spans="1:7" x14ac:dyDescent="0.25">
      <c r="A29" t="s">
        <v>420</v>
      </c>
      <c r="B29">
        <v>10133</v>
      </c>
      <c r="C29">
        <v>217</v>
      </c>
      <c r="D29">
        <v>629</v>
      </c>
      <c r="E29">
        <v>28.8</v>
      </c>
      <c r="F29">
        <v>5</v>
      </c>
      <c r="G29">
        <v>50</v>
      </c>
    </row>
    <row r="30" spans="1:7" x14ac:dyDescent="0.25">
      <c r="A30">
        <v>90</v>
      </c>
      <c r="B30">
        <v>10899</v>
      </c>
      <c r="C30">
        <v>234</v>
      </c>
      <c r="D30">
        <v>676</v>
      </c>
      <c r="E30">
        <v>28.8</v>
      </c>
      <c r="F30">
        <v>5</v>
      </c>
      <c r="G30">
        <v>50</v>
      </c>
    </row>
    <row r="31" spans="1:7" x14ac:dyDescent="0.25">
      <c r="A31" t="s">
        <v>137</v>
      </c>
      <c r="B31" t="s">
        <v>410</v>
      </c>
      <c r="C31" t="s">
        <v>411</v>
      </c>
      <c r="D31" t="s">
        <v>412</v>
      </c>
      <c r="E31" t="s">
        <v>65</v>
      </c>
      <c r="F31" t="s">
        <v>413</v>
      </c>
      <c r="G31" t="s">
        <v>414</v>
      </c>
    </row>
    <row r="32" spans="1:7" x14ac:dyDescent="0.25">
      <c r="A32">
        <v>1</v>
      </c>
      <c r="B32">
        <v>793</v>
      </c>
      <c r="C32">
        <v>19</v>
      </c>
      <c r="D32">
        <v>50</v>
      </c>
      <c r="E32">
        <v>0</v>
      </c>
      <c r="F32">
        <v>5</v>
      </c>
      <c r="G32">
        <v>50</v>
      </c>
    </row>
    <row r="33" spans="1:7" x14ac:dyDescent="0.25">
      <c r="A33">
        <v>20</v>
      </c>
      <c r="B33">
        <v>2038</v>
      </c>
      <c r="C33">
        <v>48</v>
      </c>
      <c r="D33">
        <v>129</v>
      </c>
      <c r="E33">
        <v>0</v>
      </c>
      <c r="F33">
        <v>5</v>
      </c>
      <c r="G33">
        <v>50</v>
      </c>
    </row>
    <row r="34" spans="1:7" x14ac:dyDescent="0.25">
      <c r="A34" t="s">
        <v>415</v>
      </c>
      <c r="B34">
        <v>2630</v>
      </c>
      <c r="C34">
        <v>62</v>
      </c>
      <c r="D34">
        <v>167</v>
      </c>
      <c r="E34">
        <v>0</v>
      </c>
      <c r="F34">
        <v>5</v>
      </c>
      <c r="G34">
        <v>50</v>
      </c>
    </row>
    <row r="35" spans="1:7" x14ac:dyDescent="0.25">
      <c r="A35">
        <v>40</v>
      </c>
      <c r="B35">
        <v>3940</v>
      </c>
      <c r="C35">
        <v>93</v>
      </c>
      <c r="D35">
        <v>250</v>
      </c>
      <c r="E35">
        <v>0</v>
      </c>
      <c r="F35">
        <v>5</v>
      </c>
      <c r="G35">
        <v>50</v>
      </c>
    </row>
    <row r="36" spans="1:7" x14ac:dyDescent="0.25">
      <c r="A36" t="s">
        <v>416</v>
      </c>
      <c r="B36">
        <v>4361</v>
      </c>
      <c r="C36">
        <v>103</v>
      </c>
      <c r="D36">
        <v>277</v>
      </c>
      <c r="E36">
        <v>6</v>
      </c>
      <c r="F36">
        <v>5</v>
      </c>
      <c r="G36">
        <v>50</v>
      </c>
    </row>
    <row r="37" spans="1:7" x14ac:dyDescent="0.25">
      <c r="A37">
        <v>50</v>
      </c>
      <c r="B37">
        <v>5016</v>
      </c>
      <c r="C37">
        <v>118</v>
      </c>
      <c r="D37">
        <v>318</v>
      </c>
      <c r="E37">
        <v>6</v>
      </c>
      <c r="F37">
        <v>5</v>
      </c>
      <c r="G37">
        <v>50</v>
      </c>
    </row>
    <row r="38" spans="1:7" x14ac:dyDescent="0.25">
      <c r="A38" t="s">
        <v>417</v>
      </c>
      <c r="B38">
        <v>5578</v>
      </c>
      <c r="C38">
        <v>131</v>
      </c>
      <c r="D38">
        <v>354</v>
      </c>
      <c r="E38">
        <v>12</v>
      </c>
      <c r="F38">
        <v>5</v>
      </c>
      <c r="G38">
        <v>50</v>
      </c>
    </row>
    <row r="39" spans="1:7" x14ac:dyDescent="0.25">
      <c r="A39">
        <v>60</v>
      </c>
      <c r="B39">
        <v>6233</v>
      </c>
      <c r="C39">
        <v>147</v>
      </c>
      <c r="D39">
        <v>396</v>
      </c>
      <c r="E39">
        <v>12</v>
      </c>
      <c r="F39">
        <v>5</v>
      </c>
      <c r="G39">
        <v>50</v>
      </c>
    </row>
    <row r="40" spans="1:7" x14ac:dyDescent="0.25">
      <c r="A40" t="s">
        <v>418</v>
      </c>
      <c r="B40">
        <v>6654</v>
      </c>
      <c r="C40">
        <v>157</v>
      </c>
      <c r="D40">
        <v>422</v>
      </c>
      <c r="E40">
        <v>12</v>
      </c>
      <c r="F40">
        <v>5</v>
      </c>
      <c r="G40">
        <v>50</v>
      </c>
    </row>
    <row r="41" spans="1:7" x14ac:dyDescent="0.25">
      <c r="A41">
        <v>70</v>
      </c>
      <c r="B41">
        <v>7309</v>
      </c>
      <c r="C41">
        <v>172</v>
      </c>
      <c r="D41">
        <v>464</v>
      </c>
      <c r="E41">
        <v>12</v>
      </c>
      <c r="F41">
        <v>5</v>
      </c>
      <c r="G41">
        <v>50</v>
      </c>
    </row>
    <row r="42" spans="1:7" x14ac:dyDescent="0.25">
      <c r="A42" t="s">
        <v>419</v>
      </c>
      <c r="B42">
        <v>7730</v>
      </c>
      <c r="C42">
        <v>182</v>
      </c>
      <c r="D42">
        <v>491</v>
      </c>
      <c r="E42">
        <v>18</v>
      </c>
      <c r="F42">
        <v>5</v>
      </c>
      <c r="G42">
        <v>50</v>
      </c>
    </row>
    <row r="43" spans="1:7" x14ac:dyDescent="0.25">
      <c r="A43">
        <v>80</v>
      </c>
      <c r="B43">
        <v>8385</v>
      </c>
      <c r="C43">
        <v>198</v>
      </c>
      <c r="D43">
        <v>532</v>
      </c>
      <c r="E43">
        <v>18</v>
      </c>
      <c r="F43">
        <v>5</v>
      </c>
      <c r="G43">
        <v>50</v>
      </c>
    </row>
    <row r="44" spans="1:7" x14ac:dyDescent="0.25">
      <c r="A44" t="s">
        <v>420</v>
      </c>
      <c r="B44">
        <v>8806</v>
      </c>
      <c r="C44">
        <v>208</v>
      </c>
      <c r="D44">
        <v>559</v>
      </c>
      <c r="E44">
        <v>24</v>
      </c>
      <c r="F44">
        <v>5</v>
      </c>
      <c r="G44">
        <v>50</v>
      </c>
    </row>
    <row r="45" spans="1:7" x14ac:dyDescent="0.25">
      <c r="A45">
        <v>90</v>
      </c>
      <c r="B45">
        <v>9461</v>
      </c>
      <c r="C45">
        <v>223</v>
      </c>
      <c r="D45">
        <v>601</v>
      </c>
      <c r="E45">
        <v>24</v>
      </c>
      <c r="F45">
        <v>5</v>
      </c>
      <c r="G45">
        <v>50</v>
      </c>
    </row>
    <row r="46" spans="1:7" x14ac:dyDescent="0.25">
      <c r="A46" t="s">
        <v>12</v>
      </c>
      <c r="B46" t="s">
        <v>410</v>
      </c>
      <c r="C46" t="s">
        <v>411</v>
      </c>
      <c r="D46" t="s">
        <v>412</v>
      </c>
      <c r="E46" t="s">
        <v>414</v>
      </c>
      <c r="F46" t="s">
        <v>413</v>
      </c>
    </row>
    <row r="47" spans="1:7" x14ac:dyDescent="0.25">
      <c r="A47">
        <v>1</v>
      </c>
      <c r="B47">
        <v>1001</v>
      </c>
      <c r="C47">
        <v>27</v>
      </c>
      <c r="D47">
        <v>61</v>
      </c>
      <c r="E47">
        <v>50</v>
      </c>
      <c r="F47">
        <v>5</v>
      </c>
    </row>
    <row r="48" spans="1:7" x14ac:dyDescent="0.25">
      <c r="A48">
        <v>20</v>
      </c>
      <c r="B48">
        <v>2597</v>
      </c>
      <c r="C48">
        <v>69</v>
      </c>
      <c r="D48">
        <v>158</v>
      </c>
      <c r="E48">
        <v>50</v>
      </c>
      <c r="F48">
        <v>5</v>
      </c>
    </row>
    <row r="49" spans="1:7" x14ac:dyDescent="0.25">
      <c r="A49" t="s">
        <v>415</v>
      </c>
      <c r="B49">
        <v>3455</v>
      </c>
      <c r="C49">
        <v>92</v>
      </c>
      <c r="D49">
        <v>211</v>
      </c>
      <c r="E49">
        <v>50</v>
      </c>
      <c r="F49">
        <v>5</v>
      </c>
    </row>
    <row r="50" spans="1:7" x14ac:dyDescent="0.25">
      <c r="A50">
        <v>40</v>
      </c>
      <c r="B50">
        <v>5170</v>
      </c>
      <c r="C50">
        <v>138</v>
      </c>
      <c r="D50">
        <v>315</v>
      </c>
      <c r="E50">
        <v>50</v>
      </c>
      <c r="F50">
        <v>5</v>
      </c>
    </row>
    <row r="51" spans="1:7" x14ac:dyDescent="0.25">
      <c r="A51" t="s">
        <v>416</v>
      </c>
      <c r="B51">
        <v>5779</v>
      </c>
      <c r="C51">
        <v>154</v>
      </c>
      <c r="D51">
        <v>352</v>
      </c>
      <c r="E51">
        <v>59.6</v>
      </c>
      <c r="F51">
        <v>5</v>
      </c>
    </row>
    <row r="52" spans="1:7" x14ac:dyDescent="0.25">
      <c r="A52">
        <v>50</v>
      </c>
      <c r="B52">
        <v>6649</v>
      </c>
      <c r="C52">
        <v>177</v>
      </c>
      <c r="D52">
        <v>405</v>
      </c>
      <c r="E52">
        <v>59.6</v>
      </c>
      <c r="F52">
        <v>5</v>
      </c>
    </row>
    <row r="53" spans="1:7" x14ac:dyDescent="0.25">
      <c r="A53" t="s">
        <v>417</v>
      </c>
      <c r="B53">
        <v>7462</v>
      </c>
      <c r="C53">
        <v>198</v>
      </c>
      <c r="D53">
        <v>455</v>
      </c>
      <c r="E53">
        <v>69.2</v>
      </c>
      <c r="F53">
        <v>5</v>
      </c>
    </row>
    <row r="54" spans="1:7" x14ac:dyDescent="0.25">
      <c r="A54">
        <v>60</v>
      </c>
      <c r="B54">
        <v>8341</v>
      </c>
      <c r="C54">
        <v>222</v>
      </c>
      <c r="D54">
        <v>509</v>
      </c>
      <c r="E54">
        <v>69.2</v>
      </c>
      <c r="F54">
        <v>5</v>
      </c>
    </row>
    <row r="55" spans="1:7" x14ac:dyDescent="0.25">
      <c r="A55" t="s">
        <v>418</v>
      </c>
      <c r="B55">
        <v>8951</v>
      </c>
      <c r="C55">
        <v>238</v>
      </c>
      <c r="D55">
        <v>546</v>
      </c>
      <c r="E55">
        <v>69.2</v>
      </c>
      <c r="F55">
        <v>5</v>
      </c>
    </row>
    <row r="56" spans="1:7" x14ac:dyDescent="0.25">
      <c r="A56">
        <v>70</v>
      </c>
      <c r="B56">
        <v>9838</v>
      </c>
      <c r="C56">
        <v>262</v>
      </c>
      <c r="D56">
        <v>600</v>
      </c>
      <c r="E56">
        <v>69.2</v>
      </c>
      <c r="F56">
        <v>5</v>
      </c>
    </row>
    <row r="57" spans="1:7" x14ac:dyDescent="0.25">
      <c r="A57" t="s">
        <v>419</v>
      </c>
      <c r="B57">
        <v>10448</v>
      </c>
      <c r="C57">
        <v>278</v>
      </c>
      <c r="D57">
        <v>637</v>
      </c>
      <c r="E57">
        <v>78.8</v>
      </c>
      <c r="F57">
        <v>5</v>
      </c>
    </row>
    <row r="58" spans="1:7" x14ac:dyDescent="0.25">
      <c r="A58">
        <v>80</v>
      </c>
      <c r="B58">
        <v>11345</v>
      </c>
      <c r="C58">
        <v>302</v>
      </c>
      <c r="D58">
        <v>692</v>
      </c>
      <c r="E58">
        <v>78.8</v>
      </c>
      <c r="F58">
        <v>5</v>
      </c>
    </row>
    <row r="59" spans="1:7" x14ac:dyDescent="0.25">
      <c r="A59" t="s">
        <v>420</v>
      </c>
      <c r="B59">
        <v>11954</v>
      </c>
      <c r="C59">
        <v>318</v>
      </c>
      <c r="D59">
        <v>729</v>
      </c>
      <c r="E59">
        <v>88.4</v>
      </c>
      <c r="F59">
        <v>5</v>
      </c>
    </row>
    <row r="60" spans="1:7" x14ac:dyDescent="0.25">
      <c r="A60">
        <v>90</v>
      </c>
      <c r="B60">
        <v>12858</v>
      </c>
      <c r="C60">
        <v>342</v>
      </c>
      <c r="D60">
        <v>784</v>
      </c>
      <c r="E60">
        <v>88.4</v>
      </c>
      <c r="F60">
        <v>5</v>
      </c>
    </row>
    <row r="61" spans="1:7" x14ac:dyDescent="0.25">
      <c r="A61" t="s">
        <v>154</v>
      </c>
      <c r="B61" t="s">
        <v>410</v>
      </c>
      <c r="C61" t="s">
        <v>411</v>
      </c>
      <c r="D61" t="s">
        <v>412</v>
      </c>
      <c r="E61" t="s">
        <v>67</v>
      </c>
      <c r="F61" t="s">
        <v>413</v>
      </c>
      <c r="G61" t="s">
        <v>414</v>
      </c>
    </row>
    <row r="62" spans="1:7" x14ac:dyDescent="0.25">
      <c r="A62">
        <v>1</v>
      </c>
      <c r="B62">
        <v>821</v>
      </c>
      <c r="C62">
        <v>13</v>
      </c>
      <c r="D62">
        <v>56</v>
      </c>
      <c r="E62">
        <v>0</v>
      </c>
      <c r="F62">
        <v>5</v>
      </c>
      <c r="G62">
        <v>50</v>
      </c>
    </row>
    <row r="63" spans="1:7" x14ac:dyDescent="0.25">
      <c r="A63">
        <v>20</v>
      </c>
      <c r="B63">
        <v>2108</v>
      </c>
      <c r="C63">
        <v>34</v>
      </c>
      <c r="D63">
        <v>144</v>
      </c>
      <c r="E63">
        <v>0</v>
      </c>
      <c r="F63">
        <v>5</v>
      </c>
      <c r="G63">
        <v>50</v>
      </c>
    </row>
    <row r="64" spans="1:7" x14ac:dyDescent="0.25">
      <c r="A64" t="s">
        <v>415</v>
      </c>
      <c r="B64">
        <v>2721</v>
      </c>
      <c r="C64">
        <v>44</v>
      </c>
      <c r="D64">
        <v>186</v>
      </c>
      <c r="E64">
        <v>0</v>
      </c>
      <c r="F64">
        <v>5</v>
      </c>
      <c r="G64">
        <v>50</v>
      </c>
    </row>
    <row r="65" spans="1:7" x14ac:dyDescent="0.25">
      <c r="A65">
        <v>40</v>
      </c>
      <c r="B65">
        <v>4076</v>
      </c>
      <c r="C65">
        <v>66</v>
      </c>
      <c r="D65">
        <v>279</v>
      </c>
      <c r="E65">
        <v>0</v>
      </c>
      <c r="F65">
        <v>5</v>
      </c>
      <c r="G65">
        <v>50</v>
      </c>
    </row>
    <row r="66" spans="1:7" x14ac:dyDescent="0.25">
      <c r="A66" t="s">
        <v>416</v>
      </c>
      <c r="B66">
        <v>4512</v>
      </c>
      <c r="C66">
        <v>73</v>
      </c>
      <c r="D66">
        <v>308</v>
      </c>
      <c r="E66">
        <v>6</v>
      </c>
      <c r="F66">
        <v>5</v>
      </c>
      <c r="G66">
        <v>50</v>
      </c>
    </row>
    <row r="67" spans="1:7" x14ac:dyDescent="0.25">
      <c r="A67">
        <v>50</v>
      </c>
      <c r="B67">
        <v>5189</v>
      </c>
      <c r="C67">
        <v>84</v>
      </c>
      <c r="D67">
        <v>355</v>
      </c>
      <c r="E67">
        <v>6</v>
      </c>
      <c r="F67">
        <v>5</v>
      </c>
      <c r="G67">
        <v>50</v>
      </c>
    </row>
    <row r="68" spans="1:7" x14ac:dyDescent="0.25">
      <c r="A68" t="s">
        <v>417</v>
      </c>
      <c r="B68">
        <v>5770</v>
      </c>
      <c r="C68">
        <v>94</v>
      </c>
      <c r="D68">
        <v>394</v>
      </c>
      <c r="E68">
        <v>12</v>
      </c>
      <c r="F68">
        <v>5</v>
      </c>
      <c r="G68">
        <v>50</v>
      </c>
    </row>
    <row r="69" spans="1:7" x14ac:dyDescent="0.25">
      <c r="A69">
        <v>60</v>
      </c>
      <c r="B69">
        <v>6448</v>
      </c>
      <c r="C69">
        <v>105</v>
      </c>
      <c r="D69">
        <v>441</v>
      </c>
      <c r="E69">
        <v>12</v>
      </c>
      <c r="F69">
        <v>5</v>
      </c>
      <c r="G69">
        <v>50</v>
      </c>
    </row>
    <row r="70" spans="1:7" x14ac:dyDescent="0.25">
      <c r="A70" t="s">
        <v>418</v>
      </c>
      <c r="B70">
        <v>6884</v>
      </c>
      <c r="C70">
        <v>112</v>
      </c>
      <c r="D70">
        <v>470</v>
      </c>
      <c r="E70">
        <v>12</v>
      </c>
      <c r="F70">
        <v>5</v>
      </c>
      <c r="G70">
        <v>50</v>
      </c>
    </row>
    <row r="71" spans="1:7" x14ac:dyDescent="0.25">
      <c r="A71">
        <v>70</v>
      </c>
      <c r="B71">
        <v>7561</v>
      </c>
      <c r="C71">
        <v>123</v>
      </c>
      <c r="D71">
        <v>517</v>
      </c>
      <c r="E71">
        <v>12</v>
      </c>
      <c r="F71">
        <v>5</v>
      </c>
      <c r="G71">
        <v>50</v>
      </c>
    </row>
    <row r="72" spans="1:7" x14ac:dyDescent="0.25">
      <c r="A72" t="s">
        <v>419</v>
      </c>
      <c r="B72">
        <v>7996</v>
      </c>
      <c r="C72">
        <v>130</v>
      </c>
      <c r="D72">
        <v>546</v>
      </c>
      <c r="E72">
        <v>18</v>
      </c>
      <c r="F72">
        <v>5</v>
      </c>
      <c r="G72">
        <v>50</v>
      </c>
    </row>
    <row r="73" spans="1:7" x14ac:dyDescent="0.25">
      <c r="A73">
        <v>80</v>
      </c>
      <c r="B73">
        <v>8674</v>
      </c>
      <c r="C73">
        <v>141</v>
      </c>
      <c r="D73">
        <v>593</v>
      </c>
      <c r="E73">
        <v>18</v>
      </c>
      <c r="F73">
        <v>5</v>
      </c>
      <c r="G73">
        <v>50</v>
      </c>
    </row>
    <row r="74" spans="1:7" x14ac:dyDescent="0.25">
      <c r="A74" t="s">
        <v>420</v>
      </c>
      <c r="B74">
        <v>9110</v>
      </c>
      <c r="C74">
        <v>148</v>
      </c>
      <c r="D74">
        <v>623</v>
      </c>
      <c r="E74">
        <v>24</v>
      </c>
      <c r="F74">
        <v>5</v>
      </c>
      <c r="G74">
        <v>50</v>
      </c>
    </row>
    <row r="75" spans="1:7" x14ac:dyDescent="0.25">
      <c r="A75">
        <v>90</v>
      </c>
      <c r="B75">
        <v>9787</v>
      </c>
      <c r="C75">
        <v>159</v>
      </c>
      <c r="D75">
        <v>669</v>
      </c>
      <c r="E75">
        <v>24</v>
      </c>
      <c r="F75">
        <v>5</v>
      </c>
      <c r="G75">
        <v>50</v>
      </c>
    </row>
    <row r="76" spans="1:7" x14ac:dyDescent="0.25">
      <c r="A76" t="s">
        <v>159</v>
      </c>
      <c r="B76" t="s">
        <v>410</v>
      </c>
      <c r="C76" t="s">
        <v>411</v>
      </c>
      <c r="D76" t="s">
        <v>412</v>
      </c>
      <c r="E76" t="s">
        <v>76</v>
      </c>
      <c r="F76" t="s">
        <v>413</v>
      </c>
      <c r="G76" t="s">
        <v>414</v>
      </c>
    </row>
    <row r="77" spans="1:7" x14ac:dyDescent="0.25">
      <c r="A77">
        <v>1</v>
      </c>
      <c r="B77">
        <v>1094</v>
      </c>
      <c r="C77">
        <v>19</v>
      </c>
      <c r="D77">
        <v>54</v>
      </c>
      <c r="E77">
        <v>0</v>
      </c>
      <c r="F77">
        <v>5</v>
      </c>
      <c r="G77">
        <v>50</v>
      </c>
    </row>
    <row r="78" spans="1:7" x14ac:dyDescent="0.25">
      <c r="A78">
        <v>20</v>
      </c>
      <c r="B78">
        <v>2811</v>
      </c>
      <c r="C78">
        <v>48</v>
      </c>
      <c r="D78">
        <v>140</v>
      </c>
      <c r="E78">
        <v>0</v>
      </c>
      <c r="F78">
        <v>5</v>
      </c>
      <c r="G78">
        <v>50</v>
      </c>
    </row>
    <row r="79" spans="1:7" x14ac:dyDescent="0.25">
      <c r="A79" t="s">
        <v>415</v>
      </c>
      <c r="B79">
        <v>3628</v>
      </c>
      <c r="C79">
        <v>63</v>
      </c>
      <c r="D79">
        <v>180</v>
      </c>
      <c r="E79">
        <v>0</v>
      </c>
      <c r="F79">
        <v>5</v>
      </c>
      <c r="G79">
        <v>50</v>
      </c>
    </row>
    <row r="80" spans="1:7" x14ac:dyDescent="0.25">
      <c r="A80">
        <v>40</v>
      </c>
      <c r="B80">
        <v>5435</v>
      </c>
      <c r="C80">
        <v>94</v>
      </c>
      <c r="D80">
        <v>270</v>
      </c>
      <c r="E80">
        <v>0</v>
      </c>
      <c r="F80">
        <v>5</v>
      </c>
      <c r="G80">
        <v>50</v>
      </c>
    </row>
    <row r="81" spans="1:7" x14ac:dyDescent="0.25">
      <c r="A81" t="s">
        <v>416</v>
      </c>
      <c r="B81">
        <v>6015</v>
      </c>
      <c r="C81">
        <v>104</v>
      </c>
      <c r="D81">
        <v>299</v>
      </c>
      <c r="E81">
        <v>6</v>
      </c>
      <c r="F81">
        <v>5</v>
      </c>
      <c r="G81">
        <v>50</v>
      </c>
    </row>
    <row r="82" spans="1:7" x14ac:dyDescent="0.25">
      <c r="A82">
        <v>50</v>
      </c>
      <c r="B82">
        <v>6919</v>
      </c>
      <c r="C82">
        <v>119</v>
      </c>
      <c r="D82">
        <v>344</v>
      </c>
      <c r="E82">
        <v>6</v>
      </c>
      <c r="F82">
        <v>5</v>
      </c>
      <c r="G82">
        <v>50</v>
      </c>
    </row>
    <row r="83" spans="1:7" x14ac:dyDescent="0.25">
      <c r="A83" t="s">
        <v>417</v>
      </c>
      <c r="B83">
        <v>7694</v>
      </c>
      <c r="C83">
        <v>133</v>
      </c>
      <c r="D83">
        <v>382</v>
      </c>
      <c r="E83">
        <v>12</v>
      </c>
      <c r="F83">
        <v>5</v>
      </c>
      <c r="G83">
        <v>50</v>
      </c>
    </row>
    <row r="84" spans="1:7" x14ac:dyDescent="0.25">
      <c r="A84">
        <v>60</v>
      </c>
      <c r="B84">
        <v>8597</v>
      </c>
      <c r="C84">
        <v>148</v>
      </c>
      <c r="D84">
        <v>427</v>
      </c>
      <c r="E84">
        <v>12</v>
      </c>
      <c r="F84">
        <v>5</v>
      </c>
      <c r="G84">
        <v>50</v>
      </c>
    </row>
    <row r="85" spans="1:7" x14ac:dyDescent="0.25">
      <c r="A85" t="s">
        <v>418</v>
      </c>
      <c r="B85">
        <v>9178</v>
      </c>
      <c r="C85">
        <v>158</v>
      </c>
      <c r="D85">
        <v>456</v>
      </c>
      <c r="E85">
        <v>12</v>
      </c>
      <c r="F85">
        <v>5</v>
      </c>
      <c r="G85">
        <v>50</v>
      </c>
    </row>
    <row r="86" spans="1:7" x14ac:dyDescent="0.25">
      <c r="A86">
        <v>70</v>
      </c>
      <c r="B86">
        <v>10081</v>
      </c>
      <c r="C86">
        <v>174</v>
      </c>
      <c r="D86">
        <v>501</v>
      </c>
      <c r="E86">
        <v>12</v>
      </c>
      <c r="F86">
        <v>5</v>
      </c>
      <c r="G86">
        <v>50</v>
      </c>
    </row>
    <row r="87" spans="1:7" x14ac:dyDescent="0.25">
      <c r="A87" t="s">
        <v>419</v>
      </c>
      <c r="B87">
        <v>10662</v>
      </c>
      <c r="C87">
        <v>184</v>
      </c>
      <c r="D87">
        <v>530</v>
      </c>
      <c r="E87">
        <v>18</v>
      </c>
      <c r="F87">
        <v>5</v>
      </c>
      <c r="G87">
        <v>50</v>
      </c>
    </row>
    <row r="88" spans="1:7" x14ac:dyDescent="0.25">
      <c r="A88">
        <v>80</v>
      </c>
      <c r="B88">
        <v>11565</v>
      </c>
      <c r="C88">
        <v>200</v>
      </c>
      <c r="D88">
        <v>575</v>
      </c>
      <c r="E88">
        <v>18</v>
      </c>
      <c r="F88">
        <v>5</v>
      </c>
      <c r="G88">
        <v>50</v>
      </c>
    </row>
    <row r="89" spans="1:7" x14ac:dyDescent="0.25">
      <c r="A89" t="s">
        <v>420</v>
      </c>
      <c r="B89">
        <v>12146</v>
      </c>
      <c r="C89">
        <v>210</v>
      </c>
      <c r="D89">
        <v>603</v>
      </c>
      <c r="E89">
        <v>24</v>
      </c>
      <c r="F89">
        <v>5</v>
      </c>
      <c r="G89">
        <v>50</v>
      </c>
    </row>
    <row r="90" spans="1:7" x14ac:dyDescent="0.25">
      <c r="A90">
        <v>90</v>
      </c>
      <c r="B90">
        <v>13050</v>
      </c>
      <c r="C90">
        <v>225</v>
      </c>
      <c r="D90">
        <v>648</v>
      </c>
      <c r="E90">
        <v>24</v>
      </c>
      <c r="F90">
        <v>5</v>
      </c>
      <c r="G90">
        <v>50</v>
      </c>
    </row>
    <row r="91" spans="1:7" x14ac:dyDescent="0.25">
      <c r="A91" t="s">
        <v>165</v>
      </c>
      <c r="B91" t="s">
        <v>410</v>
      </c>
      <c r="C91" t="s">
        <v>411</v>
      </c>
      <c r="D91" t="s">
        <v>412</v>
      </c>
      <c r="E91" t="s">
        <v>68</v>
      </c>
      <c r="F91" t="s">
        <v>413</v>
      </c>
      <c r="G91" t="s">
        <v>414</v>
      </c>
    </row>
    <row r="92" spans="1:7" x14ac:dyDescent="0.25">
      <c r="A92">
        <v>1</v>
      </c>
      <c r="B92">
        <v>1039</v>
      </c>
      <c r="C92">
        <v>16</v>
      </c>
      <c r="D92">
        <v>65</v>
      </c>
      <c r="E92">
        <v>0</v>
      </c>
      <c r="F92">
        <v>5</v>
      </c>
      <c r="G92">
        <v>50</v>
      </c>
    </row>
    <row r="93" spans="1:7" x14ac:dyDescent="0.25">
      <c r="A93">
        <v>20</v>
      </c>
      <c r="B93">
        <v>2670</v>
      </c>
      <c r="C93">
        <v>41</v>
      </c>
      <c r="D93">
        <v>166</v>
      </c>
      <c r="E93">
        <v>0</v>
      </c>
      <c r="F93">
        <v>5</v>
      </c>
      <c r="G93">
        <v>50</v>
      </c>
    </row>
    <row r="94" spans="1:7" x14ac:dyDescent="0.25">
      <c r="A94" t="s">
        <v>415</v>
      </c>
      <c r="B94">
        <v>3447</v>
      </c>
      <c r="C94">
        <v>53</v>
      </c>
      <c r="D94">
        <v>214</v>
      </c>
      <c r="E94">
        <v>0</v>
      </c>
      <c r="F94">
        <v>5</v>
      </c>
      <c r="G94">
        <v>50</v>
      </c>
    </row>
    <row r="95" spans="1:7" x14ac:dyDescent="0.25">
      <c r="A95">
        <v>40</v>
      </c>
      <c r="B95">
        <v>5163</v>
      </c>
      <c r="C95">
        <v>80</v>
      </c>
      <c r="D95">
        <v>321</v>
      </c>
      <c r="E95">
        <v>0</v>
      </c>
      <c r="F95">
        <v>5</v>
      </c>
      <c r="G95">
        <v>50</v>
      </c>
    </row>
    <row r="96" spans="1:7" x14ac:dyDescent="0.25">
      <c r="A96" t="s">
        <v>416</v>
      </c>
      <c r="B96">
        <v>5715</v>
      </c>
      <c r="C96">
        <v>88</v>
      </c>
      <c r="D96">
        <v>356</v>
      </c>
      <c r="E96">
        <v>6.7</v>
      </c>
      <c r="F96">
        <v>5</v>
      </c>
      <c r="G96">
        <v>50</v>
      </c>
    </row>
    <row r="97" spans="1:7" x14ac:dyDescent="0.25">
      <c r="A97">
        <v>50</v>
      </c>
      <c r="B97">
        <v>6573</v>
      </c>
      <c r="C97">
        <v>101</v>
      </c>
      <c r="D97">
        <v>409</v>
      </c>
      <c r="E97">
        <v>6.7</v>
      </c>
      <c r="F97">
        <v>5</v>
      </c>
      <c r="G97">
        <v>50</v>
      </c>
    </row>
    <row r="98" spans="1:7" x14ac:dyDescent="0.25">
      <c r="A98" t="s">
        <v>417</v>
      </c>
      <c r="B98">
        <v>7309</v>
      </c>
      <c r="C98">
        <v>113</v>
      </c>
      <c r="D98">
        <v>455</v>
      </c>
      <c r="E98">
        <v>13.3</v>
      </c>
      <c r="F98">
        <v>5</v>
      </c>
      <c r="G98">
        <v>50</v>
      </c>
    </row>
    <row r="99" spans="1:7" x14ac:dyDescent="0.25">
      <c r="A99">
        <v>60</v>
      </c>
      <c r="B99">
        <v>8168</v>
      </c>
      <c r="C99">
        <v>126</v>
      </c>
      <c r="D99">
        <v>508</v>
      </c>
      <c r="E99">
        <v>13.3</v>
      </c>
      <c r="F99">
        <v>5</v>
      </c>
      <c r="G99">
        <v>50</v>
      </c>
    </row>
    <row r="100" spans="1:7" x14ac:dyDescent="0.25">
      <c r="A100" t="s">
        <v>418</v>
      </c>
      <c r="B100">
        <v>8719</v>
      </c>
      <c r="C100">
        <v>134</v>
      </c>
      <c r="D100">
        <v>542</v>
      </c>
      <c r="E100">
        <v>13.3</v>
      </c>
      <c r="F100">
        <v>5</v>
      </c>
      <c r="G100">
        <v>50</v>
      </c>
    </row>
    <row r="101" spans="1:7" x14ac:dyDescent="0.25">
      <c r="A101">
        <v>70</v>
      </c>
      <c r="B101">
        <v>9577</v>
      </c>
      <c r="C101">
        <v>148</v>
      </c>
      <c r="D101">
        <v>596</v>
      </c>
      <c r="E101">
        <v>13.3</v>
      </c>
      <c r="F101">
        <v>5</v>
      </c>
      <c r="G101">
        <v>50</v>
      </c>
    </row>
    <row r="102" spans="1:7" x14ac:dyDescent="0.25">
      <c r="A102" t="s">
        <v>419</v>
      </c>
      <c r="B102">
        <v>10129</v>
      </c>
      <c r="C102">
        <v>156</v>
      </c>
      <c r="D102">
        <v>630</v>
      </c>
      <c r="E102">
        <v>20</v>
      </c>
      <c r="F102">
        <v>5</v>
      </c>
      <c r="G102">
        <v>50</v>
      </c>
    </row>
    <row r="103" spans="1:7" x14ac:dyDescent="0.25">
      <c r="A103">
        <v>80</v>
      </c>
      <c r="B103">
        <v>10987</v>
      </c>
      <c r="C103">
        <v>169</v>
      </c>
      <c r="D103">
        <v>684</v>
      </c>
      <c r="E103">
        <v>20</v>
      </c>
      <c r="F103">
        <v>5</v>
      </c>
      <c r="G103">
        <v>50</v>
      </c>
    </row>
    <row r="104" spans="1:7" x14ac:dyDescent="0.25">
      <c r="A104" t="s">
        <v>420</v>
      </c>
      <c r="B104">
        <v>11539</v>
      </c>
      <c r="C104">
        <v>178</v>
      </c>
      <c r="D104">
        <v>718</v>
      </c>
      <c r="E104">
        <v>26.7</v>
      </c>
      <c r="F104">
        <v>5</v>
      </c>
      <c r="G104">
        <v>50</v>
      </c>
    </row>
    <row r="105" spans="1:7" x14ac:dyDescent="0.25">
      <c r="A105">
        <v>90</v>
      </c>
      <c r="B105">
        <v>12397</v>
      </c>
      <c r="C105">
        <v>191</v>
      </c>
      <c r="D105">
        <v>771</v>
      </c>
      <c r="E105">
        <v>26.7</v>
      </c>
      <c r="F105">
        <v>5</v>
      </c>
      <c r="G105">
        <v>50</v>
      </c>
    </row>
    <row r="106" spans="1:7" x14ac:dyDescent="0.25">
      <c r="A106" t="s">
        <v>321</v>
      </c>
      <c r="B106" t="s">
        <v>410</v>
      </c>
      <c r="C106" t="s">
        <v>411</v>
      </c>
      <c r="D106" t="s">
        <v>412</v>
      </c>
      <c r="E106" t="s">
        <v>75</v>
      </c>
      <c r="F106" t="s">
        <v>413</v>
      </c>
      <c r="G106" t="s">
        <v>414</v>
      </c>
    </row>
    <row r="107" spans="1:7" x14ac:dyDescent="0.25">
      <c r="A107">
        <v>1</v>
      </c>
      <c r="B107">
        <v>1020</v>
      </c>
      <c r="C107">
        <v>23</v>
      </c>
      <c r="D107">
        <v>63</v>
      </c>
      <c r="E107">
        <v>0</v>
      </c>
      <c r="F107">
        <v>5</v>
      </c>
      <c r="G107">
        <v>50</v>
      </c>
    </row>
    <row r="108" spans="1:7" x14ac:dyDescent="0.25">
      <c r="A108">
        <v>20</v>
      </c>
      <c r="B108">
        <v>2646</v>
      </c>
      <c r="C108">
        <v>61</v>
      </c>
      <c r="D108">
        <v>165</v>
      </c>
      <c r="E108">
        <v>0</v>
      </c>
      <c r="F108">
        <v>5</v>
      </c>
      <c r="G108">
        <v>50</v>
      </c>
    </row>
    <row r="109" spans="1:7" x14ac:dyDescent="0.25">
      <c r="A109" t="s">
        <v>415</v>
      </c>
      <c r="B109">
        <v>3521</v>
      </c>
      <c r="C109">
        <v>81</v>
      </c>
      <c r="D109">
        <v>219</v>
      </c>
      <c r="E109">
        <v>0</v>
      </c>
      <c r="F109">
        <v>5</v>
      </c>
      <c r="G109">
        <v>50</v>
      </c>
    </row>
    <row r="110" spans="1:7" x14ac:dyDescent="0.25">
      <c r="A110">
        <v>40</v>
      </c>
      <c r="B110">
        <v>5268</v>
      </c>
      <c r="C110">
        <v>121</v>
      </c>
      <c r="D110">
        <v>328</v>
      </c>
      <c r="E110">
        <v>0</v>
      </c>
      <c r="F110">
        <v>5</v>
      </c>
      <c r="G110">
        <v>50</v>
      </c>
    </row>
    <row r="111" spans="1:7" x14ac:dyDescent="0.25">
      <c r="A111" t="s">
        <v>416</v>
      </c>
      <c r="B111">
        <v>5889</v>
      </c>
      <c r="C111">
        <v>135</v>
      </c>
      <c r="D111">
        <v>366</v>
      </c>
      <c r="E111">
        <v>7.2</v>
      </c>
      <c r="F111">
        <v>5</v>
      </c>
      <c r="G111">
        <v>50</v>
      </c>
    </row>
    <row r="112" spans="1:7" x14ac:dyDescent="0.25">
      <c r="A112">
        <v>50</v>
      </c>
      <c r="B112">
        <v>6776</v>
      </c>
      <c r="C112">
        <v>156</v>
      </c>
      <c r="D112">
        <v>421</v>
      </c>
      <c r="E112">
        <v>7.2</v>
      </c>
      <c r="F112">
        <v>5</v>
      </c>
      <c r="G112">
        <v>50</v>
      </c>
    </row>
    <row r="113" spans="1:7" x14ac:dyDescent="0.25">
      <c r="A113" t="s">
        <v>417</v>
      </c>
      <c r="B113">
        <v>7604</v>
      </c>
      <c r="C113">
        <v>175</v>
      </c>
      <c r="D113">
        <v>473</v>
      </c>
      <c r="E113">
        <v>14.4</v>
      </c>
      <c r="F113">
        <v>5</v>
      </c>
      <c r="G113">
        <v>50</v>
      </c>
    </row>
    <row r="114" spans="1:7" x14ac:dyDescent="0.25">
      <c r="A114">
        <v>60</v>
      </c>
      <c r="B114">
        <v>8500</v>
      </c>
      <c r="C114">
        <v>195</v>
      </c>
      <c r="D114">
        <v>528</v>
      </c>
      <c r="E114">
        <v>14.4</v>
      </c>
      <c r="F114">
        <v>5</v>
      </c>
      <c r="G114">
        <v>50</v>
      </c>
    </row>
    <row r="115" spans="1:7" x14ac:dyDescent="0.25">
      <c r="A115" t="s">
        <v>418</v>
      </c>
      <c r="B115">
        <v>9121</v>
      </c>
      <c r="C115">
        <v>210</v>
      </c>
      <c r="D115">
        <v>567</v>
      </c>
      <c r="E115">
        <v>14.4</v>
      </c>
      <c r="F115">
        <v>5</v>
      </c>
      <c r="G115">
        <v>50</v>
      </c>
    </row>
    <row r="116" spans="1:7" x14ac:dyDescent="0.25">
      <c r="A116">
        <v>70</v>
      </c>
      <c r="B116">
        <v>10025</v>
      </c>
      <c r="C116">
        <v>231</v>
      </c>
      <c r="D116">
        <v>623</v>
      </c>
      <c r="E116">
        <v>14.4</v>
      </c>
      <c r="F116">
        <v>5</v>
      </c>
      <c r="G116">
        <v>50</v>
      </c>
    </row>
    <row r="117" spans="1:7" x14ac:dyDescent="0.25">
      <c r="A117" t="s">
        <v>419</v>
      </c>
      <c r="B117">
        <v>10647</v>
      </c>
      <c r="C117">
        <v>245</v>
      </c>
      <c r="D117">
        <v>662</v>
      </c>
      <c r="E117">
        <v>21.6</v>
      </c>
      <c r="F117">
        <v>5</v>
      </c>
      <c r="G117">
        <v>50</v>
      </c>
    </row>
    <row r="118" spans="1:7" x14ac:dyDescent="0.25">
      <c r="A118">
        <v>80</v>
      </c>
      <c r="B118">
        <v>11561</v>
      </c>
      <c r="C118">
        <v>266</v>
      </c>
      <c r="D118">
        <v>719</v>
      </c>
      <c r="E118">
        <v>21.6</v>
      </c>
      <c r="F118">
        <v>5</v>
      </c>
      <c r="G118">
        <v>50</v>
      </c>
    </row>
    <row r="119" spans="1:7" x14ac:dyDescent="0.25">
      <c r="A119" t="s">
        <v>420</v>
      </c>
      <c r="B119">
        <v>12182</v>
      </c>
      <c r="C119">
        <v>280</v>
      </c>
      <c r="D119">
        <v>757</v>
      </c>
      <c r="E119">
        <v>28.8</v>
      </c>
      <c r="F119">
        <v>5</v>
      </c>
      <c r="G119">
        <v>50</v>
      </c>
    </row>
    <row r="120" spans="1:7" x14ac:dyDescent="0.25">
      <c r="A120">
        <v>90</v>
      </c>
      <c r="B120">
        <v>13103</v>
      </c>
      <c r="C120">
        <v>301</v>
      </c>
      <c r="D120">
        <v>815</v>
      </c>
      <c r="E120">
        <v>28.8</v>
      </c>
      <c r="F120">
        <v>5</v>
      </c>
      <c r="G120">
        <v>50</v>
      </c>
    </row>
    <row r="121" spans="1:7" x14ac:dyDescent="0.25">
      <c r="A121" t="s">
        <v>174</v>
      </c>
      <c r="B121" t="s">
        <v>410</v>
      </c>
      <c r="C121" t="s">
        <v>411</v>
      </c>
      <c r="D121" t="s">
        <v>412</v>
      </c>
      <c r="E121" t="s">
        <v>65</v>
      </c>
      <c r="F121" t="s">
        <v>413</v>
      </c>
      <c r="G121" t="s">
        <v>414</v>
      </c>
    </row>
    <row r="122" spans="1:7" x14ac:dyDescent="0.25">
      <c r="A122">
        <v>1</v>
      </c>
      <c r="B122">
        <v>921</v>
      </c>
      <c r="C122">
        <v>19</v>
      </c>
      <c r="D122">
        <v>54</v>
      </c>
      <c r="E122">
        <v>0</v>
      </c>
      <c r="F122">
        <v>5</v>
      </c>
      <c r="G122">
        <v>50</v>
      </c>
    </row>
    <row r="123" spans="1:7" x14ac:dyDescent="0.25">
      <c r="A123">
        <v>20</v>
      </c>
      <c r="B123">
        <v>2366</v>
      </c>
      <c r="C123">
        <v>48</v>
      </c>
      <c r="D123">
        <v>140</v>
      </c>
      <c r="E123">
        <v>0</v>
      </c>
      <c r="F123">
        <v>5</v>
      </c>
      <c r="G123">
        <v>50</v>
      </c>
    </row>
    <row r="124" spans="1:7" x14ac:dyDescent="0.25">
      <c r="A124" t="s">
        <v>415</v>
      </c>
      <c r="B124">
        <v>3054</v>
      </c>
      <c r="C124">
        <v>62</v>
      </c>
      <c r="D124">
        <v>180</v>
      </c>
      <c r="E124">
        <v>0</v>
      </c>
      <c r="F124">
        <v>5</v>
      </c>
      <c r="G124">
        <v>50</v>
      </c>
    </row>
    <row r="125" spans="1:7" x14ac:dyDescent="0.25">
      <c r="A125">
        <v>40</v>
      </c>
      <c r="B125">
        <v>4574</v>
      </c>
      <c r="C125">
        <v>93</v>
      </c>
      <c r="D125">
        <v>270</v>
      </c>
      <c r="E125">
        <v>0</v>
      </c>
      <c r="F125">
        <v>5</v>
      </c>
      <c r="G125">
        <v>50</v>
      </c>
    </row>
    <row r="126" spans="1:7" x14ac:dyDescent="0.25">
      <c r="A126" t="s">
        <v>416</v>
      </c>
      <c r="B126">
        <v>5063</v>
      </c>
      <c r="C126">
        <v>103</v>
      </c>
      <c r="D126">
        <v>299</v>
      </c>
      <c r="E126">
        <v>6</v>
      </c>
      <c r="F126">
        <v>5</v>
      </c>
      <c r="G126">
        <v>50</v>
      </c>
    </row>
    <row r="127" spans="1:7" x14ac:dyDescent="0.25">
      <c r="A127">
        <v>50</v>
      </c>
      <c r="B127">
        <v>5824</v>
      </c>
      <c r="C127">
        <v>118</v>
      </c>
      <c r="D127">
        <v>344</v>
      </c>
      <c r="E127">
        <v>6</v>
      </c>
      <c r="F127">
        <v>5</v>
      </c>
      <c r="G127">
        <v>50</v>
      </c>
    </row>
    <row r="128" spans="1:7" x14ac:dyDescent="0.25">
      <c r="A128" t="s">
        <v>417</v>
      </c>
      <c r="B128">
        <v>6475</v>
      </c>
      <c r="C128">
        <v>131</v>
      </c>
      <c r="D128">
        <v>382</v>
      </c>
      <c r="E128">
        <v>12</v>
      </c>
      <c r="F128">
        <v>5</v>
      </c>
      <c r="G128">
        <v>50</v>
      </c>
    </row>
    <row r="129" spans="1:7" x14ac:dyDescent="0.25">
      <c r="A129">
        <v>60</v>
      </c>
      <c r="B129">
        <v>7236</v>
      </c>
      <c r="C129">
        <v>147</v>
      </c>
      <c r="D129">
        <v>427</v>
      </c>
      <c r="E129">
        <v>12</v>
      </c>
      <c r="F129">
        <v>5</v>
      </c>
      <c r="G129">
        <v>50</v>
      </c>
    </row>
    <row r="130" spans="1:7" x14ac:dyDescent="0.25">
      <c r="A130" t="s">
        <v>418</v>
      </c>
      <c r="B130">
        <v>7725</v>
      </c>
      <c r="C130">
        <v>157</v>
      </c>
      <c r="D130">
        <v>456</v>
      </c>
      <c r="E130">
        <v>12</v>
      </c>
      <c r="F130">
        <v>5</v>
      </c>
      <c r="G130">
        <v>50</v>
      </c>
    </row>
    <row r="131" spans="1:7" x14ac:dyDescent="0.25">
      <c r="A131">
        <v>70</v>
      </c>
      <c r="B131">
        <v>8485</v>
      </c>
      <c r="C131">
        <v>172</v>
      </c>
      <c r="D131">
        <v>501</v>
      </c>
      <c r="E131">
        <v>12</v>
      </c>
      <c r="F131">
        <v>5</v>
      </c>
      <c r="G131">
        <v>50</v>
      </c>
    </row>
    <row r="132" spans="1:7" x14ac:dyDescent="0.25">
      <c r="A132" t="s">
        <v>419</v>
      </c>
      <c r="B132">
        <v>8974</v>
      </c>
      <c r="C132">
        <v>182</v>
      </c>
      <c r="D132">
        <v>530</v>
      </c>
      <c r="E132">
        <v>18</v>
      </c>
      <c r="F132">
        <v>5</v>
      </c>
      <c r="G132">
        <v>50</v>
      </c>
    </row>
    <row r="133" spans="1:7" x14ac:dyDescent="0.25">
      <c r="A133">
        <v>80</v>
      </c>
      <c r="B133">
        <v>9734</v>
      </c>
      <c r="C133">
        <v>198</v>
      </c>
      <c r="D133">
        <v>575</v>
      </c>
      <c r="E133">
        <v>18</v>
      </c>
      <c r="F133">
        <v>5</v>
      </c>
      <c r="G133">
        <v>50</v>
      </c>
    </row>
    <row r="134" spans="1:7" x14ac:dyDescent="0.25">
      <c r="A134" t="s">
        <v>420</v>
      </c>
      <c r="B134">
        <v>10223</v>
      </c>
      <c r="C134">
        <v>208</v>
      </c>
      <c r="D134">
        <v>603</v>
      </c>
      <c r="E134">
        <v>24</v>
      </c>
      <c r="F134">
        <v>5</v>
      </c>
      <c r="G134">
        <v>50</v>
      </c>
    </row>
    <row r="135" spans="1:7" x14ac:dyDescent="0.25">
      <c r="A135">
        <v>90</v>
      </c>
      <c r="B135">
        <v>10984</v>
      </c>
      <c r="C135">
        <v>223</v>
      </c>
      <c r="D135">
        <v>648</v>
      </c>
      <c r="E135">
        <v>24</v>
      </c>
      <c r="F135">
        <v>5</v>
      </c>
      <c r="G135">
        <v>50</v>
      </c>
    </row>
    <row r="136" spans="1:7" x14ac:dyDescent="0.25">
      <c r="A136" t="s">
        <v>176</v>
      </c>
      <c r="B136" t="s">
        <v>410</v>
      </c>
      <c r="C136" t="s">
        <v>411</v>
      </c>
      <c r="D136" t="s">
        <v>412</v>
      </c>
      <c r="E136" t="s">
        <v>413</v>
      </c>
      <c r="F136" t="s">
        <v>414</v>
      </c>
      <c r="G136" t="s">
        <v>414</v>
      </c>
    </row>
    <row r="137" spans="1:7" x14ac:dyDescent="0.25">
      <c r="A137">
        <v>1</v>
      </c>
      <c r="B137">
        <v>1011</v>
      </c>
      <c r="C137">
        <v>26</v>
      </c>
      <c r="D137">
        <v>61</v>
      </c>
      <c r="E137">
        <v>5</v>
      </c>
      <c r="F137">
        <v>50</v>
      </c>
      <c r="G137">
        <v>50</v>
      </c>
    </row>
    <row r="138" spans="1:7" x14ac:dyDescent="0.25">
      <c r="A138">
        <v>20</v>
      </c>
      <c r="B138">
        <v>2621</v>
      </c>
      <c r="C138">
        <v>68</v>
      </c>
      <c r="D138">
        <v>158</v>
      </c>
      <c r="E138">
        <v>5</v>
      </c>
      <c r="F138">
        <v>50</v>
      </c>
      <c r="G138">
        <v>50</v>
      </c>
    </row>
    <row r="139" spans="1:7" x14ac:dyDescent="0.25">
      <c r="A139" t="s">
        <v>415</v>
      </c>
      <c r="B139">
        <v>3488</v>
      </c>
      <c r="C139">
        <v>90</v>
      </c>
      <c r="D139">
        <v>211</v>
      </c>
      <c r="E139">
        <v>5</v>
      </c>
      <c r="F139">
        <v>50</v>
      </c>
      <c r="G139">
        <v>50</v>
      </c>
    </row>
    <row r="140" spans="1:7" x14ac:dyDescent="0.25">
      <c r="A140">
        <v>40</v>
      </c>
      <c r="B140">
        <v>5219</v>
      </c>
      <c r="C140">
        <v>135</v>
      </c>
      <c r="D140">
        <v>315</v>
      </c>
      <c r="E140">
        <v>5</v>
      </c>
      <c r="F140">
        <v>50</v>
      </c>
      <c r="G140">
        <v>50</v>
      </c>
    </row>
    <row r="141" spans="1:7" x14ac:dyDescent="0.25">
      <c r="A141" t="s">
        <v>416</v>
      </c>
      <c r="B141">
        <v>5834</v>
      </c>
      <c r="C141">
        <v>151</v>
      </c>
      <c r="D141">
        <v>352</v>
      </c>
      <c r="E141">
        <v>9.8000000000000007</v>
      </c>
      <c r="F141">
        <v>50</v>
      </c>
      <c r="G141">
        <v>50</v>
      </c>
    </row>
    <row r="142" spans="1:7" x14ac:dyDescent="0.25">
      <c r="A142">
        <v>50</v>
      </c>
      <c r="B142">
        <v>6712</v>
      </c>
      <c r="C142">
        <v>173</v>
      </c>
      <c r="D142">
        <v>405</v>
      </c>
      <c r="E142">
        <v>9.8000000000000007</v>
      </c>
      <c r="F142">
        <v>50</v>
      </c>
      <c r="G142">
        <v>50</v>
      </c>
    </row>
    <row r="143" spans="1:7" x14ac:dyDescent="0.25">
      <c r="A143" t="s">
        <v>417</v>
      </c>
      <c r="B143">
        <v>7533</v>
      </c>
      <c r="C143">
        <v>194</v>
      </c>
      <c r="D143">
        <v>455</v>
      </c>
      <c r="E143">
        <v>14.6</v>
      </c>
      <c r="F143">
        <v>50</v>
      </c>
      <c r="G143">
        <v>50</v>
      </c>
    </row>
    <row r="144" spans="1:7" x14ac:dyDescent="0.25">
      <c r="A144">
        <v>60</v>
      </c>
      <c r="B144">
        <v>8421</v>
      </c>
      <c r="C144">
        <v>217</v>
      </c>
      <c r="D144">
        <v>509</v>
      </c>
      <c r="E144">
        <v>14.6</v>
      </c>
      <c r="F144">
        <v>50</v>
      </c>
      <c r="G144">
        <v>50</v>
      </c>
    </row>
    <row r="145" spans="1:7" x14ac:dyDescent="0.25">
      <c r="A145" t="s">
        <v>418</v>
      </c>
      <c r="B145">
        <v>9036</v>
      </c>
      <c r="C145">
        <v>233</v>
      </c>
      <c r="D145">
        <v>546</v>
      </c>
      <c r="E145">
        <v>14.6</v>
      </c>
      <c r="F145">
        <v>50</v>
      </c>
      <c r="G145">
        <v>50</v>
      </c>
    </row>
    <row r="146" spans="1:7" x14ac:dyDescent="0.25">
      <c r="A146">
        <v>70</v>
      </c>
      <c r="B146">
        <v>9932</v>
      </c>
      <c r="C146">
        <v>256</v>
      </c>
      <c r="D146">
        <v>600</v>
      </c>
      <c r="E146">
        <v>14.6</v>
      </c>
      <c r="F146">
        <v>50</v>
      </c>
      <c r="G146">
        <v>50</v>
      </c>
    </row>
    <row r="147" spans="1:7" x14ac:dyDescent="0.25">
      <c r="A147" t="s">
        <v>419</v>
      </c>
      <c r="B147">
        <v>10547</v>
      </c>
      <c r="C147">
        <v>272</v>
      </c>
      <c r="D147">
        <v>637</v>
      </c>
      <c r="E147">
        <v>19.399999999999999</v>
      </c>
      <c r="F147">
        <v>50</v>
      </c>
      <c r="G147">
        <v>50</v>
      </c>
    </row>
    <row r="148" spans="1:7" x14ac:dyDescent="0.25">
      <c r="A148">
        <v>80</v>
      </c>
      <c r="B148">
        <v>11453</v>
      </c>
      <c r="C148">
        <v>295</v>
      </c>
      <c r="D148">
        <v>692</v>
      </c>
      <c r="E148">
        <v>19.399999999999999</v>
      </c>
      <c r="F148">
        <v>50</v>
      </c>
      <c r="G148">
        <v>50</v>
      </c>
    </row>
    <row r="149" spans="1:7" x14ac:dyDescent="0.25">
      <c r="A149" t="s">
        <v>420</v>
      </c>
      <c r="B149">
        <v>12068</v>
      </c>
      <c r="C149">
        <v>311</v>
      </c>
      <c r="D149">
        <v>729</v>
      </c>
      <c r="E149">
        <v>24.2</v>
      </c>
      <c r="F149">
        <v>50</v>
      </c>
      <c r="G149">
        <v>50</v>
      </c>
    </row>
    <row r="150" spans="1:7" x14ac:dyDescent="0.25">
      <c r="A150">
        <v>90</v>
      </c>
      <c r="B150">
        <v>12981</v>
      </c>
      <c r="C150">
        <v>335</v>
      </c>
      <c r="D150">
        <v>784</v>
      </c>
      <c r="E150">
        <v>24.2</v>
      </c>
      <c r="F150">
        <v>50</v>
      </c>
      <c r="G150">
        <v>50</v>
      </c>
    </row>
    <row r="151" spans="1:7" x14ac:dyDescent="0.25">
      <c r="A151" t="s">
        <v>186</v>
      </c>
      <c r="B151" t="s">
        <v>410</v>
      </c>
      <c r="C151" t="s">
        <v>411</v>
      </c>
      <c r="D151" t="s">
        <v>412</v>
      </c>
      <c r="E151" t="s">
        <v>74</v>
      </c>
      <c r="F151" t="s">
        <v>413</v>
      </c>
      <c r="G151" t="s">
        <v>414</v>
      </c>
    </row>
    <row r="152" spans="1:7" x14ac:dyDescent="0.25">
      <c r="A152">
        <v>1</v>
      </c>
      <c r="B152">
        <v>802</v>
      </c>
      <c r="C152">
        <v>18</v>
      </c>
      <c r="D152">
        <v>50</v>
      </c>
      <c r="E152">
        <v>0</v>
      </c>
      <c r="F152">
        <v>5</v>
      </c>
      <c r="G152">
        <v>50</v>
      </c>
    </row>
    <row r="153" spans="1:7" x14ac:dyDescent="0.25">
      <c r="A153">
        <v>20</v>
      </c>
      <c r="B153">
        <v>2061</v>
      </c>
      <c r="C153">
        <v>46</v>
      </c>
      <c r="D153">
        <v>129</v>
      </c>
      <c r="E153">
        <v>0</v>
      </c>
      <c r="F153">
        <v>5</v>
      </c>
      <c r="G153">
        <v>50</v>
      </c>
    </row>
    <row r="154" spans="1:7" x14ac:dyDescent="0.25">
      <c r="A154" t="s">
        <v>415</v>
      </c>
      <c r="B154">
        <v>2661</v>
      </c>
      <c r="C154">
        <v>59</v>
      </c>
      <c r="D154">
        <v>167</v>
      </c>
      <c r="E154">
        <v>0</v>
      </c>
      <c r="F154">
        <v>5</v>
      </c>
      <c r="G154">
        <v>50</v>
      </c>
    </row>
    <row r="155" spans="1:7" x14ac:dyDescent="0.25">
      <c r="A155">
        <v>40</v>
      </c>
      <c r="B155">
        <v>3985</v>
      </c>
      <c r="C155">
        <v>88</v>
      </c>
      <c r="D155">
        <v>250</v>
      </c>
      <c r="E155">
        <v>0</v>
      </c>
      <c r="F155">
        <v>5</v>
      </c>
      <c r="G155">
        <v>50</v>
      </c>
    </row>
    <row r="156" spans="1:7" x14ac:dyDescent="0.25">
      <c r="A156" t="s">
        <v>416</v>
      </c>
      <c r="B156">
        <v>4411</v>
      </c>
      <c r="C156">
        <v>98</v>
      </c>
      <c r="D156">
        <v>277</v>
      </c>
      <c r="E156">
        <v>6</v>
      </c>
      <c r="F156">
        <v>5</v>
      </c>
      <c r="G156">
        <v>50</v>
      </c>
    </row>
    <row r="157" spans="1:7" x14ac:dyDescent="0.25">
      <c r="A157">
        <v>50</v>
      </c>
      <c r="B157">
        <v>5074</v>
      </c>
      <c r="C157">
        <v>113</v>
      </c>
      <c r="D157">
        <v>318</v>
      </c>
      <c r="E157">
        <v>6</v>
      </c>
      <c r="F157">
        <v>5</v>
      </c>
      <c r="G157">
        <v>50</v>
      </c>
    </row>
    <row r="158" spans="1:7" x14ac:dyDescent="0.25">
      <c r="A158" t="s">
        <v>417</v>
      </c>
      <c r="B158">
        <v>5642</v>
      </c>
      <c r="C158">
        <v>125</v>
      </c>
      <c r="D158">
        <v>354</v>
      </c>
      <c r="E158">
        <v>12</v>
      </c>
      <c r="F158">
        <v>5</v>
      </c>
      <c r="G158">
        <v>50</v>
      </c>
    </row>
    <row r="159" spans="1:7" x14ac:dyDescent="0.25">
      <c r="A159">
        <v>60</v>
      </c>
      <c r="B159">
        <v>6305</v>
      </c>
      <c r="C159">
        <v>140</v>
      </c>
      <c r="D159">
        <v>396</v>
      </c>
      <c r="E159">
        <v>12</v>
      </c>
      <c r="F159">
        <v>5</v>
      </c>
      <c r="G159">
        <v>50</v>
      </c>
    </row>
    <row r="160" spans="1:7" x14ac:dyDescent="0.25">
      <c r="A160" t="s">
        <v>418</v>
      </c>
      <c r="B160">
        <v>6731</v>
      </c>
      <c r="C160">
        <v>149</v>
      </c>
      <c r="D160">
        <v>422</v>
      </c>
      <c r="E160">
        <v>12</v>
      </c>
      <c r="F160">
        <v>5</v>
      </c>
      <c r="G160">
        <v>50</v>
      </c>
    </row>
    <row r="161" spans="1:7" x14ac:dyDescent="0.25">
      <c r="A161">
        <v>70</v>
      </c>
      <c r="B161">
        <v>7393</v>
      </c>
      <c r="C161">
        <v>164</v>
      </c>
      <c r="D161">
        <v>464</v>
      </c>
      <c r="E161">
        <v>12</v>
      </c>
      <c r="F161">
        <v>5</v>
      </c>
      <c r="G161">
        <v>50</v>
      </c>
    </row>
    <row r="162" spans="1:7" x14ac:dyDescent="0.25">
      <c r="A162" t="s">
        <v>419</v>
      </c>
      <c r="B162">
        <v>7818</v>
      </c>
      <c r="C162">
        <v>174</v>
      </c>
      <c r="D162">
        <v>491</v>
      </c>
      <c r="E162">
        <v>18</v>
      </c>
      <c r="F162">
        <v>5</v>
      </c>
      <c r="G162">
        <v>50</v>
      </c>
    </row>
    <row r="163" spans="1:7" x14ac:dyDescent="0.25">
      <c r="A163">
        <v>80</v>
      </c>
      <c r="B163">
        <v>8481</v>
      </c>
      <c r="C163">
        <v>188</v>
      </c>
      <c r="D163">
        <v>532</v>
      </c>
      <c r="E163">
        <v>18</v>
      </c>
      <c r="F163">
        <v>5</v>
      </c>
      <c r="G163">
        <v>50</v>
      </c>
    </row>
    <row r="164" spans="1:7" x14ac:dyDescent="0.25">
      <c r="A164" t="s">
        <v>420</v>
      </c>
      <c r="B164">
        <v>8907</v>
      </c>
      <c r="C164">
        <v>198</v>
      </c>
      <c r="D164">
        <v>559</v>
      </c>
      <c r="E164">
        <v>24</v>
      </c>
      <c r="F164">
        <v>5</v>
      </c>
      <c r="G164">
        <v>50</v>
      </c>
    </row>
    <row r="165" spans="1:7" x14ac:dyDescent="0.25">
      <c r="A165">
        <v>90</v>
      </c>
      <c r="B165">
        <v>9570</v>
      </c>
      <c r="C165">
        <v>212</v>
      </c>
      <c r="D165">
        <v>601</v>
      </c>
      <c r="E165">
        <v>24</v>
      </c>
      <c r="F165">
        <v>5</v>
      </c>
      <c r="G165">
        <v>50</v>
      </c>
    </row>
    <row r="166" spans="1:7" x14ac:dyDescent="0.25">
      <c r="A166" t="s">
        <v>192</v>
      </c>
      <c r="B166" t="s">
        <v>410</v>
      </c>
      <c r="C166" t="s">
        <v>411</v>
      </c>
      <c r="D166" t="s">
        <v>412</v>
      </c>
      <c r="E166" t="s">
        <v>414</v>
      </c>
      <c r="F166" t="s">
        <v>413</v>
      </c>
    </row>
    <row r="167" spans="1:7" x14ac:dyDescent="0.25">
      <c r="A167">
        <v>1</v>
      </c>
      <c r="B167">
        <v>1030</v>
      </c>
      <c r="C167">
        <v>27</v>
      </c>
      <c r="D167">
        <v>58</v>
      </c>
      <c r="E167">
        <v>50</v>
      </c>
      <c r="F167">
        <v>5</v>
      </c>
    </row>
    <row r="168" spans="1:7" x14ac:dyDescent="0.25">
      <c r="A168">
        <v>20</v>
      </c>
      <c r="B168">
        <v>2671</v>
      </c>
      <c r="C168">
        <v>69</v>
      </c>
      <c r="D168">
        <v>152</v>
      </c>
      <c r="E168">
        <v>50</v>
      </c>
      <c r="F168">
        <v>5</v>
      </c>
    </row>
    <row r="169" spans="1:7" x14ac:dyDescent="0.25">
      <c r="A169" t="s">
        <v>415</v>
      </c>
      <c r="B169">
        <v>3554</v>
      </c>
      <c r="C169">
        <v>92</v>
      </c>
      <c r="D169">
        <v>202</v>
      </c>
      <c r="E169">
        <v>50</v>
      </c>
      <c r="F169">
        <v>5</v>
      </c>
    </row>
    <row r="170" spans="1:7" x14ac:dyDescent="0.25">
      <c r="A170">
        <v>40</v>
      </c>
      <c r="B170">
        <v>5317</v>
      </c>
      <c r="C170">
        <v>138</v>
      </c>
      <c r="D170">
        <v>302</v>
      </c>
      <c r="E170">
        <v>50</v>
      </c>
      <c r="F170">
        <v>5</v>
      </c>
    </row>
    <row r="171" spans="1:7" x14ac:dyDescent="0.25">
      <c r="A171" t="s">
        <v>416</v>
      </c>
      <c r="B171">
        <v>5944</v>
      </c>
      <c r="C171">
        <v>154</v>
      </c>
      <c r="D171">
        <v>334</v>
      </c>
      <c r="E171">
        <v>59.6</v>
      </c>
      <c r="F171">
        <v>5</v>
      </c>
    </row>
    <row r="172" spans="1:7" x14ac:dyDescent="0.25">
      <c r="A172">
        <v>50</v>
      </c>
      <c r="B172">
        <v>6839</v>
      </c>
      <c r="C172">
        <v>177</v>
      </c>
      <c r="D172">
        <v>388</v>
      </c>
      <c r="E172">
        <v>59.6</v>
      </c>
      <c r="F172">
        <v>5</v>
      </c>
    </row>
    <row r="173" spans="1:7" x14ac:dyDescent="0.25">
      <c r="A173" t="s">
        <v>417</v>
      </c>
      <c r="B173">
        <v>7675</v>
      </c>
      <c r="C173">
        <v>198</v>
      </c>
      <c r="D173">
        <v>436</v>
      </c>
      <c r="E173">
        <v>69.2</v>
      </c>
      <c r="F173">
        <v>5</v>
      </c>
    </row>
    <row r="174" spans="1:7" x14ac:dyDescent="0.25">
      <c r="A174">
        <v>60</v>
      </c>
      <c r="B174">
        <v>8579</v>
      </c>
      <c r="C174">
        <v>222</v>
      </c>
      <c r="D174">
        <v>487</v>
      </c>
      <c r="E174">
        <v>69.2</v>
      </c>
      <c r="F174">
        <v>5</v>
      </c>
    </row>
    <row r="175" spans="1:7" x14ac:dyDescent="0.25">
      <c r="A175" t="s">
        <v>418</v>
      </c>
      <c r="B175">
        <v>9207</v>
      </c>
      <c r="C175">
        <v>238</v>
      </c>
      <c r="D175">
        <v>523</v>
      </c>
      <c r="E175">
        <v>69.2</v>
      </c>
      <c r="F175">
        <v>5</v>
      </c>
    </row>
    <row r="176" spans="1:7" x14ac:dyDescent="0.25">
      <c r="A176">
        <v>70</v>
      </c>
      <c r="B176">
        <v>10119</v>
      </c>
      <c r="C176">
        <v>262</v>
      </c>
      <c r="D176">
        <v>574</v>
      </c>
      <c r="E176">
        <v>69.2</v>
      </c>
      <c r="F176">
        <v>5</v>
      </c>
    </row>
    <row r="177" spans="1:7" x14ac:dyDescent="0.25">
      <c r="A177" t="s">
        <v>419</v>
      </c>
      <c r="B177">
        <v>10746</v>
      </c>
      <c r="C177">
        <v>278</v>
      </c>
      <c r="D177">
        <v>610</v>
      </c>
      <c r="E177">
        <v>78.8</v>
      </c>
      <c r="F177">
        <v>5</v>
      </c>
    </row>
    <row r="178" spans="1:7" x14ac:dyDescent="0.25">
      <c r="A178">
        <v>80</v>
      </c>
      <c r="B178">
        <v>11669</v>
      </c>
      <c r="C178">
        <v>302</v>
      </c>
      <c r="D178">
        <v>662</v>
      </c>
      <c r="E178">
        <v>78.8</v>
      </c>
      <c r="F178">
        <v>5</v>
      </c>
    </row>
    <row r="179" spans="1:7" x14ac:dyDescent="0.25">
      <c r="A179" t="s">
        <v>420</v>
      </c>
      <c r="B179">
        <v>12296</v>
      </c>
      <c r="C179">
        <v>318</v>
      </c>
      <c r="D179">
        <v>698</v>
      </c>
      <c r="E179">
        <v>88.4</v>
      </c>
      <c r="F179">
        <v>5</v>
      </c>
    </row>
    <row r="180" spans="1:7" x14ac:dyDescent="0.25">
      <c r="A180">
        <v>90</v>
      </c>
      <c r="B180">
        <v>13226</v>
      </c>
      <c r="C180">
        <v>342</v>
      </c>
      <c r="D180">
        <v>751</v>
      </c>
      <c r="E180">
        <v>88.4</v>
      </c>
      <c r="F180">
        <v>5</v>
      </c>
    </row>
    <row r="181" spans="1:7" x14ac:dyDescent="0.25">
      <c r="A181" t="s">
        <v>207</v>
      </c>
      <c r="B181" t="s">
        <v>410</v>
      </c>
      <c r="C181" t="s">
        <v>411</v>
      </c>
      <c r="D181" t="s">
        <v>412</v>
      </c>
      <c r="E181" t="s">
        <v>65</v>
      </c>
      <c r="F181" t="s">
        <v>413</v>
      </c>
      <c r="G181" t="s">
        <v>414</v>
      </c>
    </row>
    <row r="182" spans="1:7" x14ac:dyDescent="0.25">
      <c r="A182">
        <v>1</v>
      </c>
      <c r="B182">
        <v>770</v>
      </c>
      <c r="C182">
        <v>20</v>
      </c>
      <c r="D182">
        <v>50</v>
      </c>
      <c r="E182">
        <v>0</v>
      </c>
      <c r="F182">
        <v>5</v>
      </c>
      <c r="G182">
        <v>50</v>
      </c>
    </row>
    <row r="183" spans="1:7" x14ac:dyDescent="0.25">
      <c r="A183">
        <v>20</v>
      </c>
      <c r="B183">
        <v>1979</v>
      </c>
      <c r="C183">
        <v>53</v>
      </c>
      <c r="D183">
        <v>128</v>
      </c>
      <c r="E183">
        <v>0</v>
      </c>
      <c r="F183">
        <v>5</v>
      </c>
      <c r="G183">
        <v>50</v>
      </c>
    </row>
    <row r="184" spans="1:7" x14ac:dyDescent="0.25">
      <c r="A184" t="s">
        <v>415</v>
      </c>
      <c r="B184">
        <v>2555</v>
      </c>
      <c r="C184">
        <v>68</v>
      </c>
      <c r="D184">
        <v>165</v>
      </c>
      <c r="E184">
        <v>0</v>
      </c>
      <c r="F184">
        <v>5</v>
      </c>
      <c r="G184">
        <v>50</v>
      </c>
    </row>
    <row r="185" spans="1:7" x14ac:dyDescent="0.25">
      <c r="A185">
        <v>40</v>
      </c>
      <c r="B185">
        <v>3827</v>
      </c>
      <c r="C185">
        <v>102</v>
      </c>
      <c r="D185">
        <v>247</v>
      </c>
      <c r="E185">
        <v>0</v>
      </c>
      <c r="F185">
        <v>5</v>
      </c>
      <c r="G185">
        <v>50</v>
      </c>
    </row>
    <row r="186" spans="1:7" x14ac:dyDescent="0.25">
      <c r="A186" t="s">
        <v>416</v>
      </c>
      <c r="B186">
        <v>4236</v>
      </c>
      <c r="C186">
        <v>113</v>
      </c>
      <c r="D186">
        <v>274</v>
      </c>
      <c r="E186">
        <v>6</v>
      </c>
      <c r="F186">
        <v>5</v>
      </c>
      <c r="G186">
        <v>50</v>
      </c>
    </row>
    <row r="187" spans="1:7" x14ac:dyDescent="0.25">
      <c r="A187">
        <v>50</v>
      </c>
      <c r="B187">
        <v>4872</v>
      </c>
      <c r="C187">
        <v>130</v>
      </c>
      <c r="D187">
        <v>315</v>
      </c>
      <c r="E187">
        <v>6</v>
      </c>
      <c r="F187">
        <v>5</v>
      </c>
      <c r="G187">
        <v>50</v>
      </c>
    </row>
    <row r="188" spans="1:7" x14ac:dyDescent="0.25">
      <c r="A188" t="s">
        <v>417</v>
      </c>
      <c r="B188">
        <v>5418</v>
      </c>
      <c r="C188">
        <v>144</v>
      </c>
      <c r="D188">
        <v>350</v>
      </c>
      <c r="E188">
        <v>12</v>
      </c>
      <c r="F188">
        <v>5</v>
      </c>
      <c r="G188">
        <v>50</v>
      </c>
    </row>
    <row r="189" spans="1:7" x14ac:dyDescent="0.25">
      <c r="A189">
        <v>60</v>
      </c>
      <c r="B189">
        <v>6054</v>
      </c>
      <c r="C189">
        <v>161</v>
      </c>
      <c r="D189">
        <v>391</v>
      </c>
      <c r="E189">
        <v>12</v>
      </c>
      <c r="F189">
        <v>5</v>
      </c>
      <c r="G189">
        <v>50</v>
      </c>
    </row>
    <row r="190" spans="1:7" x14ac:dyDescent="0.25">
      <c r="A190" t="s">
        <v>418</v>
      </c>
      <c r="B190">
        <v>6463</v>
      </c>
      <c r="C190">
        <v>172</v>
      </c>
      <c r="D190">
        <v>418</v>
      </c>
      <c r="E190">
        <v>12</v>
      </c>
      <c r="F190">
        <v>5</v>
      </c>
      <c r="G190">
        <v>50</v>
      </c>
    </row>
    <row r="191" spans="1:7" x14ac:dyDescent="0.25">
      <c r="A191">
        <v>70</v>
      </c>
      <c r="B191">
        <v>7099</v>
      </c>
      <c r="C191">
        <v>189</v>
      </c>
      <c r="D191">
        <v>459</v>
      </c>
      <c r="E191">
        <v>12</v>
      </c>
      <c r="F191">
        <v>5</v>
      </c>
      <c r="G191">
        <v>50</v>
      </c>
    </row>
    <row r="192" spans="1:7" x14ac:dyDescent="0.25">
      <c r="A192" t="s">
        <v>419</v>
      </c>
      <c r="B192">
        <v>7508</v>
      </c>
      <c r="C192">
        <v>200</v>
      </c>
      <c r="D192">
        <v>485</v>
      </c>
      <c r="E192">
        <v>18</v>
      </c>
      <c r="F192">
        <v>5</v>
      </c>
      <c r="G192">
        <v>50</v>
      </c>
    </row>
    <row r="193" spans="1:22" x14ac:dyDescent="0.25">
      <c r="A193">
        <v>80</v>
      </c>
      <c r="B193">
        <v>8144</v>
      </c>
      <c r="C193">
        <v>216</v>
      </c>
      <c r="D193">
        <v>526</v>
      </c>
      <c r="E193">
        <v>18</v>
      </c>
      <c r="F193">
        <v>5</v>
      </c>
      <c r="G193">
        <v>50</v>
      </c>
    </row>
    <row r="194" spans="1:22" x14ac:dyDescent="0.25">
      <c r="A194" t="s">
        <v>420</v>
      </c>
      <c r="B194">
        <v>8553</v>
      </c>
      <c r="C194">
        <v>227</v>
      </c>
      <c r="D194">
        <v>553</v>
      </c>
      <c r="E194">
        <v>24</v>
      </c>
      <c r="F194">
        <v>5</v>
      </c>
      <c r="G194">
        <v>50</v>
      </c>
    </row>
    <row r="195" spans="1:22" x14ac:dyDescent="0.25">
      <c r="A195">
        <v>90</v>
      </c>
      <c r="B195">
        <v>9189</v>
      </c>
      <c r="C195">
        <v>244</v>
      </c>
      <c r="D195">
        <v>594</v>
      </c>
      <c r="E195">
        <v>24</v>
      </c>
      <c r="F195">
        <v>5</v>
      </c>
      <c r="G195">
        <v>50</v>
      </c>
    </row>
    <row r="196" spans="1:22" x14ac:dyDescent="0.25">
      <c r="A196" t="s">
        <v>216</v>
      </c>
      <c r="B196" t="s">
        <v>410</v>
      </c>
      <c r="C196" t="s">
        <v>411</v>
      </c>
      <c r="D196" t="s">
        <v>412</v>
      </c>
      <c r="E196" t="s">
        <v>414</v>
      </c>
      <c r="F196" t="s">
        <v>413</v>
      </c>
      <c r="G196" t="s">
        <v>414</v>
      </c>
    </row>
    <row r="197" spans="1:22" x14ac:dyDescent="0.25">
      <c r="A197">
        <v>1</v>
      </c>
      <c r="B197">
        <v>763</v>
      </c>
      <c r="C197">
        <v>26</v>
      </c>
      <c r="D197">
        <v>49</v>
      </c>
      <c r="E197">
        <v>50</v>
      </c>
      <c r="F197">
        <v>5</v>
      </c>
      <c r="G197">
        <v>50</v>
      </c>
    </row>
    <row r="198" spans="1:22" x14ac:dyDescent="0.25">
      <c r="A198">
        <v>20</v>
      </c>
      <c r="B198">
        <v>1978</v>
      </c>
      <c r="C198">
        <v>68</v>
      </c>
      <c r="D198">
        <v>127</v>
      </c>
      <c r="E198">
        <v>50</v>
      </c>
      <c r="F198">
        <v>5</v>
      </c>
      <c r="G198">
        <v>50</v>
      </c>
    </row>
    <row r="199" spans="1:22" x14ac:dyDescent="0.25">
      <c r="A199" t="s">
        <v>415</v>
      </c>
      <c r="B199">
        <v>2632</v>
      </c>
      <c r="C199">
        <v>90</v>
      </c>
      <c r="D199">
        <v>169</v>
      </c>
      <c r="E199">
        <v>50</v>
      </c>
      <c r="F199">
        <v>5</v>
      </c>
      <c r="G199">
        <v>50</v>
      </c>
    </row>
    <row r="200" spans="1:22" x14ac:dyDescent="0.25">
      <c r="A200">
        <v>40</v>
      </c>
      <c r="B200">
        <v>3939</v>
      </c>
      <c r="C200">
        <v>135</v>
      </c>
      <c r="D200">
        <v>253</v>
      </c>
      <c r="E200">
        <v>50</v>
      </c>
      <c r="F200">
        <v>5</v>
      </c>
      <c r="G200">
        <v>50</v>
      </c>
    </row>
    <row r="201" spans="1:22" x14ac:dyDescent="0.25">
      <c r="A201" t="s">
        <v>416</v>
      </c>
      <c r="B201">
        <v>4403</v>
      </c>
      <c r="C201">
        <v>151</v>
      </c>
      <c r="D201">
        <v>283</v>
      </c>
      <c r="E201">
        <v>59.6</v>
      </c>
      <c r="F201">
        <v>5</v>
      </c>
      <c r="G201">
        <v>50</v>
      </c>
      <c r="P201" s="30"/>
    </row>
    <row r="202" spans="1:22" x14ac:dyDescent="0.25">
      <c r="A202">
        <v>50</v>
      </c>
      <c r="B202">
        <v>5066</v>
      </c>
      <c r="C202">
        <v>173</v>
      </c>
      <c r="D202">
        <v>326</v>
      </c>
      <c r="E202">
        <v>59.6</v>
      </c>
      <c r="F202">
        <v>5</v>
      </c>
      <c r="G202">
        <v>50</v>
      </c>
      <c r="P202" s="30"/>
      <c r="Q202" s="30"/>
      <c r="R202" s="30"/>
      <c r="S202" s="30"/>
      <c r="T202" s="30"/>
      <c r="U202" s="30"/>
      <c r="V202" s="30"/>
    </row>
    <row r="203" spans="1:22" x14ac:dyDescent="0.25">
      <c r="A203" t="s">
        <v>417</v>
      </c>
      <c r="B203">
        <v>5686</v>
      </c>
      <c r="C203">
        <v>194</v>
      </c>
      <c r="D203">
        <v>366</v>
      </c>
      <c r="E203">
        <v>69.2</v>
      </c>
      <c r="F203">
        <v>5</v>
      </c>
      <c r="G203">
        <v>50</v>
      </c>
      <c r="P203" s="30"/>
      <c r="Q203" s="30"/>
      <c r="R203" s="30"/>
      <c r="S203" s="30"/>
      <c r="T203" s="30"/>
      <c r="U203" s="30"/>
      <c r="V203" s="30"/>
    </row>
    <row r="204" spans="1:22" x14ac:dyDescent="0.25">
      <c r="A204">
        <v>60</v>
      </c>
      <c r="B204">
        <v>6355</v>
      </c>
      <c r="C204">
        <v>217</v>
      </c>
      <c r="D204">
        <v>409</v>
      </c>
      <c r="E204">
        <v>69.2</v>
      </c>
      <c r="F204">
        <v>5</v>
      </c>
      <c r="G204">
        <v>50</v>
      </c>
      <c r="P204" s="30"/>
      <c r="Q204" s="30"/>
      <c r="R204" s="30"/>
      <c r="S204" s="30"/>
      <c r="T204" s="30"/>
      <c r="U204" s="30"/>
      <c r="V204" s="30"/>
    </row>
    <row r="205" spans="1:22" x14ac:dyDescent="0.25">
      <c r="A205" t="s">
        <v>418</v>
      </c>
      <c r="B205">
        <v>6820</v>
      </c>
      <c r="C205">
        <v>233</v>
      </c>
      <c r="D205">
        <v>439</v>
      </c>
      <c r="E205">
        <v>69.2</v>
      </c>
      <c r="F205">
        <v>5</v>
      </c>
      <c r="G205">
        <v>50</v>
      </c>
      <c r="P205" s="30"/>
      <c r="Q205" s="30"/>
      <c r="R205" s="30"/>
      <c r="S205" s="30"/>
      <c r="T205" s="30"/>
      <c r="U205" s="30"/>
      <c r="V205" s="30"/>
    </row>
    <row r="206" spans="1:22" x14ac:dyDescent="0.25">
      <c r="A206">
        <v>70</v>
      </c>
      <c r="B206">
        <v>7495</v>
      </c>
      <c r="C206">
        <v>256</v>
      </c>
      <c r="D206">
        <v>482</v>
      </c>
      <c r="E206">
        <v>69.2</v>
      </c>
      <c r="F206">
        <v>5</v>
      </c>
      <c r="G206">
        <v>50</v>
      </c>
      <c r="P206" s="30"/>
      <c r="Q206" s="30"/>
      <c r="R206" s="30"/>
      <c r="S206" s="30"/>
      <c r="T206" s="30"/>
      <c r="U206" s="30"/>
      <c r="V206" s="30"/>
    </row>
    <row r="207" spans="1:22" x14ac:dyDescent="0.25">
      <c r="A207" t="s">
        <v>419</v>
      </c>
      <c r="B207">
        <v>7960</v>
      </c>
      <c r="C207">
        <v>272</v>
      </c>
      <c r="D207">
        <v>512</v>
      </c>
      <c r="E207">
        <v>78.8</v>
      </c>
      <c r="F207">
        <v>5</v>
      </c>
      <c r="G207">
        <v>50</v>
      </c>
      <c r="P207" s="30"/>
      <c r="Q207" s="30"/>
      <c r="R207" s="30"/>
      <c r="S207" s="30"/>
      <c r="T207" s="30"/>
      <c r="U207" s="30"/>
      <c r="V207" s="30"/>
    </row>
    <row r="208" spans="1:22" x14ac:dyDescent="0.25">
      <c r="A208">
        <v>80</v>
      </c>
      <c r="B208">
        <v>8643</v>
      </c>
      <c r="C208">
        <v>295</v>
      </c>
      <c r="D208">
        <v>556</v>
      </c>
      <c r="E208">
        <v>78.8</v>
      </c>
      <c r="F208">
        <v>5</v>
      </c>
      <c r="G208">
        <v>50</v>
      </c>
    </row>
    <row r="209" spans="1:22" x14ac:dyDescent="0.25">
      <c r="A209" t="s">
        <v>420</v>
      </c>
      <c r="B209">
        <v>9108</v>
      </c>
      <c r="C209">
        <v>311</v>
      </c>
      <c r="D209">
        <v>586</v>
      </c>
      <c r="E209">
        <v>88.4</v>
      </c>
      <c r="F209">
        <v>5</v>
      </c>
      <c r="G209">
        <v>50</v>
      </c>
      <c r="P209" s="30"/>
    </row>
    <row r="210" spans="1:22" x14ac:dyDescent="0.25">
      <c r="A210">
        <v>90</v>
      </c>
      <c r="B210">
        <v>9797</v>
      </c>
      <c r="C210">
        <v>335</v>
      </c>
      <c r="D210">
        <v>630</v>
      </c>
      <c r="E210">
        <v>88.4</v>
      </c>
      <c r="F210">
        <v>5</v>
      </c>
      <c r="G210">
        <v>50</v>
      </c>
      <c r="P210" s="30"/>
      <c r="Q210" s="30"/>
      <c r="R210" s="30"/>
      <c r="S210" s="30"/>
      <c r="T210" s="30"/>
      <c r="U210" s="30"/>
      <c r="V210" s="30"/>
    </row>
    <row r="211" spans="1:22" x14ac:dyDescent="0.25">
      <c r="A211" t="s">
        <v>817</v>
      </c>
      <c r="B211" t="s">
        <v>410</v>
      </c>
      <c r="C211" t="s">
        <v>411</v>
      </c>
      <c r="D211" t="s">
        <v>412</v>
      </c>
      <c r="E211" t="s">
        <v>72</v>
      </c>
      <c r="F211" t="s">
        <v>413</v>
      </c>
      <c r="G211" t="s">
        <v>414</v>
      </c>
      <c r="P211" s="30"/>
      <c r="Q211" s="30"/>
      <c r="R211" s="30"/>
      <c r="S211" s="30"/>
      <c r="T211" s="30"/>
      <c r="U211" s="30"/>
      <c r="V211" s="30"/>
    </row>
    <row r="212" spans="1:22" x14ac:dyDescent="0.25">
      <c r="A212">
        <v>1</v>
      </c>
      <c r="B212">
        <v>802</v>
      </c>
      <c r="C212">
        <v>15</v>
      </c>
      <c r="D212">
        <v>54</v>
      </c>
      <c r="E212">
        <v>0</v>
      </c>
      <c r="F212">
        <v>5</v>
      </c>
      <c r="G212">
        <v>50</v>
      </c>
      <c r="P212" s="30"/>
      <c r="Q212" s="30"/>
      <c r="R212" s="30"/>
      <c r="S212" s="30"/>
      <c r="T212" s="30"/>
      <c r="U212" s="30"/>
      <c r="V212" s="30"/>
    </row>
    <row r="213" spans="1:22" x14ac:dyDescent="0.25">
      <c r="A213">
        <v>20</v>
      </c>
      <c r="B213" s="30">
        <v>2061</v>
      </c>
      <c r="C213" s="30">
        <v>39</v>
      </c>
      <c r="D213" s="30">
        <v>140</v>
      </c>
      <c r="E213" s="30">
        <v>0</v>
      </c>
      <c r="F213" s="30">
        <v>5</v>
      </c>
      <c r="G213" s="30">
        <v>50</v>
      </c>
      <c r="P213" s="30"/>
      <c r="Q213" s="30"/>
      <c r="R213" s="30"/>
      <c r="S213" s="30"/>
      <c r="T213" s="30"/>
      <c r="U213" s="30"/>
      <c r="V213" s="30"/>
    </row>
    <row r="214" spans="1:22" x14ac:dyDescent="0.25">
      <c r="A214" t="s">
        <v>415</v>
      </c>
      <c r="B214">
        <v>2661</v>
      </c>
      <c r="C214">
        <v>51</v>
      </c>
      <c r="D214">
        <v>180</v>
      </c>
      <c r="E214">
        <v>0</v>
      </c>
      <c r="F214">
        <v>5</v>
      </c>
      <c r="G214">
        <v>50</v>
      </c>
      <c r="P214" s="30"/>
      <c r="Q214" s="30"/>
      <c r="R214" s="30"/>
      <c r="S214" s="30"/>
      <c r="T214" s="30"/>
      <c r="U214" s="30"/>
      <c r="V214" s="30"/>
    </row>
    <row r="215" spans="1:22" x14ac:dyDescent="0.25">
      <c r="A215">
        <v>40</v>
      </c>
      <c r="B215" s="30">
        <v>3985</v>
      </c>
      <c r="C215" s="30">
        <v>76</v>
      </c>
      <c r="D215" s="30">
        <v>270</v>
      </c>
      <c r="E215" s="30">
        <v>0</v>
      </c>
      <c r="F215" s="30">
        <v>5</v>
      </c>
      <c r="G215" s="30">
        <v>50</v>
      </c>
      <c r="P215" s="30"/>
      <c r="Q215" s="30"/>
      <c r="R215" s="30"/>
      <c r="S215" s="30"/>
      <c r="T215" s="30"/>
      <c r="U215" s="30"/>
      <c r="V215" s="30"/>
    </row>
    <row r="216" spans="1:22" x14ac:dyDescent="0.25">
      <c r="A216" t="s">
        <v>416</v>
      </c>
      <c r="B216">
        <v>4411</v>
      </c>
      <c r="C216">
        <v>84</v>
      </c>
      <c r="D216">
        <v>299</v>
      </c>
      <c r="E216">
        <v>6</v>
      </c>
      <c r="F216">
        <v>5</v>
      </c>
      <c r="G216">
        <v>50</v>
      </c>
      <c r="P216" s="30"/>
      <c r="Q216" s="30"/>
      <c r="R216" s="30"/>
      <c r="S216" s="30"/>
      <c r="T216" s="30"/>
      <c r="U216" s="30"/>
      <c r="V216" s="30"/>
    </row>
    <row r="217" spans="1:22" x14ac:dyDescent="0.25">
      <c r="A217">
        <v>50</v>
      </c>
      <c r="B217" s="30">
        <v>5074</v>
      </c>
      <c r="C217" s="30">
        <v>97</v>
      </c>
      <c r="D217" s="30">
        <v>344</v>
      </c>
      <c r="E217" s="30">
        <v>6</v>
      </c>
      <c r="F217" s="30">
        <v>5</v>
      </c>
      <c r="G217" s="30">
        <v>50</v>
      </c>
      <c r="P217" s="30"/>
      <c r="Q217" s="30"/>
      <c r="R217" s="30"/>
      <c r="S217" s="30"/>
      <c r="T217" s="30"/>
      <c r="U217" s="30"/>
      <c r="V217" s="30"/>
    </row>
    <row r="218" spans="1:22" x14ac:dyDescent="0.25">
      <c r="A218" t="s">
        <v>417</v>
      </c>
      <c r="B218">
        <v>5642</v>
      </c>
      <c r="C218">
        <v>108</v>
      </c>
      <c r="D218">
        <v>382</v>
      </c>
      <c r="E218">
        <v>12</v>
      </c>
      <c r="F218">
        <v>5</v>
      </c>
      <c r="G218">
        <v>50</v>
      </c>
    </row>
    <row r="219" spans="1:22" x14ac:dyDescent="0.25">
      <c r="A219">
        <v>60</v>
      </c>
      <c r="B219" s="30">
        <v>6305</v>
      </c>
      <c r="C219" s="30">
        <v>120</v>
      </c>
      <c r="D219" s="30">
        <v>427</v>
      </c>
      <c r="E219" s="30">
        <v>12</v>
      </c>
      <c r="F219" s="30">
        <v>5</v>
      </c>
      <c r="G219" s="30">
        <v>50</v>
      </c>
      <c r="P219" s="30"/>
    </row>
    <row r="220" spans="1:22" x14ac:dyDescent="0.25">
      <c r="A220" t="s">
        <v>418</v>
      </c>
      <c r="B220">
        <v>6731</v>
      </c>
      <c r="C220">
        <v>128</v>
      </c>
      <c r="D220">
        <v>456</v>
      </c>
      <c r="E220">
        <v>12</v>
      </c>
      <c r="F220">
        <v>5</v>
      </c>
      <c r="G220">
        <v>50</v>
      </c>
      <c r="P220" s="30"/>
      <c r="Q220" s="30"/>
      <c r="R220" s="30"/>
      <c r="S220" s="30"/>
      <c r="T220" s="30"/>
      <c r="U220" s="30"/>
      <c r="V220" s="30"/>
    </row>
    <row r="221" spans="1:22" x14ac:dyDescent="0.25">
      <c r="A221">
        <v>70</v>
      </c>
      <c r="B221" s="30">
        <v>7393</v>
      </c>
      <c r="C221" s="30">
        <v>141</v>
      </c>
      <c r="D221" s="30">
        <v>501</v>
      </c>
      <c r="E221" s="30">
        <v>12</v>
      </c>
      <c r="F221" s="30">
        <v>5</v>
      </c>
      <c r="G221" s="30">
        <v>50</v>
      </c>
      <c r="P221" s="30"/>
      <c r="Q221" s="30"/>
      <c r="R221" s="30"/>
      <c r="S221" s="30"/>
      <c r="T221" s="30"/>
      <c r="U221" s="30"/>
      <c r="V221" s="30"/>
    </row>
    <row r="222" spans="1:22" x14ac:dyDescent="0.25">
      <c r="A222" t="s">
        <v>419</v>
      </c>
      <c r="B222">
        <v>7818</v>
      </c>
      <c r="C222">
        <v>149</v>
      </c>
      <c r="D222">
        <v>530</v>
      </c>
      <c r="E222">
        <v>18</v>
      </c>
      <c r="F222">
        <v>5</v>
      </c>
      <c r="G222">
        <v>50</v>
      </c>
      <c r="P222" s="30"/>
      <c r="Q222" s="30"/>
      <c r="R222" s="30"/>
      <c r="S222" s="30"/>
      <c r="T222" s="30"/>
      <c r="U222" s="30"/>
      <c r="V222" s="30"/>
    </row>
    <row r="223" spans="1:22" x14ac:dyDescent="0.25">
      <c r="A223">
        <v>80</v>
      </c>
      <c r="B223" s="30">
        <v>8481</v>
      </c>
      <c r="C223" s="30">
        <v>162</v>
      </c>
      <c r="D223" s="30">
        <v>575</v>
      </c>
      <c r="E223" s="30">
        <v>18</v>
      </c>
      <c r="F223" s="30">
        <v>5</v>
      </c>
      <c r="G223" s="30">
        <v>50</v>
      </c>
      <c r="P223" s="30"/>
      <c r="Q223" s="30"/>
      <c r="R223" s="30"/>
      <c r="S223" s="30"/>
      <c r="T223" s="30"/>
      <c r="U223" s="30"/>
      <c r="V223" s="30"/>
    </row>
    <row r="224" spans="1:22" x14ac:dyDescent="0.25">
      <c r="A224" t="s">
        <v>420</v>
      </c>
      <c r="B224">
        <v>8907</v>
      </c>
      <c r="C224">
        <v>170</v>
      </c>
      <c r="D224">
        <v>603</v>
      </c>
      <c r="E224">
        <v>24</v>
      </c>
      <c r="F224">
        <v>5</v>
      </c>
      <c r="G224">
        <v>50</v>
      </c>
      <c r="P224" s="30"/>
      <c r="Q224" s="30"/>
      <c r="R224" s="30"/>
      <c r="S224" s="30"/>
      <c r="T224" s="30"/>
      <c r="U224" s="30"/>
      <c r="V224" s="30"/>
    </row>
    <row r="225" spans="1:22" x14ac:dyDescent="0.25">
      <c r="A225">
        <v>90</v>
      </c>
      <c r="B225">
        <v>9570</v>
      </c>
      <c r="C225">
        <v>183</v>
      </c>
      <c r="D225">
        <v>648</v>
      </c>
      <c r="E225">
        <v>24</v>
      </c>
      <c r="F225">
        <v>5</v>
      </c>
      <c r="G225">
        <v>50</v>
      </c>
      <c r="P225" s="30"/>
      <c r="Q225" s="30"/>
      <c r="R225" s="30"/>
      <c r="S225" s="30"/>
      <c r="T225" s="30"/>
      <c r="U225" s="30"/>
      <c r="V225" s="30"/>
    </row>
    <row r="226" spans="1:22" x14ac:dyDescent="0.25">
      <c r="A226" t="s">
        <v>756</v>
      </c>
      <c r="B226" t="s">
        <v>410</v>
      </c>
      <c r="C226" t="s">
        <v>411</v>
      </c>
      <c r="D226" t="s">
        <v>412</v>
      </c>
      <c r="E226" t="s">
        <v>414</v>
      </c>
      <c r="F226" t="s">
        <v>413</v>
      </c>
      <c r="G226" t="s">
        <v>414</v>
      </c>
      <c r="P226" s="30"/>
      <c r="Q226" s="30"/>
      <c r="R226" s="30"/>
      <c r="S226" s="30"/>
      <c r="T226" s="30"/>
      <c r="U226" s="30"/>
      <c r="V226" s="30"/>
    </row>
    <row r="227" spans="1:22" x14ac:dyDescent="0.25">
      <c r="A227">
        <v>1</v>
      </c>
      <c r="B227">
        <v>1211</v>
      </c>
      <c r="C227">
        <v>8</v>
      </c>
      <c r="D227">
        <v>68</v>
      </c>
      <c r="E227">
        <v>50</v>
      </c>
      <c r="F227">
        <v>5</v>
      </c>
      <c r="G227">
        <v>50</v>
      </c>
      <c r="P227" s="30"/>
      <c r="Q227" s="30"/>
      <c r="R227" s="30"/>
      <c r="S227" s="30"/>
      <c r="T227" s="30"/>
      <c r="U227" s="30"/>
      <c r="V227" s="30"/>
    </row>
    <row r="228" spans="1:22" x14ac:dyDescent="0.25">
      <c r="A228">
        <v>20</v>
      </c>
      <c r="B228">
        <v>3141</v>
      </c>
      <c r="C228">
        <v>21</v>
      </c>
      <c r="D228">
        <v>177</v>
      </c>
      <c r="E228">
        <v>50</v>
      </c>
      <c r="F228">
        <v>5</v>
      </c>
      <c r="G228">
        <v>50</v>
      </c>
      <c r="P228" s="30"/>
      <c r="Q228" s="30"/>
      <c r="R228" s="30"/>
      <c r="S228" s="30"/>
      <c r="T228" s="30"/>
      <c r="U228" s="30"/>
      <c r="V228" s="30"/>
    </row>
    <row r="229" spans="1:22" x14ac:dyDescent="0.25">
      <c r="A229" t="s">
        <v>415</v>
      </c>
      <c r="B229">
        <v>4179</v>
      </c>
      <c r="C229">
        <v>29</v>
      </c>
      <c r="D229">
        <v>235</v>
      </c>
      <c r="E229">
        <v>50</v>
      </c>
      <c r="F229">
        <v>5</v>
      </c>
      <c r="G229">
        <v>50</v>
      </c>
      <c r="P229" s="30"/>
      <c r="Q229" s="30"/>
      <c r="R229" s="30"/>
      <c r="S229" s="30"/>
      <c r="T229" s="30"/>
      <c r="U229" s="30"/>
      <c r="V229" s="30"/>
    </row>
    <row r="230" spans="1:22" x14ac:dyDescent="0.25">
      <c r="A230">
        <v>40</v>
      </c>
      <c r="B230">
        <v>6253</v>
      </c>
      <c r="C230">
        <v>43</v>
      </c>
      <c r="D230">
        <v>352</v>
      </c>
      <c r="E230">
        <v>50</v>
      </c>
      <c r="F230">
        <v>5</v>
      </c>
      <c r="G230">
        <v>50</v>
      </c>
      <c r="P230" s="30"/>
      <c r="Q230" s="30"/>
      <c r="R230" s="30"/>
      <c r="S230" s="30"/>
      <c r="T230" s="30"/>
      <c r="U230" s="30"/>
      <c r="V230" s="30"/>
    </row>
    <row r="231" spans="1:22" x14ac:dyDescent="0.25">
      <c r="A231" t="s">
        <v>416</v>
      </c>
      <c r="B231">
        <v>6990</v>
      </c>
      <c r="C231">
        <v>48</v>
      </c>
      <c r="D231">
        <v>394</v>
      </c>
      <c r="E231">
        <v>59.6</v>
      </c>
      <c r="F231">
        <v>5</v>
      </c>
      <c r="G231">
        <v>50</v>
      </c>
      <c r="P231" s="30"/>
      <c r="Q231" s="30"/>
      <c r="R231" s="30"/>
      <c r="S231" s="30"/>
      <c r="T231" s="30"/>
      <c r="U231" s="30"/>
      <c r="V231" s="30"/>
    </row>
    <row r="232" spans="1:22" x14ac:dyDescent="0.25">
      <c r="A232">
        <v>50</v>
      </c>
      <c r="B232">
        <v>8042</v>
      </c>
      <c r="C232">
        <v>55</v>
      </c>
      <c r="D232">
        <v>453</v>
      </c>
      <c r="E232">
        <v>59.6</v>
      </c>
      <c r="F232">
        <v>5</v>
      </c>
      <c r="G232">
        <v>50</v>
      </c>
      <c r="P232" s="30"/>
      <c r="Q232" s="30"/>
      <c r="R232" s="30"/>
      <c r="S232" s="30"/>
      <c r="T232" s="30"/>
      <c r="U232" s="30"/>
      <c r="V232" s="30"/>
    </row>
    <row r="233" spans="1:22" x14ac:dyDescent="0.25">
      <c r="A233" t="s">
        <v>417</v>
      </c>
      <c r="B233">
        <v>9026</v>
      </c>
      <c r="C233">
        <v>62</v>
      </c>
      <c r="D233">
        <v>508</v>
      </c>
      <c r="E233">
        <v>69.2</v>
      </c>
      <c r="F233">
        <v>5</v>
      </c>
      <c r="G233">
        <v>50</v>
      </c>
    </row>
    <row r="234" spans="1:22" x14ac:dyDescent="0.25">
      <c r="A234">
        <v>60</v>
      </c>
      <c r="B234">
        <v>10089</v>
      </c>
      <c r="C234">
        <v>69</v>
      </c>
      <c r="D234">
        <v>568</v>
      </c>
      <c r="E234">
        <v>69.2</v>
      </c>
      <c r="F234">
        <v>5</v>
      </c>
      <c r="G234">
        <v>50</v>
      </c>
      <c r="P234" s="30"/>
    </row>
    <row r="235" spans="1:22" x14ac:dyDescent="0.25">
      <c r="A235" t="s">
        <v>418</v>
      </c>
      <c r="B235">
        <v>10826</v>
      </c>
      <c r="C235">
        <v>74</v>
      </c>
      <c r="D235">
        <v>610</v>
      </c>
      <c r="E235">
        <v>69.2</v>
      </c>
      <c r="F235">
        <v>5</v>
      </c>
      <c r="G235">
        <v>50</v>
      </c>
      <c r="P235" s="30"/>
      <c r="Q235" s="30"/>
      <c r="R235" s="30"/>
      <c r="S235" s="30"/>
      <c r="T235" s="30"/>
      <c r="U235" s="30"/>
      <c r="V235" s="30"/>
    </row>
    <row r="236" spans="1:22" x14ac:dyDescent="0.25">
      <c r="A236">
        <v>70</v>
      </c>
      <c r="B236">
        <v>11899</v>
      </c>
      <c r="C236">
        <v>81</v>
      </c>
      <c r="D236">
        <v>670</v>
      </c>
      <c r="E236">
        <v>69.2</v>
      </c>
      <c r="F236">
        <v>5</v>
      </c>
      <c r="G236">
        <v>50</v>
      </c>
      <c r="P236" s="30"/>
      <c r="Q236" s="30"/>
      <c r="R236" s="30"/>
      <c r="S236" s="30"/>
      <c r="T236" s="30"/>
      <c r="U236" s="30"/>
      <c r="V236" s="30"/>
    </row>
    <row r="237" spans="1:22" x14ac:dyDescent="0.25">
      <c r="A237" t="s">
        <v>419</v>
      </c>
      <c r="B237">
        <v>12637</v>
      </c>
      <c r="C237">
        <v>86</v>
      </c>
      <c r="D237">
        <v>712</v>
      </c>
      <c r="E237">
        <v>78.8</v>
      </c>
      <c r="F237">
        <v>5</v>
      </c>
      <c r="G237">
        <v>50</v>
      </c>
      <c r="P237" s="30"/>
      <c r="Q237" s="30"/>
      <c r="R237" s="30"/>
      <c r="S237" s="30"/>
      <c r="T237" s="30"/>
      <c r="U237" s="30"/>
      <c r="V237" s="30"/>
    </row>
    <row r="238" spans="1:22" x14ac:dyDescent="0.25">
      <c r="A238">
        <v>80</v>
      </c>
      <c r="B238">
        <v>13721</v>
      </c>
      <c r="C238">
        <v>94</v>
      </c>
      <c r="D238">
        <v>773</v>
      </c>
      <c r="E238">
        <v>78.8</v>
      </c>
      <c r="F238">
        <v>5</v>
      </c>
      <c r="G238">
        <v>50</v>
      </c>
      <c r="P238" s="30"/>
      <c r="Q238" s="30"/>
      <c r="R238" s="30"/>
      <c r="S238" s="30"/>
      <c r="T238" s="30"/>
      <c r="U238" s="30"/>
      <c r="V238" s="30"/>
    </row>
    <row r="239" spans="1:22" x14ac:dyDescent="0.25">
      <c r="A239" t="s">
        <v>420</v>
      </c>
      <c r="B239">
        <v>14459</v>
      </c>
      <c r="C239">
        <v>99</v>
      </c>
      <c r="D239">
        <v>815</v>
      </c>
      <c r="E239">
        <v>88.4</v>
      </c>
      <c r="F239">
        <v>5</v>
      </c>
      <c r="G239">
        <v>50</v>
      </c>
      <c r="P239" s="30"/>
      <c r="Q239" s="30"/>
      <c r="R239" s="30"/>
      <c r="S239" s="30"/>
      <c r="T239" s="30"/>
      <c r="U239" s="30"/>
      <c r="V239" s="30"/>
    </row>
    <row r="240" spans="1:22" x14ac:dyDescent="0.25">
      <c r="A240">
        <v>90</v>
      </c>
      <c r="B240">
        <v>15552</v>
      </c>
      <c r="C240">
        <v>106</v>
      </c>
      <c r="D240">
        <v>876</v>
      </c>
      <c r="E240">
        <v>88.4</v>
      </c>
      <c r="F240">
        <v>5</v>
      </c>
      <c r="G240">
        <v>50</v>
      </c>
      <c r="P240" s="30"/>
      <c r="Q240" s="30"/>
      <c r="R240" s="30"/>
      <c r="S240" s="30"/>
      <c r="T240" s="30"/>
      <c r="U240" s="30"/>
      <c r="V240" s="30"/>
    </row>
    <row r="241" spans="1:22" x14ac:dyDescent="0.25">
      <c r="A241" t="s">
        <v>434</v>
      </c>
      <c r="B241" t="s">
        <v>410</v>
      </c>
      <c r="C241" t="s">
        <v>411</v>
      </c>
      <c r="D241" t="s">
        <v>412</v>
      </c>
      <c r="E241" t="s">
        <v>413</v>
      </c>
      <c r="F241" t="s">
        <v>414</v>
      </c>
      <c r="P241" s="30"/>
      <c r="Q241" s="30"/>
      <c r="R241" s="30"/>
      <c r="S241" s="30"/>
      <c r="T241" s="30"/>
      <c r="U241" s="30"/>
      <c r="V241" s="30"/>
    </row>
    <row r="242" spans="1:22" x14ac:dyDescent="0.25">
      <c r="A242">
        <v>1</v>
      </c>
      <c r="B242">
        <v>1067</v>
      </c>
      <c r="C242">
        <v>15</v>
      </c>
      <c r="D242">
        <v>72</v>
      </c>
      <c r="E242">
        <v>5</v>
      </c>
      <c r="F242">
        <v>50</v>
      </c>
      <c r="P242" s="30"/>
      <c r="Q242" s="30"/>
      <c r="R242" s="30"/>
      <c r="S242" s="30"/>
      <c r="T242" s="30"/>
      <c r="U242" s="30"/>
      <c r="V242" s="30"/>
    </row>
    <row r="243" spans="1:22" x14ac:dyDescent="0.25">
      <c r="A243">
        <v>20</v>
      </c>
      <c r="B243">
        <v>2767</v>
      </c>
      <c r="C243">
        <v>39</v>
      </c>
      <c r="D243">
        <v>188</v>
      </c>
      <c r="E243">
        <v>5</v>
      </c>
      <c r="F243">
        <v>50</v>
      </c>
    </row>
    <row r="244" spans="1:22" x14ac:dyDescent="0.25">
      <c r="A244" t="s">
        <v>415</v>
      </c>
      <c r="B244">
        <v>3682</v>
      </c>
      <c r="C244">
        <v>51</v>
      </c>
      <c r="D244">
        <v>250</v>
      </c>
      <c r="E244">
        <v>5</v>
      </c>
      <c r="F244">
        <v>50</v>
      </c>
      <c r="P244" s="30"/>
    </row>
    <row r="245" spans="1:22" x14ac:dyDescent="0.25">
      <c r="A245">
        <v>40</v>
      </c>
      <c r="B245">
        <v>5509</v>
      </c>
      <c r="C245">
        <v>77</v>
      </c>
      <c r="D245">
        <v>374</v>
      </c>
      <c r="E245">
        <v>5</v>
      </c>
      <c r="F245">
        <v>50</v>
      </c>
      <c r="P245" s="30"/>
      <c r="Q245" s="30"/>
      <c r="R245" s="30"/>
      <c r="S245" s="30"/>
      <c r="T245" s="30"/>
      <c r="U245" s="30"/>
      <c r="V245" s="30"/>
    </row>
    <row r="246" spans="1:22" x14ac:dyDescent="0.25">
      <c r="A246" t="s">
        <v>416</v>
      </c>
      <c r="B246">
        <v>6159</v>
      </c>
      <c r="C246">
        <v>86</v>
      </c>
      <c r="D246">
        <v>418</v>
      </c>
      <c r="E246">
        <v>9.8000000000000007</v>
      </c>
      <c r="F246">
        <v>50</v>
      </c>
      <c r="P246" s="30"/>
      <c r="Q246" s="30"/>
      <c r="R246" s="30"/>
      <c r="S246" s="30"/>
      <c r="T246" s="30"/>
      <c r="U246" s="30"/>
      <c r="V246" s="30"/>
    </row>
    <row r="247" spans="1:22" x14ac:dyDescent="0.25">
      <c r="A247">
        <v>50</v>
      </c>
      <c r="B247">
        <v>7086</v>
      </c>
      <c r="C247">
        <v>99</v>
      </c>
      <c r="D247">
        <v>481</v>
      </c>
      <c r="E247">
        <v>9.8000000000000007</v>
      </c>
      <c r="F247">
        <v>50</v>
      </c>
      <c r="P247" s="30"/>
      <c r="Q247" s="30"/>
      <c r="R247" s="30"/>
      <c r="S247" s="30"/>
      <c r="T247" s="30"/>
      <c r="U247" s="30"/>
      <c r="V247" s="30"/>
    </row>
    <row r="248" spans="1:22" x14ac:dyDescent="0.25">
      <c r="A248" t="s">
        <v>417</v>
      </c>
      <c r="B248">
        <v>7953</v>
      </c>
      <c r="C248">
        <v>111</v>
      </c>
      <c r="D248">
        <v>540</v>
      </c>
      <c r="E248">
        <v>14.6</v>
      </c>
      <c r="F248">
        <v>50</v>
      </c>
      <c r="P248" s="30"/>
      <c r="Q248" s="30"/>
      <c r="R248" s="30"/>
      <c r="S248" s="30"/>
      <c r="T248" s="30"/>
      <c r="U248" s="30"/>
      <c r="V248" s="30"/>
    </row>
    <row r="249" spans="1:22" x14ac:dyDescent="0.25">
      <c r="A249">
        <v>60</v>
      </c>
      <c r="B249">
        <v>8889</v>
      </c>
      <c r="C249">
        <v>124</v>
      </c>
      <c r="D249">
        <v>603</v>
      </c>
      <c r="E249">
        <v>14.6</v>
      </c>
      <c r="F249">
        <v>50</v>
      </c>
      <c r="P249" s="30"/>
      <c r="Q249" s="30"/>
      <c r="R249" s="30"/>
      <c r="S249" s="30"/>
      <c r="T249" s="30"/>
      <c r="U249" s="30"/>
      <c r="V249" s="30"/>
    </row>
    <row r="250" spans="1:22" x14ac:dyDescent="0.25">
      <c r="A250" t="s">
        <v>418</v>
      </c>
      <c r="B250">
        <v>9539</v>
      </c>
      <c r="C250">
        <v>133</v>
      </c>
      <c r="D250">
        <v>647</v>
      </c>
      <c r="E250">
        <v>14.6</v>
      </c>
      <c r="F250">
        <v>50</v>
      </c>
      <c r="P250" s="30"/>
      <c r="Q250" s="30"/>
      <c r="R250" s="30"/>
      <c r="S250" s="30"/>
      <c r="T250" s="30"/>
      <c r="U250" s="30"/>
      <c r="V250" s="30"/>
    </row>
    <row r="251" spans="1:22" x14ac:dyDescent="0.25">
      <c r="A251">
        <v>70</v>
      </c>
      <c r="B251">
        <v>10484</v>
      </c>
      <c r="C251">
        <v>146</v>
      </c>
      <c r="D251">
        <v>712</v>
      </c>
      <c r="E251">
        <v>14.6</v>
      </c>
      <c r="F251">
        <v>50</v>
      </c>
      <c r="P251" s="30"/>
      <c r="Q251" s="30"/>
      <c r="R251" s="30"/>
      <c r="S251" s="30"/>
      <c r="T251" s="30"/>
      <c r="U251" s="30"/>
      <c r="V251" s="30"/>
    </row>
    <row r="252" spans="1:22" x14ac:dyDescent="0.25">
      <c r="A252" t="s">
        <v>419</v>
      </c>
      <c r="B252">
        <v>11134</v>
      </c>
      <c r="C252">
        <v>155</v>
      </c>
      <c r="D252">
        <v>756</v>
      </c>
      <c r="E252">
        <v>19.399999999999999</v>
      </c>
      <c r="F252">
        <v>50</v>
      </c>
      <c r="P252" s="30"/>
      <c r="Q252" s="30"/>
      <c r="R252" s="30"/>
      <c r="S252" s="30"/>
      <c r="T252" s="30"/>
      <c r="U252" s="30"/>
      <c r="V252" s="30"/>
    </row>
    <row r="253" spans="1:22" x14ac:dyDescent="0.25">
      <c r="A253">
        <v>80</v>
      </c>
      <c r="B253">
        <v>12090</v>
      </c>
      <c r="C253">
        <v>169</v>
      </c>
      <c r="D253">
        <v>820</v>
      </c>
      <c r="E253">
        <v>19.399999999999999</v>
      </c>
      <c r="F253">
        <v>50</v>
      </c>
    </row>
    <row r="254" spans="1:22" x14ac:dyDescent="0.25">
      <c r="A254" t="s">
        <v>420</v>
      </c>
      <c r="B254">
        <v>12740</v>
      </c>
      <c r="C254">
        <v>178</v>
      </c>
      <c r="D254">
        <v>865</v>
      </c>
      <c r="E254">
        <v>24.2</v>
      </c>
      <c r="F254">
        <v>50</v>
      </c>
    </row>
    <row r="255" spans="1:22" x14ac:dyDescent="0.25">
      <c r="A255">
        <v>90</v>
      </c>
      <c r="B255">
        <v>13703</v>
      </c>
      <c r="C255">
        <v>191</v>
      </c>
      <c r="D255">
        <v>930</v>
      </c>
      <c r="E255">
        <v>24.2</v>
      </c>
      <c r="F255">
        <v>50</v>
      </c>
    </row>
    <row r="256" spans="1:22" x14ac:dyDescent="0.25">
      <c r="A256" t="s">
        <v>228</v>
      </c>
      <c r="B256" t="s">
        <v>410</v>
      </c>
      <c r="C256" t="s">
        <v>411</v>
      </c>
      <c r="D256" t="s">
        <v>412</v>
      </c>
      <c r="E256" t="s">
        <v>427</v>
      </c>
      <c r="F256" t="s">
        <v>413</v>
      </c>
      <c r="G256" t="s">
        <v>414</v>
      </c>
    </row>
    <row r="257" spans="1:7" x14ac:dyDescent="0.25">
      <c r="A257">
        <v>1</v>
      </c>
      <c r="B257">
        <v>1144</v>
      </c>
      <c r="C257">
        <v>19</v>
      </c>
      <c r="D257">
        <v>60</v>
      </c>
      <c r="E257">
        <v>0</v>
      </c>
      <c r="F257">
        <v>5</v>
      </c>
      <c r="G257">
        <v>50</v>
      </c>
    </row>
    <row r="258" spans="1:7" x14ac:dyDescent="0.25">
      <c r="A258">
        <v>20</v>
      </c>
      <c r="B258">
        <v>2967</v>
      </c>
      <c r="C258">
        <v>48</v>
      </c>
      <c r="D258">
        <v>155</v>
      </c>
      <c r="E258">
        <v>0</v>
      </c>
      <c r="F258">
        <v>5</v>
      </c>
      <c r="G258">
        <v>50</v>
      </c>
    </row>
    <row r="259" spans="1:7" x14ac:dyDescent="0.25">
      <c r="A259" t="s">
        <v>415</v>
      </c>
      <c r="B259">
        <v>3948</v>
      </c>
      <c r="C259">
        <v>64</v>
      </c>
      <c r="D259">
        <v>206</v>
      </c>
      <c r="E259">
        <v>0</v>
      </c>
      <c r="F259">
        <v>5</v>
      </c>
      <c r="G259">
        <v>50</v>
      </c>
    </row>
    <row r="260" spans="1:7" x14ac:dyDescent="0.25">
      <c r="A260">
        <v>40</v>
      </c>
      <c r="B260">
        <v>5908</v>
      </c>
      <c r="C260">
        <v>96</v>
      </c>
      <c r="D260">
        <v>309</v>
      </c>
      <c r="E260">
        <v>0</v>
      </c>
      <c r="F260">
        <v>5</v>
      </c>
      <c r="G260">
        <v>50</v>
      </c>
    </row>
    <row r="261" spans="1:7" x14ac:dyDescent="0.25">
      <c r="A261" t="s">
        <v>416</v>
      </c>
      <c r="B261">
        <v>6605</v>
      </c>
      <c r="C261">
        <v>108</v>
      </c>
      <c r="D261">
        <v>345</v>
      </c>
      <c r="E261">
        <v>5.5</v>
      </c>
      <c r="F261">
        <v>5</v>
      </c>
      <c r="G261">
        <v>50</v>
      </c>
    </row>
    <row r="262" spans="1:7" x14ac:dyDescent="0.25">
      <c r="A262">
        <v>50</v>
      </c>
      <c r="B262">
        <v>7599</v>
      </c>
      <c r="C262">
        <v>124</v>
      </c>
      <c r="D262">
        <v>397</v>
      </c>
      <c r="E262">
        <v>5.5</v>
      </c>
      <c r="F262">
        <v>5</v>
      </c>
      <c r="G262">
        <v>50</v>
      </c>
    </row>
    <row r="263" spans="1:7" x14ac:dyDescent="0.25">
      <c r="A263" t="s">
        <v>417</v>
      </c>
      <c r="B263">
        <v>8528</v>
      </c>
      <c r="C263">
        <v>139</v>
      </c>
      <c r="D263">
        <v>446</v>
      </c>
      <c r="E263">
        <v>11.1</v>
      </c>
      <c r="F263">
        <v>5</v>
      </c>
      <c r="G263">
        <v>50</v>
      </c>
    </row>
    <row r="264" spans="1:7" x14ac:dyDescent="0.25">
      <c r="A264">
        <v>60</v>
      </c>
      <c r="B264">
        <v>9533</v>
      </c>
      <c r="C264">
        <v>155</v>
      </c>
      <c r="D264">
        <v>499</v>
      </c>
      <c r="E264">
        <v>11.1</v>
      </c>
      <c r="F264">
        <v>5</v>
      </c>
      <c r="G264">
        <v>50</v>
      </c>
    </row>
    <row r="265" spans="1:7" x14ac:dyDescent="0.25">
      <c r="A265" t="s">
        <v>418</v>
      </c>
      <c r="B265">
        <v>10230</v>
      </c>
      <c r="C265">
        <v>166</v>
      </c>
      <c r="D265">
        <v>535</v>
      </c>
      <c r="E265">
        <v>11.1</v>
      </c>
      <c r="F265">
        <v>5</v>
      </c>
      <c r="G265">
        <v>50</v>
      </c>
    </row>
    <row r="266" spans="1:7" x14ac:dyDescent="0.25">
      <c r="A266">
        <v>70</v>
      </c>
      <c r="B266">
        <v>11243</v>
      </c>
      <c r="C266">
        <v>183</v>
      </c>
      <c r="D266">
        <v>588</v>
      </c>
      <c r="E266">
        <v>11.1</v>
      </c>
      <c r="F266">
        <v>5</v>
      </c>
      <c r="G266">
        <v>50</v>
      </c>
    </row>
    <row r="267" spans="1:7" x14ac:dyDescent="0.25">
      <c r="A267" t="s">
        <v>419</v>
      </c>
      <c r="B267">
        <v>11940</v>
      </c>
      <c r="C267">
        <v>194</v>
      </c>
      <c r="D267">
        <v>624</v>
      </c>
      <c r="E267">
        <v>16.600000000000001</v>
      </c>
      <c r="F267">
        <v>5</v>
      </c>
      <c r="G267">
        <v>50</v>
      </c>
    </row>
    <row r="268" spans="1:7" x14ac:dyDescent="0.25">
      <c r="A268">
        <v>80</v>
      </c>
      <c r="B268">
        <v>12965</v>
      </c>
      <c r="C268">
        <v>211</v>
      </c>
      <c r="D268">
        <v>678</v>
      </c>
      <c r="E268">
        <v>16.600000000000001</v>
      </c>
      <c r="F268">
        <v>5</v>
      </c>
      <c r="G268">
        <v>50</v>
      </c>
    </row>
    <row r="269" spans="1:7" x14ac:dyDescent="0.25">
      <c r="A269" t="s">
        <v>420</v>
      </c>
      <c r="B269">
        <v>13662</v>
      </c>
      <c r="C269">
        <v>222</v>
      </c>
      <c r="D269">
        <v>715</v>
      </c>
      <c r="E269">
        <v>22.2</v>
      </c>
      <c r="F269">
        <v>5</v>
      </c>
      <c r="G269">
        <v>50</v>
      </c>
    </row>
    <row r="270" spans="1:7" x14ac:dyDescent="0.25">
      <c r="A270">
        <v>90</v>
      </c>
      <c r="B270">
        <v>14695</v>
      </c>
      <c r="C270">
        <v>239</v>
      </c>
      <c r="D270">
        <v>769</v>
      </c>
      <c r="E270">
        <v>22.2</v>
      </c>
      <c r="F270">
        <v>5</v>
      </c>
      <c r="G270">
        <v>50</v>
      </c>
    </row>
    <row r="271" spans="1:7" x14ac:dyDescent="0.25">
      <c r="A271" t="s">
        <v>230</v>
      </c>
      <c r="B271" t="s">
        <v>410</v>
      </c>
      <c r="C271" t="s">
        <v>411</v>
      </c>
      <c r="D271" t="s">
        <v>412</v>
      </c>
      <c r="E271" t="s">
        <v>68</v>
      </c>
      <c r="F271" t="s">
        <v>413</v>
      </c>
      <c r="G271" t="s">
        <v>414</v>
      </c>
    </row>
    <row r="272" spans="1:7" x14ac:dyDescent="0.25">
      <c r="A272">
        <v>1</v>
      </c>
      <c r="B272">
        <v>976</v>
      </c>
      <c r="C272">
        <v>19</v>
      </c>
      <c r="D272">
        <v>66</v>
      </c>
      <c r="E272">
        <v>0</v>
      </c>
      <c r="F272">
        <v>5</v>
      </c>
      <c r="G272">
        <v>50</v>
      </c>
    </row>
    <row r="273" spans="1:7" x14ac:dyDescent="0.25">
      <c r="A273">
        <v>20</v>
      </c>
      <c r="B273">
        <v>2506</v>
      </c>
      <c r="C273">
        <v>48</v>
      </c>
      <c r="D273">
        <v>171</v>
      </c>
      <c r="E273">
        <v>0</v>
      </c>
      <c r="F273">
        <v>5</v>
      </c>
      <c r="G273">
        <v>50</v>
      </c>
    </row>
    <row r="274" spans="1:7" x14ac:dyDescent="0.25">
      <c r="A274" t="s">
        <v>415</v>
      </c>
      <c r="B274">
        <v>3235</v>
      </c>
      <c r="C274">
        <v>62</v>
      </c>
      <c r="D274">
        <v>220</v>
      </c>
      <c r="E274">
        <v>0</v>
      </c>
      <c r="F274">
        <v>5</v>
      </c>
      <c r="G274">
        <v>50</v>
      </c>
    </row>
    <row r="275" spans="1:7" x14ac:dyDescent="0.25">
      <c r="A275">
        <v>40</v>
      </c>
      <c r="B275">
        <v>4846</v>
      </c>
      <c r="C275">
        <v>93</v>
      </c>
      <c r="D275">
        <v>330</v>
      </c>
      <c r="E275">
        <v>0</v>
      </c>
      <c r="F275">
        <v>5</v>
      </c>
      <c r="G275">
        <v>50</v>
      </c>
    </row>
    <row r="276" spans="1:7" x14ac:dyDescent="0.25">
      <c r="A276" t="s">
        <v>416</v>
      </c>
      <c r="B276">
        <v>5364</v>
      </c>
      <c r="C276">
        <v>103</v>
      </c>
      <c r="D276">
        <v>365</v>
      </c>
      <c r="E276">
        <v>6.7</v>
      </c>
      <c r="F276">
        <v>5</v>
      </c>
      <c r="G276">
        <v>50</v>
      </c>
    </row>
    <row r="277" spans="1:7" x14ac:dyDescent="0.25">
      <c r="A277">
        <v>50</v>
      </c>
      <c r="B277">
        <v>6170</v>
      </c>
      <c r="C277">
        <v>118</v>
      </c>
      <c r="D277">
        <v>420</v>
      </c>
      <c r="E277">
        <v>6.7</v>
      </c>
      <c r="F277">
        <v>5</v>
      </c>
      <c r="G277">
        <v>50</v>
      </c>
    </row>
    <row r="278" spans="1:7" x14ac:dyDescent="0.25">
      <c r="A278" t="s">
        <v>417</v>
      </c>
      <c r="B278">
        <v>6860</v>
      </c>
      <c r="C278">
        <v>131</v>
      </c>
      <c r="D278">
        <v>467</v>
      </c>
      <c r="E278">
        <v>13.3</v>
      </c>
      <c r="F278">
        <v>5</v>
      </c>
      <c r="G278">
        <v>50</v>
      </c>
    </row>
    <row r="279" spans="1:7" x14ac:dyDescent="0.25">
      <c r="A279">
        <v>60</v>
      </c>
      <c r="B279">
        <v>7666</v>
      </c>
      <c r="C279">
        <v>147</v>
      </c>
      <c r="D279">
        <v>522</v>
      </c>
      <c r="E279">
        <v>13.3</v>
      </c>
      <c r="F279">
        <v>5</v>
      </c>
      <c r="G279">
        <v>50</v>
      </c>
    </row>
    <row r="280" spans="1:7" x14ac:dyDescent="0.25">
      <c r="A280" t="s">
        <v>418</v>
      </c>
      <c r="B280">
        <v>8184</v>
      </c>
      <c r="C280">
        <v>157</v>
      </c>
      <c r="D280">
        <v>557</v>
      </c>
      <c r="E280">
        <v>13.3</v>
      </c>
      <c r="F280">
        <v>5</v>
      </c>
      <c r="G280">
        <v>50</v>
      </c>
    </row>
    <row r="281" spans="1:7" x14ac:dyDescent="0.25">
      <c r="A281">
        <v>70</v>
      </c>
      <c r="B281">
        <v>8989</v>
      </c>
      <c r="C281">
        <v>172</v>
      </c>
      <c r="D281">
        <v>612</v>
      </c>
      <c r="E281">
        <v>13.3</v>
      </c>
      <c r="F281">
        <v>5</v>
      </c>
      <c r="G281">
        <v>50</v>
      </c>
    </row>
    <row r="282" spans="1:7" x14ac:dyDescent="0.25">
      <c r="A282" t="s">
        <v>419</v>
      </c>
      <c r="B282">
        <v>9507</v>
      </c>
      <c r="C282">
        <v>182</v>
      </c>
      <c r="D282">
        <v>647</v>
      </c>
      <c r="E282">
        <v>20</v>
      </c>
      <c r="F282">
        <v>5</v>
      </c>
      <c r="G282">
        <v>50</v>
      </c>
    </row>
    <row r="283" spans="1:7" x14ac:dyDescent="0.25">
      <c r="A283">
        <v>80</v>
      </c>
      <c r="B283">
        <v>10312</v>
      </c>
      <c r="C283">
        <v>198</v>
      </c>
      <c r="D283">
        <v>702</v>
      </c>
      <c r="E283">
        <v>20</v>
      </c>
      <c r="F283">
        <v>5</v>
      </c>
      <c r="G283">
        <v>50</v>
      </c>
    </row>
    <row r="284" spans="1:7" x14ac:dyDescent="0.25">
      <c r="A284" t="s">
        <v>420</v>
      </c>
      <c r="B284">
        <v>10830</v>
      </c>
      <c r="C284">
        <v>208</v>
      </c>
      <c r="D284">
        <v>737</v>
      </c>
      <c r="E284">
        <v>26.7</v>
      </c>
      <c r="F284">
        <v>5</v>
      </c>
      <c r="G284">
        <v>50</v>
      </c>
    </row>
    <row r="285" spans="1:7" x14ac:dyDescent="0.25">
      <c r="A285">
        <v>90</v>
      </c>
      <c r="B285">
        <v>11636</v>
      </c>
      <c r="C285">
        <v>223</v>
      </c>
      <c r="D285">
        <v>792</v>
      </c>
      <c r="E285">
        <v>26.7</v>
      </c>
      <c r="F285">
        <v>5</v>
      </c>
      <c r="G285">
        <v>50</v>
      </c>
    </row>
    <row r="286" spans="1:7" x14ac:dyDescent="0.25">
      <c r="A286" t="s">
        <v>239</v>
      </c>
      <c r="B286" t="s">
        <v>410</v>
      </c>
      <c r="C286" t="s">
        <v>411</v>
      </c>
      <c r="D286" t="s">
        <v>412</v>
      </c>
      <c r="E286" t="s">
        <v>414</v>
      </c>
      <c r="F286" t="s">
        <v>413</v>
      </c>
      <c r="G286" t="s">
        <v>414</v>
      </c>
    </row>
    <row r="287" spans="1:7" x14ac:dyDescent="0.25">
      <c r="A287">
        <v>1</v>
      </c>
      <c r="B287">
        <v>1020</v>
      </c>
      <c r="C287">
        <v>25</v>
      </c>
      <c r="D287">
        <v>62</v>
      </c>
      <c r="E287">
        <v>50</v>
      </c>
      <c r="F287">
        <v>5</v>
      </c>
      <c r="G287">
        <v>50</v>
      </c>
    </row>
    <row r="288" spans="1:7" x14ac:dyDescent="0.25">
      <c r="A288">
        <v>20</v>
      </c>
      <c r="B288">
        <v>2646</v>
      </c>
      <c r="C288">
        <v>65</v>
      </c>
      <c r="D288">
        <v>161</v>
      </c>
      <c r="E288">
        <v>50</v>
      </c>
      <c r="F288">
        <v>5</v>
      </c>
      <c r="G288">
        <v>50</v>
      </c>
    </row>
    <row r="289" spans="1:7" x14ac:dyDescent="0.25">
      <c r="A289" t="s">
        <v>415</v>
      </c>
      <c r="B289">
        <v>3521</v>
      </c>
      <c r="C289">
        <v>87</v>
      </c>
      <c r="D289">
        <v>215</v>
      </c>
      <c r="E289">
        <v>50</v>
      </c>
      <c r="F289">
        <v>5</v>
      </c>
      <c r="G289">
        <v>50</v>
      </c>
    </row>
    <row r="290" spans="1:7" x14ac:dyDescent="0.25">
      <c r="A290">
        <v>40</v>
      </c>
      <c r="B290">
        <v>5268</v>
      </c>
      <c r="C290">
        <v>130</v>
      </c>
      <c r="D290">
        <v>321</v>
      </c>
      <c r="E290">
        <v>50</v>
      </c>
      <c r="F290">
        <v>5</v>
      </c>
      <c r="G290">
        <v>50</v>
      </c>
    </row>
    <row r="291" spans="1:7" x14ac:dyDescent="0.25">
      <c r="A291" t="s">
        <v>416</v>
      </c>
      <c r="B291">
        <v>5889</v>
      </c>
      <c r="C291">
        <v>145</v>
      </c>
      <c r="D291">
        <v>359</v>
      </c>
      <c r="E291">
        <v>59.6</v>
      </c>
      <c r="F291">
        <v>5</v>
      </c>
      <c r="G291">
        <v>50</v>
      </c>
    </row>
    <row r="292" spans="1:7" x14ac:dyDescent="0.25">
      <c r="A292">
        <v>50</v>
      </c>
      <c r="B292">
        <v>6776</v>
      </c>
      <c r="C292">
        <v>167</v>
      </c>
      <c r="D292">
        <v>413</v>
      </c>
      <c r="E292">
        <v>59.6</v>
      </c>
      <c r="F292">
        <v>5</v>
      </c>
      <c r="G292">
        <v>50</v>
      </c>
    </row>
    <row r="293" spans="1:7" x14ac:dyDescent="0.25">
      <c r="A293" t="s">
        <v>417</v>
      </c>
      <c r="B293">
        <v>7604</v>
      </c>
      <c r="C293">
        <v>187</v>
      </c>
      <c r="D293">
        <v>464</v>
      </c>
      <c r="E293">
        <v>69.2</v>
      </c>
      <c r="F293">
        <v>5</v>
      </c>
      <c r="G293">
        <v>50</v>
      </c>
    </row>
    <row r="294" spans="1:7" x14ac:dyDescent="0.25">
      <c r="A294">
        <v>60</v>
      </c>
      <c r="B294">
        <v>8500</v>
      </c>
      <c r="C294">
        <v>209</v>
      </c>
      <c r="D294">
        <v>519</v>
      </c>
      <c r="E294">
        <v>69.2</v>
      </c>
      <c r="F294">
        <v>5</v>
      </c>
      <c r="G294">
        <v>50</v>
      </c>
    </row>
    <row r="295" spans="1:7" x14ac:dyDescent="0.25">
      <c r="A295" t="s">
        <v>418</v>
      </c>
      <c r="B295">
        <v>9121</v>
      </c>
      <c r="C295">
        <v>225</v>
      </c>
      <c r="D295">
        <v>556</v>
      </c>
      <c r="E295">
        <v>69.2</v>
      </c>
      <c r="F295">
        <v>5</v>
      </c>
      <c r="G295">
        <v>50</v>
      </c>
    </row>
    <row r="296" spans="1:7" x14ac:dyDescent="0.25">
      <c r="A296">
        <v>70</v>
      </c>
      <c r="B296">
        <v>10025</v>
      </c>
      <c r="C296">
        <v>247</v>
      </c>
      <c r="D296">
        <v>612</v>
      </c>
      <c r="E296">
        <v>69.2</v>
      </c>
      <c r="F296">
        <v>5</v>
      </c>
      <c r="G296">
        <v>50</v>
      </c>
    </row>
    <row r="297" spans="1:7" x14ac:dyDescent="0.25">
      <c r="A297" t="s">
        <v>419</v>
      </c>
      <c r="B297">
        <v>10647</v>
      </c>
      <c r="C297">
        <v>262</v>
      </c>
      <c r="D297">
        <v>649</v>
      </c>
      <c r="E297">
        <v>78.8</v>
      </c>
      <c r="F297">
        <v>5</v>
      </c>
      <c r="G297">
        <v>50</v>
      </c>
    </row>
    <row r="298" spans="1:7" x14ac:dyDescent="0.25">
      <c r="A298">
        <v>80</v>
      </c>
      <c r="B298">
        <v>11561</v>
      </c>
      <c r="C298">
        <v>285</v>
      </c>
      <c r="D298">
        <v>705</v>
      </c>
      <c r="E298">
        <v>78.8</v>
      </c>
      <c r="F298">
        <v>5</v>
      </c>
      <c r="G298">
        <v>50</v>
      </c>
    </row>
    <row r="299" spans="1:7" x14ac:dyDescent="0.25">
      <c r="A299" t="s">
        <v>420</v>
      </c>
      <c r="B299">
        <v>12182</v>
      </c>
      <c r="C299">
        <v>300</v>
      </c>
      <c r="D299">
        <v>743</v>
      </c>
      <c r="E299">
        <v>88.4</v>
      </c>
      <c r="F299">
        <v>5</v>
      </c>
      <c r="G299">
        <v>50</v>
      </c>
    </row>
    <row r="300" spans="1:7" x14ac:dyDescent="0.25">
      <c r="A300">
        <v>90</v>
      </c>
      <c r="B300">
        <v>13103</v>
      </c>
      <c r="C300">
        <v>323</v>
      </c>
      <c r="D300">
        <v>799</v>
      </c>
      <c r="E300">
        <v>88.4</v>
      </c>
      <c r="F300">
        <v>5</v>
      </c>
      <c r="G300">
        <v>50</v>
      </c>
    </row>
    <row r="301" spans="1:7" x14ac:dyDescent="0.25">
      <c r="A301" t="s">
        <v>250</v>
      </c>
      <c r="B301" t="s">
        <v>410</v>
      </c>
      <c r="C301" t="s">
        <v>411</v>
      </c>
      <c r="D301" t="s">
        <v>412</v>
      </c>
      <c r="E301" t="s">
        <v>73</v>
      </c>
      <c r="F301" t="s">
        <v>413</v>
      </c>
      <c r="G301" t="s">
        <v>414</v>
      </c>
    </row>
    <row r="302" spans="1:7" x14ac:dyDescent="0.25">
      <c r="A302">
        <v>1</v>
      </c>
      <c r="B302">
        <v>801</v>
      </c>
      <c r="C302">
        <v>24</v>
      </c>
      <c r="D302">
        <v>48</v>
      </c>
      <c r="E302">
        <v>0</v>
      </c>
      <c r="F302">
        <v>5</v>
      </c>
      <c r="G302">
        <v>50</v>
      </c>
    </row>
    <row r="303" spans="1:7" x14ac:dyDescent="0.25">
      <c r="A303">
        <v>20</v>
      </c>
      <c r="B303">
        <v>2077</v>
      </c>
      <c r="C303">
        <v>63</v>
      </c>
      <c r="D303">
        <v>124</v>
      </c>
      <c r="E303">
        <v>0</v>
      </c>
      <c r="F303">
        <v>5</v>
      </c>
      <c r="G303">
        <v>50</v>
      </c>
    </row>
    <row r="304" spans="1:7" x14ac:dyDescent="0.25">
      <c r="A304" t="s">
        <v>415</v>
      </c>
      <c r="B304">
        <v>2764</v>
      </c>
      <c r="C304">
        <v>84</v>
      </c>
      <c r="D304">
        <v>165</v>
      </c>
      <c r="E304">
        <v>0</v>
      </c>
      <c r="F304">
        <v>5</v>
      </c>
      <c r="G304">
        <v>50</v>
      </c>
    </row>
    <row r="305" spans="1:7" x14ac:dyDescent="0.25">
      <c r="A305">
        <v>40</v>
      </c>
      <c r="B305">
        <v>4136</v>
      </c>
      <c r="C305">
        <v>125</v>
      </c>
      <c r="D305">
        <v>247</v>
      </c>
      <c r="E305">
        <v>0</v>
      </c>
      <c r="F305">
        <v>5</v>
      </c>
      <c r="G305">
        <v>50</v>
      </c>
    </row>
    <row r="306" spans="1:7" x14ac:dyDescent="0.25">
      <c r="A306" t="s">
        <v>416</v>
      </c>
      <c r="B306">
        <v>4623</v>
      </c>
      <c r="C306">
        <v>140</v>
      </c>
      <c r="D306">
        <v>276</v>
      </c>
      <c r="E306">
        <v>7.2</v>
      </c>
      <c r="F306">
        <v>5</v>
      </c>
      <c r="G306">
        <v>50</v>
      </c>
    </row>
    <row r="307" spans="1:7" x14ac:dyDescent="0.25">
      <c r="A307">
        <v>50</v>
      </c>
      <c r="B307">
        <v>5319</v>
      </c>
      <c r="C307">
        <v>161</v>
      </c>
      <c r="D307">
        <v>318</v>
      </c>
      <c r="E307">
        <v>7.2</v>
      </c>
      <c r="F307">
        <v>5</v>
      </c>
      <c r="G307">
        <v>50</v>
      </c>
    </row>
    <row r="308" spans="1:7" x14ac:dyDescent="0.25">
      <c r="A308" t="s">
        <v>417</v>
      </c>
      <c r="B308">
        <v>5970</v>
      </c>
      <c r="C308">
        <v>180</v>
      </c>
      <c r="D308">
        <v>357</v>
      </c>
      <c r="E308">
        <v>14.4</v>
      </c>
      <c r="F308">
        <v>5</v>
      </c>
      <c r="G308">
        <v>50</v>
      </c>
    </row>
    <row r="309" spans="1:7" x14ac:dyDescent="0.25">
      <c r="A309">
        <v>60</v>
      </c>
      <c r="B309">
        <v>6673</v>
      </c>
      <c r="C309">
        <v>202</v>
      </c>
      <c r="D309">
        <v>399</v>
      </c>
      <c r="E309">
        <v>14.4</v>
      </c>
      <c r="F309">
        <v>5</v>
      </c>
      <c r="G309">
        <v>50</v>
      </c>
    </row>
    <row r="310" spans="1:7" x14ac:dyDescent="0.25">
      <c r="A310" t="s">
        <v>418</v>
      </c>
      <c r="B310">
        <v>7161</v>
      </c>
      <c r="C310">
        <v>216</v>
      </c>
      <c r="D310">
        <v>428</v>
      </c>
      <c r="E310">
        <v>14.4</v>
      </c>
      <c r="F310">
        <v>5</v>
      </c>
      <c r="G310">
        <v>50</v>
      </c>
    </row>
    <row r="311" spans="1:7" x14ac:dyDescent="0.25">
      <c r="A311">
        <v>70</v>
      </c>
      <c r="B311">
        <v>7870</v>
      </c>
      <c r="C311">
        <v>238</v>
      </c>
      <c r="D311">
        <v>470</v>
      </c>
      <c r="E311">
        <v>14.4</v>
      </c>
      <c r="F311">
        <v>5</v>
      </c>
      <c r="G311">
        <v>50</v>
      </c>
    </row>
    <row r="312" spans="1:7" x14ac:dyDescent="0.25">
      <c r="A312" t="s">
        <v>419</v>
      </c>
      <c r="B312">
        <v>8358</v>
      </c>
      <c r="C312">
        <v>253</v>
      </c>
      <c r="D312">
        <v>500</v>
      </c>
      <c r="E312">
        <v>21.6</v>
      </c>
      <c r="F312">
        <v>5</v>
      </c>
      <c r="G312">
        <v>50</v>
      </c>
    </row>
    <row r="313" spans="1:7" x14ac:dyDescent="0.25">
      <c r="A313">
        <v>80</v>
      </c>
      <c r="B313">
        <v>9076</v>
      </c>
      <c r="C313">
        <v>274</v>
      </c>
      <c r="D313">
        <v>542</v>
      </c>
      <c r="E313">
        <v>21.6</v>
      </c>
      <c r="F313">
        <v>5</v>
      </c>
      <c r="G313">
        <v>50</v>
      </c>
    </row>
    <row r="314" spans="1:7" x14ac:dyDescent="0.25">
      <c r="A314" t="s">
        <v>420</v>
      </c>
      <c r="B314">
        <v>9563</v>
      </c>
      <c r="C314">
        <v>289</v>
      </c>
      <c r="D314">
        <v>572</v>
      </c>
      <c r="E314">
        <v>28.8</v>
      </c>
      <c r="F314">
        <v>5</v>
      </c>
      <c r="G314">
        <v>50</v>
      </c>
    </row>
    <row r="315" spans="1:7" x14ac:dyDescent="0.25">
      <c r="A315">
        <v>90</v>
      </c>
      <c r="B315">
        <v>10287</v>
      </c>
      <c r="C315">
        <v>311</v>
      </c>
      <c r="D315">
        <v>615</v>
      </c>
      <c r="E315">
        <v>28.8</v>
      </c>
      <c r="F315">
        <v>5</v>
      </c>
      <c r="G315">
        <v>50</v>
      </c>
    </row>
    <row r="316" spans="1:7" x14ac:dyDescent="0.25">
      <c r="A316" t="s">
        <v>257</v>
      </c>
      <c r="B316" t="s">
        <v>410</v>
      </c>
      <c r="C316" t="s">
        <v>411</v>
      </c>
      <c r="D316" t="s">
        <v>412</v>
      </c>
      <c r="E316" t="s">
        <v>75</v>
      </c>
      <c r="F316" t="s">
        <v>413</v>
      </c>
      <c r="G316" t="s">
        <v>414</v>
      </c>
    </row>
    <row r="317" spans="1:7" x14ac:dyDescent="0.25">
      <c r="A317">
        <v>1</v>
      </c>
      <c r="B317">
        <v>910</v>
      </c>
      <c r="C317">
        <v>17</v>
      </c>
      <c r="D317">
        <v>48</v>
      </c>
      <c r="E317">
        <v>0</v>
      </c>
      <c r="F317">
        <v>-95</v>
      </c>
      <c r="G317">
        <v>50</v>
      </c>
    </row>
    <row r="318" spans="1:7" x14ac:dyDescent="0.25">
      <c r="A318">
        <v>20</v>
      </c>
      <c r="B318">
        <v>2362</v>
      </c>
      <c r="C318">
        <v>45</v>
      </c>
      <c r="D318">
        <v>124</v>
      </c>
      <c r="E318">
        <v>0</v>
      </c>
      <c r="F318">
        <v>-95</v>
      </c>
      <c r="G318">
        <v>50</v>
      </c>
    </row>
    <row r="319" spans="1:7" x14ac:dyDescent="0.25">
      <c r="A319" t="s">
        <v>415</v>
      </c>
      <c r="B319">
        <v>3142</v>
      </c>
      <c r="C319">
        <v>60</v>
      </c>
      <c r="D319">
        <v>165</v>
      </c>
      <c r="E319">
        <v>0</v>
      </c>
      <c r="F319">
        <v>-95</v>
      </c>
      <c r="G319">
        <v>50</v>
      </c>
    </row>
    <row r="320" spans="1:7" x14ac:dyDescent="0.25">
      <c r="A320">
        <v>40</v>
      </c>
      <c r="B320">
        <v>4702</v>
      </c>
      <c r="C320">
        <v>89</v>
      </c>
      <c r="D320">
        <v>247</v>
      </c>
      <c r="E320">
        <v>0</v>
      </c>
      <c r="F320">
        <v>-95</v>
      </c>
      <c r="G320">
        <v>50</v>
      </c>
    </row>
    <row r="321" spans="1:7" x14ac:dyDescent="0.25">
      <c r="A321" t="s">
        <v>416</v>
      </c>
      <c r="B321">
        <v>5256</v>
      </c>
      <c r="C321">
        <v>100</v>
      </c>
      <c r="D321">
        <v>276</v>
      </c>
      <c r="E321">
        <v>7.2</v>
      </c>
      <c r="F321">
        <v>-95</v>
      </c>
      <c r="G321">
        <v>50</v>
      </c>
    </row>
    <row r="322" spans="1:7" x14ac:dyDescent="0.25">
      <c r="A322">
        <v>50</v>
      </c>
      <c r="B322">
        <v>6048</v>
      </c>
      <c r="C322">
        <v>115</v>
      </c>
      <c r="D322">
        <v>318</v>
      </c>
      <c r="E322">
        <v>7.2</v>
      </c>
      <c r="F322">
        <v>-95</v>
      </c>
      <c r="G322">
        <v>50</v>
      </c>
    </row>
    <row r="323" spans="1:7" x14ac:dyDescent="0.25">
      <c r="A323" t="s">
        <v>417</v>
      </c>
      <c r="B323">
        <v>6787</v>
      </c>
      <c r="C323">
        <v>129</v>
      </c>
      <c r="D323">
        <v>357</v>
      </c>
      <c r="E323">
        <v>14.4</v>
      </c>
      <c r="F323">
        <v>-95</v>
      </c>
      <c r="G323">
        <v>50</v>
      </c>
    </row>
    <row r="324" spans="1:7" x14ac:dyDescent="0.25">
      <c r="A324">
        <v>60</v>
      </c>
      <c r="B324">
        <v>7586</v>
      </c>
      <c r="C324">
        <v>144</v>
      </c>
      <c r="D324">
        <v>399</v>
      </c>
      <c r="E324">
        <v>14.4</v>
      </c>
      <c r="F324">
        <v>-95</v>
      </c>
      <c r="G324">
        <v>50</v>
      </c>
    </row>
    <row r="325" spans="1:7" x14ac:dyDescent="0.25">
      <c r="A325" t="s">
        <v>418</v>
      </c>
      <c r="B325">
        <v>8141</v>
      </c>
      <c r="C325">
        <v>155</v>
      </c>
      <c r="D325">
        <v>428</v>
      </c>
      <c r="E325">
        <v>14.4</v>
      </c>
      <c r="F325">
        <v>-95</v>
      </c>
      <c r="G325">
        <v>50</v>
      </c>
    </row>
    <row r="326" spans="1:7" x14ac:dyDescent="0.25">
      <c r="A326">
        <v>70</v>
      </c>
      <c r="B326">
        <v>8948</v>
      </c>
      <c r="C326">
        <v>170</v>
      </c>
      <c r="D326">
        <v>470</v>
      </c>
      <c r="E326">
        <v>14.4</v>
      </c>
      <c r="F326">
        <v>-95</v>
      </c>
      <c r="G326">
        <v>50</v>
      </c>
    </row>
    <row r="327" spans="1:7" x14ac:dyDescent="0.25">
      <c r="A327" t="s">
        <v>419</v>
      </c>
      <c r="B327">
        <v>9502</v>
      </c>
      <c r="C327">
        <v>181</v>
      </c>
      <c r="D327">
        <v>500</v>
      </c>
      <c r="E327">
        <v>21.6</v>
      </c>
      <c r="F327">
        <v>-95</v>
      </c>
      <c r="G327">
        <v>50</v>
      </c>
    </row>
    <row r="328" spans="1:7" x14ac:dyDescent="0.25">
      <c r="A328">
        <v>80</v>
      </c>
      <c r="B328">
        <v>10318</v>
      </c>
      <c r="C328">
        <v>196</v>
      </c>
      <c r="D328">
        <v>542</v>
      </c>
      <c r="E328">
        <v>21.6</v>
      </c>
      <c r="F328">
        <v>-95</v>
      </c>
      <c r="G328">
        <v>50</v>
      </c>
    </row>
    <row r="329" spans="1:7" x14ac:dyDescent="0.25">
      <c r="A329" t="s">
        <v>420</v>
      </c>
      <c r="B329">
        <v>10873</v>
      </c>
      <c r="C329">
        <v>207</v>
      </c>
      <c r="D329">
        <v>572</v>
      </c>
      <c r="E329">
        <v>28.8</v>
      </c>
      <c r="F329">
        <v>-95</v>
      </c>
      <c r="G329">
        <v>50</v>
      </c>
    </row>
    <row r="330" spans="1:7" x14ac:dyDescent="0.25">
      <c r="A330">
        <v>90</v>
      </c>
      <c r="B330">
        <v>11695</v>
      </c>
      <c r="C330">
        <v>222</v>
      </c>
      <c r="D330">
        <v>615</v>
      </c>
      <c r="E330">
        <v>28.8</v>
      </c>
      <c r="F330">
        <v>-95</v>
      </c>
      <c r="G330">
        <v>50</v>
      </c>
    </row>
    <row r="331" spans="1:7" x14ac:dyDescent="0.25">
      <c r="A331" t="s">
        <v>258</v>
      </c>
      <c r="B331" t="s">
        <v>410</v>
      </c>
      <c r="C331" t="s">
        <v>411</v>
      </c>
      <c r="D331" t="s">
        <v>412</v>
      </c>
      <c r="E331" t="s">
        <v>69</v>
      </c>
      <c r="F331" t="s">
        <v>413</v>
      </c>
      <c r="G331" t="s">
        <v>414</v>
      </c>
    </row>
    <row r="332" spans="1:7" x14ac:dyDescent="0.25">
      <c r="A332" t="s">
        <v>428</v>
      </c>
      <c r="B332">
        <v>802</v>
      </c>
      <c r="C332">
        <v>19</v>
      </c>
      <c r="D332">
        <v>48</v>
      </c>
      <c r="E332">
        <v>0</v>
      </c>
      <c r="F332">
        <v>5</v>
      </c>
      <c r="G332">
        <v>50</v>
      </c>
    </row>
    <row r="333" spans="1:7" x14ac:dyDescent="0.25">
      <c r="A333">
        <v>20</v>
      </c>
      <c r="B333">
        <v>2061</v>
      </c>
      <c r="C333">
        <v>50</v>
      </c>
      <c r="D333">
        <v>123</v>
      </c>
      <c r="E333">
        <v>0</v>
      </c>
      <c r="F333">
        <v>5</v>
      </c>
      <c r="G333">
        <v>50</v>
      </c>
    </row>
    <row r="334" spans="1:7" x14ac:dyDescent="0.25">
      <c r="A334" t="s">
        <v>415</v>
      </c>
      <c r="B334">
        <v>2661</v>
      </c>
      <c r="C334">
        <v>64</v>
      </c>
      <c r="D334">
        <v>159</v>
      </c>
      <c r="E334">
        <v>0</v>
      </c>
      <c r="F334">
        <v>5</v>
      </c>
      <c r="G334">
        <v>50</v>
      </c>
    </row>
    <row r="335" spans="1:7" x14ac:dyDescent="0.25">
      <c r="A335">
        <v>40</v>
      </c>
      <c r="B335">
        <v>3985</v>
      </c>
      <c r="C335">
        <v>96</v>
      </c>
      <c r="D335">
        <v>239</v>
      </c>
      <c r="E335">
        <v>0</v>
      </c>
      <c r="F335">
        <v>5</v>
      </c>
      <c r="G335">
        <v>50</v>
      </c>
    </row>
    <row r="336" spans="1:7" x14ac:dyDescent="0.25">
      <c r="A336" t="s">
        <v>416</v>
      </c>
      <c r="B336">
        <v>4411</v>
      </c>
      <c r="C336">
        <v>107</v>
      </c>
      <c r="D336">
        <v>264</v>
      </c>
      <c r="E336">
        <v>24</v>
      </c>
      <c r="F336">
        <v>5</v>
      </c>
      <c r="G336">
        <v>50</v>
      </c>
    </row>
    <row r="337" spans="1:7" x14ac:dyDescent="0.25">
      <c r="A337">
        <v>50</v>
      </c>
      <c r="B337">
        <v>5074</v>
      </c>
      <c r="C337">
        <v>123</v>
      </c>
      <c r="D337">
        <v>304</v>
      </c>
      <c r="E337">
        <v>24</v>
      </c>
      <c r="F337">
        <v>5</v>
      </c>
      <c r="G337">
        <v>50</v>
      </c>
    </row>
    <row r="338" spans="1:7" x14ac:dyDescent="0.25">
      <c r="A338" t="s">
        <v>417</v>
      </c>
      <c r="B338">
        <v>5642</v>
      </c>
      <c r="C338">
        <v>136</v>
      </c>
      <c r="D338">
        <v>338</v>
      </c>
      <c r="E338">
        <v>48</v>
      </c>
      <c r="F338">
        <v>5</v>
      </c>
      <c r="G338">
        <v>50</v>
      </c>
    </row>
    <row r="339" spans="1:7" x14ac:dyDescent="0.25">
      <c r="A339">
        <v>60</v>
      </c>
      <c r="B339">
        <v>6305</v>
      </c>
      <c r="C339">
        <v>153</v>
      </c>
      <c r="D339">
        <v>378</v>
      </c>
      <c r="E339">
        <v>48</v>
      </c>
      <c r="F339">
        <v>5</v>
      </c>
      <c r="G339">
        <v>50</v>
      </c>
    </row>
    <row r="340" spans="1:7" x14ac:dyDescent="0.25">
      <c r="A340" t="s">
        <v>418</v>
      </c>
      <c r="B340">
        <v>6731</v>
      </c>
      <c r="C340">
        <v>163</v>
      </c>
      <c r="D340">
        <v>403</v>
      </c>
      <c r="E340">
        <v>48</v>
      </c>
      <c r="F340">
        <v>5</v>
      </c>
      <c r="G340">
        <v>50</v>
      </c>
    </row>
    <row r="341" spans="1:7" x14ac:dyDescent="0.25">
      <c r="A341">
        <v>70</v>
      </c>
      <c r="B341">
        <v>7393</v>
      </c>
      <c r="C341">
        <v>179</v>
      </c>
      <c r="D341">
        <v>443</v>
      </c>
      <c r="E341">
        <v>48</v>
      </c>
      <c r="F341">
        <v>5</v>
      </c>
      <c r="G341">
        <v>50</v>
      </c>
    </row>
    <row r="342" spans="1:7" x14ac:dyDescent="0.25">
      <c r="A342" t="s">
        <v>419</v>
      </c>
      <c r="B342">
        <v>7818</v>
      </c>
      <c r="C342">
        <v>189</v>
      </c>
      <c r="D342">
        <v>468</v>
      </c>
      <c r="E342">
        <v>72</v>
      </c>
      <c r="F342">
        <v>5</v>
      </c>
      <c r="G342">
        <v>50</v>
      </c>
    </row>
    <row r="343" spans="1:7" x14ac:dyDescent="0.25">
      <c r="A343">
        <v>80</v>
      </c>
      <c r="B343">
        <v>8481</v>
      </c>
      <c r="C343">
        <v>205</v>
      </c>
      <c r="D343">
        <v>508</v>
      </c>
      <c r="E343">
        <v>72</v>
      </c>
      <c r="F343">
        <v>5</v>
      </c>
      <c r="G343">
        <v>50</v>
      </c>
    </row>
    <row r="344" spans="1:7" x14ac:dyDescent="0.25">
      <c r="A344" t="s">
        <v>420</v>
      </c>
      <c r="B344">
        <v>8907</v>
      </c>
      <c r="C344">
        <v>215</v>
      </c>
      <c r="D344">
        <v>534</v>
      </c>
      <c r="E344">
        <v>96</v>
      </c>
      <c r="F344">
        <v>5</v>
      </c>
      <c r="G344">
        <v>50</v>
      </c>
    </row>
    <row r="345" spans="1:7" x14ac:dyDescent="0.25">
      <c r="A345">
        <v>90</v>
      </c>
      <c r="B345">
        <v>9570</v>
      </c>
      <c r="C345">
        <v>232</v>
      </c>
      <c r="D345">
        <v>573</v>
      </c>
      <c r="E345">
        <v>96</v>
      </c>
      <c r="F345">
        <v>5</v>
      </c>
      <c r="G345">
        <v>50</v>
      </c>
    </row>
    <row r="346" spans="1:7" x14ac:dyDescent="0.25">
      <c r="A346" t="s">
        <v>264</v>
      </c>
      <c r="B346" t="s">
        <v>410</v>
      </c>
      <c r="C346" t="s">
        <v>411</v>
      </c>
      <c r="D346" t="s">
        <v>412</v>
      </c>
      <c r="E346" t="s">
        <v>68</v>
      </c>
      <c r="F346" t="s">
        <v>413</v>
      </c>
      <c r="G346" t="s">
        <v>414</v>
      </c>
    </row>
    <row r="347" spans="1:7" x14ac:dyDescent="0.25">
      <c r="A347">
        <v>1</v>
      </c>
      <c r="B347">
        <v>810</v>
      </c>
      <c r="C347">
        <v>22</v>
      </c>
      <c r="D347">
        <v>51</v>
      </c>
      <c r="E347">
        <v>0</v>
      </c>
      <c r="F347">
        <v>5</v>
      </c>
      <c r="G347">
        <v>50</v>
      </c>
    </row>
    <row r="348" spans="1:7" x14ac:dyDescent="0.25">
      <c r="A348">
        <v>20</v>
      </c>
      <c r="B348">
        <v>2102</v>
      </c>
      <c r="C348">
        <v>58</v>
      </c>
      <c r="D348">
        <v>132</v>
      </c>
      <c r="E348">
        <v>0</v>
      </c>
      <c r="F348">
        <v>5</v>
      </c>
      <c r="G348">
        <v>50</v>
      </c>
    </row>
    <row r="349" spans="1:7" x14ac:dyDescent="0.25">
      <c r="A349" t="s">
        <v>415</v>
      </c>
      <c r="B349">
        <v>2797</v>
      </c>
      <c r="C349">
        <v>77</v>
      </c>
      <c r="D349">
        <v>176</v>
      </c>
      <c r="E349">
        <v>0</v>
      </c>
      <c r="F349">
        <v>5</v>
      </c>
      <c r="G349">
        <v>50</v>
      </c>
    </row>
    <row r="350" spans="1:7" x14ac:dyDescent="0.25">
      <c r="A350">
        <v>40</v>
      </c>
      <c r="B350">
        <v>4185</v>
      </c>
      <c r="C350">
        <v>115</v>
      </c>
      <c r="D350">
        <v>263</v>
      </c>
      <c r="E350">
        <v>0</v>
      </c>
      <c r="F350">
        <v>5</v>
      </c>
      <c r="G350">
        <v>50</v>
      </c>
    </row>
    <row r="351" spans="1:7" x14ac:dyDescent="0.25">
      <c r="A351" t="s">
        <v>416</v>
      </c>
      <c r="B351">
        <v>4678</v>
      </c>
      <c r="C351">
        <v>129</v>
      </c>
      <c r="D351">
        <v>294</v>
      </c>
      <c r="E351">
        <v>8</v>
      </c>
      <c r="F351">
        <v>5</v>
      </c>
      <c r="G351">
        <v>50</v>
      </c>
    </row>
    <row r="352" spans="1:7" x14ac:dyDescent="0.25">
      <c r="A352">
        <v>50</v>
      </c>
      <c r="B352">
        <v>5383</v>
      </c>
      <c r="C352">
        <v>148</v>
      </c>
      <c r="D352">
        <v>338</v>
      </c>
      <c r="E352">
        <v>8</v>
      </c>
      <c r="F352">
        <v>5</v>
      </c>
      <c r="G352">
        <v>50</v>
      </c>
    </row>
    <row r="353" spans="1:7" x14ac:dyDescent="0.25">
      <c r="A353" t="s">
        <v>417</v>
      </c>
      <c r="B353">
        <v>6041</v>
      </c>
      <c r="C353">
        <v>167</v>
      </c>
      <c r="D353">
        <v>379</v>
      </c>
      <c r="E353">
        <v>16</v>
      </c>
      <c r="F353">
        <v>5</v>
      </c>
      <c r="G353">
        <v>50</v>
      </c>
    </row>
    <row r="354" spans="1:7" x14ac:dyDescent="0.25">
      <c r="A354">
        <v>60</v>
      </c>
      <c r="B354">
        <v>6752</v>
      </c>
      <c r="C354">
        <v>186</v>
      </c>
      <c r="D354">
        <v>424</v>
      </c>
      <c r="E354">
        <v>16</v>
      </c>
      <c r="F354">
        <v>5</v>
      </c>
      <c r="G354">
        <v>50</v>
      </c>
    </row>
    <row r="355" spans="1:7" x14ac:dyDescent="0.25">
      <c r="A355" t="s">
        <v>418</v>
      </c>
      <c r="B355">
        <v>7246</v>
      </c>
      <c r="C355">
        <v>200</v>
      </c>
      <c r="D355">
        <v>455</v>
      </c>
      <c r="E355">
        <v>16</v>
      </c>
      <c r="F355">
        <v>5</v>
      </c>
      <c r="G355">
        <v>50</v>
      </c>
    </row>
    <row r="356" spans="1:7" x14ac:dyDescent="0.25">
      <c r="A356">
        <v>70</v>
      </c>
      <c r="B356">
        <v>7964</v>
      </c>
      <c r="C356">
        <v>220</v>
      </c>
      <c r="D356">
        <v>500</v>
      </c>
      <c r="E356">
        <v>16</v>
      </c>
      <c r="F356">
        <v>5</v>
      </c>
      <c r="G356">
        <v>50</v>
      </c>
    </row>
    <row r="357" spans="1:7" x14ac:dyDescent="0.25">
      <c r="A357" t="s">
        <v>419</v>
      </c>
      <c r="B357">
        <v>8458</v>
      </c>
      <c r="C357">
        <v>233</v>
      </c>
      <c r="D357">
        <v>531</v>
      </c>
      <c r="E357">
        <v>24</v>
      </c>
      <c r="F357">
        <v>5</v>
      </c>
      <c r="G357">
        <v>50</v>
      </c>
    </row>
    <row r="358" spans="1:7" x14ac:dyDescent="0.25">
      <c r="A358">
        <v>80</v>
      </c>
      <c r="B358">
        <v>9184</v>
      </c>
      <c r="C358">
        <v>253</v>
      </c>
      <c r="D358">
        <v>576</v>
      </c>
      <c r="E358">
        <v>24</v>
      </c>
      <c r="F358">
        <v>5</v>
      </c>
      <c r="G358">
        <v>50</v>
      </c>
    </row>
    <row r="359" spans="1:7" x14ac:dyDescent="0.25">
      <c r="A359" t="s">
        <v>420</v>
      </c>
      <c r="B359">
        <v>9677</v>
      </c>
      <c r="C359">
        <v>267</v>
      </c>
      <c r="D359">
        <v>607</v>
      </c>
      <c r="E359">
        <v>32</v>
      </c>
      <c r="F359">
        <v>5</v>
      </c>
      <c r="G359">
        <v>50</v>
      </c>
    </row>
    <row r="360" spans="1:7" x14ac:dyDescent="0.25">
      <c r="A360">
        <v>90</v>
      </c>
      <c r="B360">
        <v>10409</v>
      </c>
      <c r="C360">
        <v>287</v>
      </c>
      <c r="D360">
        <v>653</v>
      </c>
      <c r="E360">
        <v>32</v>
      </c>
      <c r="F360">
        <v>5</v>
      </c>
      <c r="G360">
        <v>50</v>
      </c>
    </row>
    <row r="361" spans="1:7" x14ac:dyDescent="0.25">
      <c r="A361" t="s">
        <v>270</v>
      </c>
      <c r="B361" t="s">
        <v>410</v>
      </c>
      <c r="C361" t="s">
        <v>411</v>
      </c>
      <c r="D361" t="s">
        <v>412</v>
      </c>
      <c r="E361" t="s">
        <v>72</v>
      </c>
      <c r="F361" t="s">
        <v>413</v>
      </c>
      <c r="G361" t="s">
        <v>414</v>
      </c>
    </row>
    <row r="362" spans="1:7" x14ac:dyDescent="0.25">
      <c r="A362">
        <v>1</v>
      </c>
      <c r="B362">
        <v>821</v>
      </c>
      <c r="C362">
        <v>18</v>
      </c>
      <c r="D362">
        <v>48</v>
      </c>
      <c r="E362">
        <v>0</v>
      </c>
      <c r="F362">
        <v>5</v>
      </c>
      <c r="G362">
        <v>50</v>
      </c>
    </row>
    <row r="363" spans="1:7" x14ac:dyDescent="0.25">
      <c r="A363">
        <v>20</v>
      </c>
      <c r="B363">
        <v>2108</v>
      </c>
      <c r="C363">
        <v>46</v>
      </c>
      <c r="D363">
        <v>123</v>
      </c>
      <c r="E363">
        <v>0</v>
      </c>
      <c r="F363">
        <v>5</v>
      </c>
      <c r="G363">
        <v>50</v>
      </c>
    </row>
    <row r="364" spans="1:7" x14ac:dyDescent="0.25">
      <c r="A364" t="s">
        <v>415</v>
      </c>
      <c r="B364">
        <v>2721</v>
      </c>
      <c r="C364">
        <v>59</v>
      </c>
      <c r="D364">
        <v>159</v>
      </c>
      <c r="E364">
        <v>0</v>
      </c>
      <c r="F364">
        <v>5</v>
      </c>
      <c r="G364">
        <v>50</v>
      </c>
    </row>
    <row r="365" spans="1:7" x14ac:dyDescent="0.25">
      <c r="A365">
        <v>40</v>
      </c>
      <c r="B365">
        <v>4076</v>
      </c>
      <c r="C365">
        <v>88</v>
      </c>
      <c r="D365">
        <v>239</v>
      </c>
      <c r="E365">
        <v>0</v>
      </c>
      <c r="F365">
        <v>5</v>
      </c>
      <c r="G365">
        <v>50</v>
      </c>
    </row>
    <row r="366" spans="1:7" x14ac:dyDescent="0.25">
      <c r="A366" t="s">
        <v>416</v>
      </c>
      <c r="B366">
        <v>4512</v>
      </c>
      <c r="C366">
        <v>98</v>
      </c>
      <c r="D366">
        <v>264</v>
      </c>
      <c r="E366">
        <v>6</v>
      </c>
      <c r="F366">
        <v>5</v>
      </c>
      <c r="G366">
        <v>50</v>
      </c>
    </row>
    <row r="367" spans="1:7" x14ac:dyDescent="0.25">
      <c r="A367">
        <v>50</v>
      </c>
      <c r="B367">
        <v>5189</v>
      </c>
      <c r="C367">
        <v>113</v>
      </c>
      <c r="D367">
        <v>304</v>
      </c>
      <c r="E367">
        <v>6</v>
      </c>
      <c r="F367">
        <v>5</v>
      </c>
      <c r="G367">
        <v>50</v>
      </c>
    </row>
    <row r="368" spans="1:7" x14ac:dyDescent="0.25">
      <c r="A368" t="s">
        <v>417</v>
      </c>
      <c r="B368">
        <v>5770</v>
      </c>
      <c r="C368">
        <v>125</v>
      </c>
      <c r="D368">
        <v>338</v>
      </c>
      <c r="E368">
        <v>12</v>
      </c>
      <c r="F368">
        <v>5</v>
      </c>
      <c r="G368">
        <v>50</v>
      </c>
    </row>
    <row r="369" spans="1:7" x14ac:dyDescent="0.25">
      <c r="A369">
        <v>60</v>
      </c>
      <c r="B369">
        <v>6448</v>
      </c>
      <c r="C369">
        <v>140</v>
      </c>
      <c r="D369">
        <v>378</v>
      </c>
      <c r="E369">
        <v>12</v>
      </c>
      <c r="F369">
        <v>5</v>
      </c>
      <c r="G369">
        <v>50</v>
      </c>
    </row>
    <row r="370" spans="1:7" x14ac:dyDescent="0.25">
      <c r="A370" t="s">
        <v>418</v>
      </c>
      <c r="B370">
        <v>6884</v>
      </c>
      <c r="C370">
        <v>149</v>
      </c>
      <c r="D370">
        <v>403</v>
      </c>
      <c r="E370">
        <v>12</v>
      </c>
      <c r="F370">
        <v>5</v>
      </c>
      <c r="G370">
        <v>50</v>
      </c>
    </row>
    <row r="371" spans="1:7" x14ac:dyDescent="0.25">
      <c r="A371">
        <v>70</v>
      </c>
      <c r="B371">
        <v>7561</v>
      </c>
      <c r="C371">
        <v>164</v>
      </c>
      <c r="D371">
        <v>443</v>
      </c>
      <c r="E371">
        <v>12</v>
      </c>
      <c r="F371">
        <v>5</v>
      </c>
      <c r="G371">
        <v>50</v>
      </c>
    </row>
    <row r="372" spans="1:7" x14ac:dyDescent="0.25">
      <c r="A372" t="s">
        <v>419</v>
      </c>
      <c r="B372">
        <v>7996</v>
      </c>
      <c r="C372">
        <v>174</v>
      </c>
      <c r="D372">
        <v>468</v>
      </c>
      <c r="E372">
        <v>18</v>
      </c>
      <c r="F372">
        <v>5</v>
      </c>
      <c r="G372">
        <v>50</v>
      </c>
    </row>
    <row r="373" spans="1:7" x14ac:dyDescent="0.25">
      <c r="A373">
        <v>80</v>
      </c>
      <c r="B373">
        <v>8674</v>
      </c>
      <c r="C373">
        <v>188</v>
      </c>
      <c r="D373">
        <v>508</v>
      </c>
      <c r="E373">
        <v>18</v>
      </c>
      <c r="F373">
        <v>5</v>
      </c>
      <c r="G373">
        <v>50</v>
      </c>
    </row>
    <row r="374" spans="1:7" x14ac:dyDescent="0.25">
      <c r="A374" t="s">
        <v>420</v>
      </c>
      <c r="B374">
        <v>9110</v>
      </c>
      <c r="C374">
        <v>198</v>
      </c>
      <c r="D374">
        <v>534</v>
      </c>
      <c r="E374">
        <v>24</v>
      </c>
      <c r="F374">
        <v>5</v>
      </c>
      <c r="G374">
        <v>50</v>
      </c>
    </row>
    <row r="375" spans="1:7" x14ac:dyDescent="0.25">
      <c r="A375">
        <v>90</v>
      </c>
      <c r="B375">
        <v>9787</v>
      </c>
      <c r="C375">
        <v>212</v>
      </c>
      <c r="D375">
        <v>573</v>
      </c>
      <c r="E375">
        <v>24</v>
      </c>
      <c r="F375">
        <v>5</v>
      </c>
      <c r="G375">
        <v>50</v>
      </c>
    </row>
    <row r="376" spans="1:7" x14ac:dyDescent="0.25">
      <c r="A376" t="s">
        <v>272</v>
      </c>
      <c r="B376" t="s">
        <v>410</v>
      </c>
      <c r="C376" t="s">
        <v>411</v>
      </c>
      <c r="D376" t="s">
        <v>412</v>
      </c>
      <c r="E376" t="s">
        <v>66</v>
      </c>
      <c r="F376" t="s">
        <v>413</v>
      </c>
      <c r="G376" t="s">
        <v>414</v>
      </c>
    </row>
    <row r="377" spans="1:7" x14ac:dyDescent="0.25">
      <c r="A377">
        <v>1</v>
      </c>
      <c r="B377">
        <v>1012</v>
      </c>
      <c r="C377">
        <v>16</v>
      </c>
      <c r="D377">
        <v>67</v>
      </c>
      <c r="E377">
        <v>0</v>
      </c>
      <c r="F377">
        <v>5</v>
      </c>
      <c r="G377">
        <v>50</v>
      </c>
    </row>
    <row r="378" spans="1:7" x14ac:dyDescent="0.25">
      <c r="A378">
        <v>20</v>
      </c>
      <c r="B378">
        <v>2600</v>
      </c>
      <c r="C378">
        <v>41</v>
      </c>
      <c r="D378">
        <v>172</v>
      </c>
      <c r="E378">
        <v>0</v>
      </c>
      <c r="F378">
        <v>5</v>
      </c>
      <c r="G378">
        <v>50</v>
      </c>
    </row>
    <row r="379" spans="1:7" x14ac:dyDescent="0.25">
      <c r="A379" t="s">
        <v>415</v>
      </c>
      <c r="B379">
        <v>3356</v>
      </c>
      <c r="C379">
        <v>53</v>
      </c>
      <c r="D379">
        <v>222</v>
      </c>
      <c r="E379">
        <v>0</v>
      </c>
      <c r="F379">
        <v>5</v>
      </c>
      <c r="G379">
        <v>50</v>
      </c>
    </row>
    <row r="380" spans="1:7" x14ac:dyDescent="0.25">
      <c r="A380">
        <v>40</v>
      </c>
      <c r="B380">
        <v>5027</v>
      </c>
      <c r="C380">
        <v>80</v>
      </c>
      <c r="D380">
        <v>333</v>
      </c>
      <c r="E380">
        <v>0</v>
      </c>
      <c r="F380">
        <v>5</v>
      </c>
      <c r="G380">
        <v>50</v>
      </c>
    </row>
    <row r="381" spans="1:7" x14ac:dyDescent="0.25">
      <c r="A381" t="s">
        <v>416</v>
      </c>
      <c r="B381">
        <v>5564</v>
      </c>
      <c r="C381">
        <v>88</v>
      </c>
      <c r="D381">
        <v>368</v>
      </c>
      <c r="E381">
        <v>7.5</v>
      </c>
      <c r="F381">
        <v>5</v>
      </c>
      <c r="G381">
        <v>50</v>
      </c>
    </row>
    <row r="382" spans="1:7" x14ac:dyDescent="0.25">
      <c r="A382">
        <v>50</v>
      </c>
      <c r="B382">
        <v>6400</v>
      </c>
      <c r="C382">
        <v>101</v>
      </c>
      <c r="D382">
        <v>423</v>
      </c>
      <c r="E382">
        <v>7.5</v>
      </c>
      <c r="F382">
        <v>5</v>
      </c>
      <c r="G382">
        <v>50</v>
      </c>
    </row>
    <row r="383" spans="1:7" x14ac:dyDescent="0.25">
      <c r="A383" t="s">
        <v>417</v>
      </c>
      <c r="B383">
        <v>7117</v>
      </c>
      <c r="C383">
        <v>113</v>
      </c>
      <c r="D383">
        <v>471</v>
      </c>
      <c r="E383">
        <v>15</v>
      </c>
      <c r="F383">
        <v>5</v>
      </c>
      <c r="G383">
        <v>50</v>
      </c>
    </row>
    <row r="384" spans="1:7" x14ac:dyDescent="0.25">
      <c r="A384">
        <v>60</v>
      </c>
      <c r="B384">
        <v>7953</v>
      </c>
      <c r="C384">
        <v>126</v>
      </c>
      <c r="D384">
        <v>526</v>
      </c>
      <c r="E384">
        <v>15</v>
      </c>
      <c r="F384">
        <v>5</v>
      </c>
      <c r="G384">
        <v>50</v>
      </c>
    </row>
    <row r="385" spans="1:7" x14ac:dyDescent="0.25">
      <c r="A385" t="s">
        <v>418</v>
      </c>
      <c r="B385">
        <v>8490</v>
      </c>
      <c r="C385">
        <v>134</v>
      </c>
      <c r="D385">
        <v>562</v>
      </c>
      <c r="E385">
        <v>15</v>
      </c>
      <c r="F385">
        <v>5</v>
      </c>
      <c r="G385">
        <v>50</v>
      </c>
    </row>
    <row r="386" spans="1:7" x14ac:dyDescent="0.25">
      <c r="A386">
        <v>70</v>
      </c>
      <c r="B386">
        <v>9325</v>
      </c>
      <c r="C386">
        <v>148</v>
      </c>
      <c r="D386">
        <v>617</v>
      </c>
      <c r="E386">
        <v>15</v>
      </c>
      <c r="F386">
        <v>5</v>
      </c>
      <c r="G386">
        <v>50</v>
      </c>
    </row>
    <row r="387" spans="1:7" x14ac:dyDescent="0.25">
      <c r="A387" t="s">
        <v>419</v>
      </c>
      <c r="B387">
        <v>9862</v>
      </c>
      <c r="C387">
        <v>156</v>
      </c>
      <c r="D387">
        <v>652</v>
      </c>
      <c r="E387">
        <v>22.5</v>
      </c>
      <c r="F387">
        <v>5</v>
      </c>
      <c r="G387">
        <v>50</v>
      </c>
    </row>
    <row r="388" spans="1:7" x14ac:dyDescent="0.25">
      <c r="A388">
        <v>80</v>
      </c>
      <c r="B388">
        <v>10698</v>
      </c>
      <c r="C388">
        <v>169</v>
      </c>
      <c r="D388">
        <v>708</v>
      </c>
      <c r="E388">
        <v>22.5</v>
      </c>
      <c r="F388">
        <v>5</v>
      </c>
      <c r="G388">
        <v>50</v>
      </c>
    </row>
    <row r="389" spans="1:7" x14ac:dyDescent="0.25">
      <c r="A389" t="s">
        <v>420</v>
      </c>
      <c r="B389">
        <v>11235</v>
      </c>
      <c r="C389">
        <v>178</v>
      </c>
      <c r="D389">
        <v>743</v>
      </c>
      <c r="E389">
        <v>30</v>
      </c>
      <c r="F389">
        <v>5</v>
      </c>
      <c r="G389">
        <v>50</v>
      </c>
    </row>
    <row r="390" spans="1:7" x14ac:dyDescent="0.25">
      <c r="A390">
        <v>90</v>
      </c>
      <c r="B390">
        <v>12071</v>
      </c>
      <c r="C390">
        <v>191</v>
      </c>
      <c r="D390">
        <v>799</v>
      </c>
      <c r="E390">
        <v>30</v>
      </c>
      <c r="F390">
        <v>5</v>
      </c>
      <c r="G390">
        <v>50</v>
      </c>
    </row>
    <row r="391" spans="1:7" x14ac:dyDescent="0.25">
      <c r="A391" t="s">
        <v>276</v>
      </c>
      <c r="B391" t="s">
        <v>410</v>
      </c>
      <c r="C391" t="s">
        <v>411</v>
      </c>
      <c r="D391" t="s">
        <v>412</v>
      </c>
      <c r="E391" t="s">
        <v>427</v>
      </c>
      <c r="F391" t="s">
        <v>413</v>
      </c>
      <c r="G391" t="s">
        <v>414</v>
      </c>
    </row>
    <row r="392" spans="1:7" x14ac:dyDescent="0.25">
      <c r="A392">
        <v>1</v>
      </c>
      <c r="B392">
        <v>963</v>
      </c>
      <c r="C392">
        <v>22</v>
      </c>
      <c r="D392">
        <v>72</v>
      </c>
      <c r="E392">
        <v>0</v>
      </c>
      <c r="F392">
        <v>5</v>
      </c>
      <c r="G392">
        <v>50</v>
      </c>
    </row>
    <row r="393" spans="1:7" x14ac:dyDescent="0.25">
      <c r="A393">
        <v>20</v>
      </c>
      <c r="B393">
        <v>2498</v>
      </c>
      <c r="C393">
        <v>58</v>
      </c>
      <c r="D393">
        <v>186</v>
      </c>
      <c r="E393">
        <v>0</v>
      </c>
      <c r="F393">
        <v>5</v>
      </c>
      <c r="G393">
        <v>50</v>
      </c>
    </row>
    <row r="394" spans="1:7" x14ac:dyDescent="0.25">
      <c r="A394" t="s">
        <v>415</v>
      </c>
      <c r="B394">
        <v>3323</v>
      </c>
      <c r="C394">
        <v>77</v>
      </c>
      <c r="D394">
        <v>248</v>
      </c>
      <c r="E394">
        <v>0</v>
      </c>
      <c r="F394">
        <v>5</v>
      </c>
      <c r="G394">
        <v>50</v>
      </c>
    </row>
    <row r="395" spans="1:7" x14ac:dyDescent="0.25">
      <c r="A395">
        <v>40</v>
      </c>
      <c r="B395">
        <v>4973</v>
      </c>
      <c r="C395">
        <v>115</v>
      </c>
      <c r="D395">
        <v>371</v>
      </c>
      <c r="E395">
        <v>0</v>
      </c>
      <c r="F395">
        <v>5</v>
      </c>
      <c r="G395">
        <v>50</v>
      </c>
    </row>
    <row r="396" spans="1:7" x14ac:dyDescent="0.25">
      <c r="A396" t="s">
        <v>416</v>
      </c>
      <c r="B396">
        <v>5559</v>
      </c>
      <c r="C396">
        <v>129</v>
      </c>
      <c r="D396">
        <v>415</v>
      </c>
      <c r="E396">
        <v>5.5</v>
      </c>
      <c r="F396">
        <v>5</v>
      </c>
      <c r="G396">
        <v>50</v>
      </c>
    </row>
    <row r="397" spans="1:7" x14ac:dyDescent="0.25">
      <c r="A397">
        <v>50</v>
      </c>
      <c r="B397">
        <v>6396</v>
      </c>
      <c r="C397">
        <v>148</v>
      </c>
      <c r="D397">
        <v>477</v>
      </c>
      <c r="E397">
        <v>5.5</v>
      </c>
      <c r="F397">
        <v>5</v>
      </c>
      <c r="G397">
        <v>50</v>
      </c>
    </row>
    <row r="398" spans="1:7" x14ac:dyDescent="0.25">
      <c r="A398" t="s">
        <v>417</v>
      </c>
      <c r="B398">
        <v>7178</v>
      </c>
      <c r="C398">
        <v>167</v>
      </c>
      <c r="D398">
        <v>535</v>
      </c>
      <c r="E398">
        <v>11.1</v>
      </c>
      <c r="F398">
        <v>5</v>
      </c>
      <c r="G398">
        <v>50</v>
      </c>
    </row>
    <row r="399" spans="1:7" x14ac:dyDescent="0.25">
      <c r="A399">
        <v>60</v>
      </c>
      <c r="B399">
        <v>8023</v>
      </c>
      <c r="C399">
        <v>186</v>
      </c>
      <c r="D399">
        <v>598</v>
      </c>
      <c r="E399">
        <v>11.1</v>
      </c>
      <c r="F399">
        <v>5</v>
      </c>
      <c r="G399">
        <v>50</v>
      </c>
    </row>
    <row r="400" spans="1:7" x14ac:dyDescent="0.25">
      <c r="A400" t="s">
        <v>418</v>
      </c>
      <c r="B400">
        <v>8610</v>
      </c>
      <c r="C400">
        <v>200</v>
      </c>
      <c r="D400">
        <v>642</v>
      </c>
      <c r="E400">
        <v>11.1</v>
      </c>
      <c r="F400">
        <v>5</v>
      </c>
      <c r="G400">
        <v>50</v>
      </c>
    </row>
    <row r="401" spans="1:7" x14ac:dyDescent="0.25">
      <c r="A401">
        <v>70</v>
      </c>
      <c r="B401">
        <v>9463</v>
      </c>
      <c r="C401">
        <v>220</v>
      </c>
      <c r="D401">
        <v>706</v>
      </c>
      <c r="E401">
        <v>11.1</v>
      </c>
      <c r="F401">
        <v>5</v>
      </c>
      <c r="G401">
        <v>50</v>
      </c>
    </row>
    <row r="402" spans="1:7" x14ac:dyDescent="0.25">
      <c r="A402" t="s">
        <v>419</v>
      </c>
      <c r="B402">
        <v>10050</v>
      </c>
      <c r="C402">
        <v>233</v>
      </c>
      <c r="D402">
        <v>749</v>
      </c>
      <c r="E402">
        <v>16.600000000000001</v>
      </c>
      <c r="F402">
        <v>5</v>
      </c>
      <c r="G402">
        <v>50</v>
      </c>
    </row>
    <row r="403" spans="1:7" x14ac:dyDescent="0.25">
      <c r="A403">
        <v>80</v>
      </c>
      <c r="B403">
        <v>10912</v>
      </c>
      <c r="C403">
        <v>253</v>
      </c>
      <c r="D403">
        <v>814</v>
      </c>
      <c r="E403">
        <v>16.600000000000001</v>
      </c>
      <c r="F403">
        <v>5</v>
      </c>
      <c r="G403">
        <v>50</v>
      </c>
    </row>
    <row r="404" spans="1:7" x14ac:dyDescent="0.25">
      <c r="A404" t="s">
        <v>420</v>
      </c>
      <c r="B404">
        <v>11499</v>
      </c>
      <c r="C404">
        <v>267</v>
      </c>
      <c r="D404">
        <v>857</v>
      </c>
      <c r="E404">
        <v>22.2</v>
      </c>
      <c r="F404">
        <v>5</v>
      </c>
      <c r="G404">
        <v>50</v>
      </c>
    </row>
    <row r="405" spans="1:7" x14ac:dyDescent="0.25">
      <c r="A405">
        <v>90</v>
      </c>
      <c r="B405">
        <v>12368</v>
      </c>
      <c r="C405">
        <v>287</v>
      </c>
      <c r="D405">
        <v>922</v>
      </c>
      <c r="E405">
        <v>22.2</v>
      </c>
      <c r="F405">
        <v>5</v>
      </c>
      <c r="G405">
        <v>50</v>
      </c>
    </row>
    <row r="406" spans="1:7" x14ac:dyDescent="0.25">
      <c r="A406" t="s">
        <v>284</v>
      </c>
      <c r="B406" t="s">
        <v>410</v>
      </c>
      <c r="C406" t="s">
        <v>411</v>
      </c>
      <c r="D406" t="s">
        <v>412</v>
      </c>
      <c r="E406" t="s">
        <v>68</v>
      </c>
      <c r="F406" t="s">
        <v>413</v>
      </c>
      <c r="G406" t="s">
        <v>414</v>
      </c>
    </row>
    <row r="407" spans="1:7" x14ac:dyDescent="0.25">
      <c r="A407">
        <v>1</v>
      </c>
      <c r="B407">
        <v>1005</v>
      </c>
      <c r="C407">
        <v>26</v>
      </c>
      <c r="D407">
        <v>61</v>
      </c>
      <c r="E407">
        <v>0</v>
      </c>
      <c r="F407">
        <v>5</v>
      </c>
      <c r="G407">
        <v>50</v>
      </c>
    </row>
    <row r="408" spans="1:7" x14ac:dyDescent="0.25">
      <c r="A408">
        <v>20</v>
      </c>
      <c r="B408">
        <v>2606</v>
      </c>
      <c r="C408">
        <v>68</v>
      </c>
      <c r="D408">
        <v>159</v>
      </c>
      <c r="E408">
        <v>0</v>
      </c>
      <c r="F408">
        <v>5</v>
      </c>
      <c r="G408">
        <v>50</v>
      </c>
    </row>
    <row r="409" spans="1:7" x14ac:dyDescent="0.25">
      <c r="A409" t="s">
        <v>415</v>
      </c>
      <c r="B409">
        <v>3468</v>
      </c>
      <c r="C409">
        <v>91</v>
      </c>
      <c r="D409">
        <v>212</v>
      </c>
      <c r="E409">
        <v>0</v>
      </c>
      <c r="F409">
        <v>5</v>
      </c>
      <c r="G409">
        <v>50</v>
      </c>
    </row>
    <row r="410" spans="1:7" x14ac:dyDescent="0.25">
      <c r="A410">
        <v>40</v>
      </c>
      <c r="B410">
        <v>5189</v>
      </c>
      <c r="C410">
        <v>136</v>
      </c>
      <c r="D410">
        <v>317</v>
      </c>
      <c r="E410">
        <v>0</v>
      </c>
      <c r="F410">
        <v>5</v>
      </c>
      <c r="G410">
        <v>50</v>
      </c>
    </row>
    <row r="411" spans="1:7" x14ac:dyDescent="0.25">
      <c r="A411" t="s">
        <v>416</v>
      </c>
      <c r="B411">
        <v>5801</v>
      </c>
      <c r="C411">
        <v>152</v>
      </c>
      <c r="D411">
        <v>355</v>
      </c>
      <c r="E411">
        <v>8</v>
      </c>
      <c r="F411">
        <v>5</v>
      </c>
      <c r="G411">
        <v>50</v>
      </c>
    </row>
    <row r="412" spans="1:7" x14ac:dyDescent="0.25">
      <c r="A412">
        <v>50</v>
      </c>
      <c r="B412">
        <v>6675</v>
      </c>
      <c r="C412">
        <v>174</v>
      </c>
      <c r="D412">
        <v>408</v>
      </c>
      <c r="E412">
        <v>8</v>
      </c>
      <c r="F412">
        <v>5</v>
      </c>
      <c r="G412">
        <v>50</v>
      </c>
    </row>
    <row r="413" spans="1:7" x14ac:dyDescent="0.25">
      <c r="A413" t="s">
        <v>417</v>
      </c>
      <c r="B413">
        <v>7491</v>
      </c>
      <c r="C413">
        <v>196</v>
      </c>
      <c r="D413">
        <v>458</v>
      </c>
      <c r="E413">
        <v>16</v>
      </c>
      <c r="F413">
        <v>5</v>
      </c>
      <c r="G413">
        <v>50</v>
      </c>
    </row>
    <row r="414" spans="1:7" x14ac:dyDescent="0.25">
      <c r="A414">
        <v>60</v>
      </c>
      <c r="B414">
        <v>8373</v>
      </c>
      <c r="C414">
        <v>219</v>
      </c>
      <c r="D414">
        <v>512</v>
      </c>
      <c r="E414">
        <v>16</v>
      </c>
      <c r="F414">
        <v>5</v>
      </c>
      <c r="G414">
        <v>50</v>
      </c>
    </row>
    <row r="415" spans="1:7" x14ac:dyDescent="0.25">
      <c r="A415" t="s">
        <v>418</v>
      </c>
      <c r="B415">
        <v>8985</v>
      </c>
      <c r="C415">
        <v>235</v>
      </c>
      <c r="D415">
        <v>549</v>
      </c>
      <c r="E415">
        <v>16</v>
      </c>
      <c r="F415">
        <v>5</v>
      </c>
      <c r="G415">
        <v>50</v>
      </c>
    </row>
    <row r="416" spans="1:7" x14ac:dyDescent="0.25">
      <c r="A416">
        <v>70</v>
      </c>
      <c r="B416">
        <v>9875</v>
      </c>
      <c r="C416">
        <v>258</v>
      </c>
      <c r="D416">
        <v>604</v>
      </c>
      <c r="E416">
        <v>16</v>
      </c>
      <c r="F416">
        <v>5</v>
      </c>
      <c r="G416">
        <v>50</v>
      </c>
    </row>
    <row r="417" spans="1:7" x14ac:dyDescent="0.25">
      <c r="A417" t="s">
        <v>419</v>
      </c>
      <c r="B417">
        <v>10487</v>
      </c>
      <c r="C417">
        <v>274</v>
      </c>
      <c r="D417">
        <v>641</v>
      </c>
      <c r="E417">
        <v>24</v>
      </c>
      <c r="F417">
        <v>5</v>
      </c>
      <c r="G417">
        <v>50</v>
      </c>
    </row>
    <row r="418" spans="1:7" x14ac:dyDescent="0.25">
      <c r="A418">
        <v>80</v>
      </c>
      <c r="B418">
        <v>11388</v>
      </c>
      <c r="C418">
        <v>298</v>
      </c>
      <c r="D418">
        <v>696</v>
      </c>
      <c r="E418">
        <v>24</v>
      </c>
      <c r="F418">
        <v>5</v>
      </c>
      <c r="G418">
        <v>50</v>
      </c>
    </row>
    <row r="419" spans="1:7" x14ac:dyDescent="0.25">
      <c r="A419" t="s">
        <v>420</v>
      </c>
      <c r="B419">
        <v>12000</v>
      </c>
      <c r="C419">
        <v>314</v>
      </c>
      <c r="D419">
        <v>734</v>
      </c>
      <c r="E419">
        <v>32</v>
      </c>
      <c r="F419">
        <v>5</v>
      </c>
      <c r="G419">
        <v>50</v>
      </c>
    </row>
    <row r="420" spans="1:7" x14ac:dyDescent="0.25">
      <c r="A420">
        <v>90</v>
      </c>
      <c r="B420">
        <v>12907</v>
      </c>
      <c r="C420">
        <v>337</v>
      </c>
      <c r="D420">
        <v>789</v>
      </c>
      <c r="E420">
        <v>32</v>
      </c>
      <c r="F420">
        <v>5</v>
      </c>
      <c r="G420">
        <v>50</v>
      </c>
    </row>
    <row r="421" spans="1:7" x14ac:dyDescent="0.25">
      <c r="A421" t="s">
        <v>282</v>
      </c>
      <c r="B421" t="s">
        <v>410</v>
      </c>
      <c r="C421" t="s">
        <v>411</v>
      </c>
      <c r="D421" t="s">
        <v>412</v>
      </c>
      <c r="E421" t="s">
        <v>70</v>
      </c>
      <c r="F421" t="s">
        <v>413</v>
      </c>
      <c r="G421" t="s">
        <v>414</v>
      </c>
    </row>
    <row r="422" spans="1:7" x14ac:dyDescent="0.25">
      <c r="A422">
        <v>1</v>
      </c>
      <c r="B422">
        <v>1003</v>
      </c>
      <c r="C422">
        <v>20</v>
      </c>
      <c r="D422">
        <v>63</v>
      </c>
      <c r="E422">
        <v>0</v>
      </c>
      <c r="F422">
        <v>5</v>
      </c>
      <c r="G422">
        <v>50</v>
      </c>
    </row>
    <row r="423" spans="1:7" x14ac:dyDescent="0.25">
      <c r="A423">
        <v>20</v>
      </c>
      <c r="B423">
        <v>2577</v>
      </c>
      <c r="C423">
        <v>50</v>
      </c>
      <c r="D423">
        <v>162</v>
      </c>
      <c r="E423">
        <v>0</v>
      </c>
      <c r="F423">
        <v>5</v>
      </c>
      <c r="G423">
        <v>50</v>
      </c>
    </row>
    <row r="424" spans="1:7" x14ac:dyDescent="0.25">
      <c r="A424" t="s">
        <v>415</v>
      </c>
      <c r="B424">
        <v>3326</v>
      </c>
      <c r="C424">
        <v>65</v>
      </c>
      <c r="D424">
        <v>209</v>
      </c>
      <c r="E424">
        <v>0</v>
      </c>
      <c r="F424">
        <v>5</v>
      </c>
      <c r="G424">
        <v>50</v>
      </c>
    </row>
    <row r="425" spans="1:7" x14ac:dyDescent="0.25">
      <c r="A425">
        <v>40</v>
      </c>
      <c r="B425">
        <v>4982</v>
      </c>
      <c r="C425">
        <v>97</v>
      </c>
      <c r="D425">
        <v>313</v>
      </c>
      <c r="E425">
        <v>0</v>
      </c>
      <c r="F425">
        <v>5</v>
      </c>
      <c r="G425">
        <v>50</v>
      </c>
    </row>
    <row r="426" spans="1:7" x14ac:dyDescent="0.25">
      <c r="A426" t="s">
        <v>416</v>
      </c>
      <c r="B426">
        <v>5514</v>
      </c>
      <c r="C426">
        <v>108</v>
      </c>
      <c r="D426">
        <v>346</v>
      </c>
      <c r="E426">
        <v>7.5</v>
      </c>
      <c r="F426">
        <v>5</v>
      </c>
      <c r="G426">
        <v>50</v>
      </c>
    </row>
    <row r="427" spans="1:7" x14ac:dyDescent="0.25">
      <c r="A427">
        <v>50</v>
      </c>
      <c r="B427">
        <v>6343</v>
      </c>
      <c r="C427">
        <v>124</v>
      </c>
      <c r="D427">
        <v>398</v>
      </c>
      <c r="E427">
        <v>7.5</v>
      </c>
      <c r="F427">
        <v>5</v>
      </c>
      <c r="G427">
        <v>50</v>
      </c>
    </row>
    <row r="428" spans="1:7" x14ac:dyDescent="0.25">
      <c r="A428" t="s">
        <v>417</v>
      </c>
      <c r="B428">
        <v>7052</v>
      </c>
      <c r="C428">
        <v>138</v>
      </c>
      <c r="D428">
        <v>443</v>
      </c>
      <c r="E428">
        <v>15</v>
      </c>
      <c r="F428">
        <v>5</v>
      </c>
      <c r="G428">
        <v>50</v>
      </c>
    </row>
    <row r="429" spans="1:7" x14ac:dyDescent="0.25">
      <c r="A429">
        <v>60</v>
      </c>
      <c r="B429">
        <v>7881</v>
      </c>
      <c r="C429">
        <v>154</v>
      </c>
      <c r="D429">
        <v>495</v>
      </c>
      <c r="E429">
        <v>15</v>
      </c>
      <c r="F429">
        <v>5</v>
      </c>
      <c r="G429">
        <v>50</v>
      </c>
    </row>
    <row r="430" spans="1:7" x14ac:dyDescent="0.25">
      <c r="A430" t="s">
        <v>418</v>
      </c>
      <c r="B430">
        <v>8413</v>
      </c>
      <c r="C430">
        <v>164</v>
      </c>
      <c r="D430">
        <v>528</v>
      </c>
      <c r="E430">
        <v>15</v>
      </c>
      <c r="F430">
        <v>5</v>
      </c>
      <c r="G430">
        <v>50</v>
      </c>
    </row>
    <row r="431" spans="1:7" x14ac:dyDescent="0.25">
      <c r="A431">
        <v>70</v>
      </c>
      <c r="B431">
        <v>9241</v>
      </c>
      <c r="C431">
        <v>180</v>
      </c>
      <c r="D431">
        <v>580</v>
      </c>
      <c r="E431">
        <v>15</v>
      </c>
      <c r="F431">
        <v>5</v>
      </c>
      <c r="G431">
        <v>50</v>
      </c>
    </row>
    <row r="432" spans="1:7" x14ac:dyDescent="0.25">
      <c r="A432" t="s">
        <v>419</v>
      </c>
      <c r="B432">
        <v>9773</v>
      </c>
      <c r="C432">
        <v>191</v>
      </c>
      <c r="D432">
        <v>613</v>
      </c>
      <c r="E432">
        <v>22.5</v>
      </c>
      <c r="F432">
        <v>5</v>
      </c>
      <c r="G432">
        <v>50</v>
      </c>
    </row>
    <row r="433" spans="1:7" x14ac:dyDescent="0.25">
      <c r="A433">
        <v>80</v>
      </c>
      <c r="B433">
        <v>10602</v>
      </c>
      <c r="C433">
        <v>207</v>
      </c>
      <c r="D433">
        <v>665</v>
      </c>
      <c r="E433">
        <v>22.5</v>
      </c>
      <c r="F433">
        <v>5</v>
      </c>
      <c r="G433">
        <v>50</v>
      </c>
    </row>
    <row r="434" spans="1:7" x14ac:dyDescent="0.25">
      <c r="A434" t="s">
        <v>420</v>
      </c>
      <c r="B434">
        <v>11134</v>
      </c>
      <c r="C434">
        <v>217</v>
      </c>
      <c r="D434">
        <v>699</v>
      </c>
      <c r="E434">
        <v>30</v>
      </c>
      <c r="F434">
        <v>5</v>
      </c>
      <c r="G434">
        <v>50</v>
      </c>
    </row>
    <row r="435" spans="1:7" x14ac:dyDescent="0.25">
      <c r="A435">
        <v>90</v>
      </c>
      <c r="B435">
        <v>11962</v>
      </c>
      <c r="C435">
        <v>234</v>
      </c>
      <c r="D435">
        <v>751</v>
      </c>
      <c r="E435">
        <v>30</v>
      </c>
      <c r="F435">
        <v>5</v>
      </c>
      <c r="G435">
        <v>50</v>
      </c>
    </row>
    <row r="436" spans="1:7" x14ac:dyDescent="0.25">
      <c r="A436" t="s">
        <v>300</v>
      </c>
      <c r="B436" t="s">
        <v>410</v>
      </c>
      <c r="C436" t="s">
        <v>411</v>
      </c>
      <c r="D436" t="s">
        <v>412</v>
      </c>
      <c r="E436" t="s">
        <v>65</v>
      </c>
      <c r="F436" t="s">
        <v>413</v>
      </c>
      <c r="G436" t="s">
        <v>414</v>
      </c>
    </row>
    <row r="437" spans="1:7" x14ac:dyDescent="0.25">
      <c r="A437">
        <v>1</v>
      </c>
      <c r="B437">
        <v>1030</v>
      </c>
      <c r="C437">
        <v>20</v>
      </c>
      <c r="D437">
        <v>60</v>
      </c>
      <c r="E437">
        <v>0</v>
      </c>
      <c r="F437">
        <v>5</v>
      </c>
      <c r="G437">
        <v>50</v>
      </c>
    </row>
    <row r="438" spans="1:7" x14ac:dyDescent="0.25">
      <c r="A438">
        <v>20</v>
      </c>
      <c r="B438">
        <v>2647</v>
      </c>
      <c r="C438">
        <v>52</v>
      </c>
      <c r="D438">
        <v>153</v>
      </c>
      <c r="E438">
        <v>0</v>
      </c>
      <c r="F438">
        <v>5</v>
      </c>
      <c r="G438">
        <v>50</v>
      </c>
    </row>
    <row r="439" spans="1:7" x14ac:dyDescent="0.25">
      <c r="A439" t="s">
        <v>415</v>
      </c>
      <c r="B439">
        <v>3417</v>
      </c>
      <c r="C439">
        <v>67</v>
      </c>
      <c r="D439">
        <v>197</v>
      </c>
      <c r="E439">
        <v>0</v>
      </c>
      <c r="F439">
        <v>5</v>
      </c>
      <c r="G439">
        <v>50</v>
      </c>
    </row>
    <row r="440" spans="1:7" x14ac:dyDescent="0.25">
      <c r="A440">
        <v>40</v>
      </c>
      <c r="B440">
        <v>5118</v>
      </c>
      <c r="C440">
        <v>100</v>
      </c>
      <c r="D440">
        <v>296</v>
      </c>
      <c r="E440">
        <v>0</v>
      </c>
      <c r="F440">
        <v>5</v>
      </c>
      <c r="G440">
        <v>50</v>
      </c>
    </row>
    <row r="441" spans="1:7" x14ac:dyDescent="0.25">
      <c r="A441" t="s">
        <v>416</v>
      </c>
      <c r="B441">
        <v>5665</v>
      </c>
      <c r="C441">
        <v>111</v>
      </c>
      <c r="D441">
        <v>327</v>
      </c>
      <c r="E441">
        <v>6</v>
      </c>
      <c r="F441">
        <v>5</v>
      </c>
      <c r="G441">
        <v>50</v>
      </c>
    </row>
    <row r="442" spans="1:7" x14ac:dyDescent="0.25">
      <c r="A442">
        <v>50</v>
      </c>
      <c r="B442">
        <v>6516</v>
      </c>
      <c r="C442">
        <v>127</v>
      </c>
      <c r="D442">
        <v>376</v>
      </c>
      <c r="E442">
        <v>6</v>
      </c>
      <c r="F442">
        <v>5</v>
      </c>
      <c r="G442">
        <v>50</v>
      </c>
    </row>
    <row r="443" spans="1:7" x14ac:dyDescent="0.25">
      <c r="A443" t="s">
        <v>417</v>
      </c>
      <c r="B443">
        <v>7245</v>
      </c>
      <c r="C443">
        <v>141</v>
      </c>
      <c r="D443">
        <v>418</v>
      </c>
      <c r="E443">
        <v>12</v>
      </c>
      <c r="F443">
        <v>5</v>
      </c>
      <c r="G443">
        <v>50</v>
      </c>
    </row>
    <row r="444" spans="1:7" x14ac:dyDescent="0.25">
      <c r="A444">
        <v>60</v>
      </c>
      <c r="B444">
        <v>8096</v>
      </c>
      <c r="C444">
        <v>158</v>
      </c>
      <c r="D444">
        <v>468</v>
      </c>
      <c r="E444">
        <v>12</v>
      </c>
      <c r="F444">
        <v>5</v>
      </c>
      <c r="G444">
        <v>50</v>
      </c>
    </row>
    <row r="445" spans="1:7" x14ac:dyDescent="0.25">
      <c r="A445" t="s">
        <v>418</v>
      </c>
      <c r="B445">
        <v>8643</v>
      </c>
      <c r="C445">
        <v>169</v>
      </c>
      <c r="D445">
        <v>499</v>
      </c>
      <c r="E445">
        <v>12</v>
      </c>
      <c r="F445">
        <v>5</v>
      </c>
      <c r="G445">
        <v>50</v>
      </c>
    </row>
    <row r="446" spans="1:7" x14ac:dyDescent="0.25">
      <c r="A446">
        <v>70</v>
      </c>
      <c r="B446">
        <v>9493</v>
      </c>
      <c r="C446">
        <v>185</v>
      </c>
      <c r="D446">
        <v>548</v>
      </c>
      <c r="E446">
        <v>12</v>
      </c>
      <c r="F446">
        <v>5</v>
      </c>
      <c r="G446">
        <v>50</v>
      </c>
    </row>
    <row r="447" spans="1:7" x14ac:dyDescent="0.25">
      <c r="A447" t="s">
        <v>419</v>
      </c>
      <c r="B447">
        <v>10040</v>
      </c>
      <c r="C447">
        <v>196</v>
      </c>
      <c r="D447">
        <v>580</v>
      </c>
      <c r="E447">
        <v>18</v>
      </c>
      <c r="F447">
        <v>5</v>
      </c>
      <c r="G447">
        <v>50</v>
      </c>
    </row>
    <row r="448" spans="1:7" x14ac:dyDescent="0.25">
      <c r="A448">
        <v>80</v>
      </c>
      <c r="B448">
        <v>10891</v>
      </c>
      <c r="C448">
        <v>213</v>
      </c>
      <c r="D448">
        <v>629</v>
      </c>
      <c r="E448">
        <v>18</v>
      </c>
      <c r="F448">
        <v>5</v>
      </c>
      <c r="G448">
        <v>50</v>
      </c>
    </row>
    <row r="449" spans="1:7" x14ac:dyDescent="0.25">
      <c r="A449" t="s">
        <v>420</v>
      </c>
      <c r="B449">
        <v>11438</v>
      </c>
      <c r="C449">
        <v>223</v>
      </c>
      <c r="D449">
        <v>661</v>
      </c>
      <c r="E449">
        <v>24</v>
      </c>
      <c r="F449">
        <v>5</v>
      </c>
      <c r="G449">
        <v>50</v>
      </c>
    </row>
    <row r="450" spans="1:7" x14ac:dyDescent="0.25">
      <c r="A450">
        <v>90</v>
      </c>
      <c r="B450">
        <v>12289</v>
      </c>
      <c r="C450">
        <v>240</v>
      </c>
      <c r="D450">
        <v>710</v>
      </c>
      <c r="E450">
        <v>24</v>
      </c>
      <c r="F450">
        <v>5</v>
      </c>
      <c r="G450">
        <v>50</v>
      </c>
    </row>
    <row r="451" spans="1:7" x14ac:dyDescent="0.25">
      <c r="A451" t="s">
        <v>311</v>
      </c>
      <c r="B451" t="s">
        <v>410</v>
      </c>
      <c r="C451" t="s">
        <v>411</v>
      </c>
      <c r="D451" t="s">
        <v>412</v>
      </c>
      <c r="E451" t="s">
        <v>69</v>
      </c>
      <c r="F451" t="s">
        <v>413</v>
      </c>
      <c r="G451" t="s">
        <v>414</v>
      </c>
    </row>
    <row r="452" spans="1:7" x14ac:dyDescent="0.25">
      <c r="A452">
        <v>1</v>
      </c>
      <c r="B452">
        <v>994</v>
      </c>
      <c r="C452">
        <v>20</v>
      </c>
      <c r="D452">
        <v>62</v>
      </c>
      <c r="E452">
        <v>0</v>
      </c>
      <c r="F452">
        <v>5</v>
      </c>
      <c r="G452">
        <v>50</v>
      </c>
    </row>
    <row r="453" spans="1:7" x14ac:dyDescent="0.25">
      <c r="A453">
        <v>20</v>
      </c>
      <c r="B453">
        <v>2553</v>
      </c>
      <c r="C453">
        <v>53</v>
      </c>
      <c r="D453">
        <v>160</v>
      </c>
      <c r="E453">
        <v>0</v>
      </c>
      <c r="F453">
        <v>5</v>
      </c>
      <c r="G453">
        <v>50</v>
      </c>
    </row>
    <row r="454" spans="1:7" x14ac:dyDescent="0.25">
      <c r="A454" t="s">
        <v>415</v>
      </c>
      <c r="B454">
        <v>3296</v>
      </c>
      <c r="C454">
        <v>68</v>
      </c>
      <c r="D454">
        <v>207</v>
      </c>
      <c r="E454">
        <v>0</v>
      </c>
      <c r="F454">
        <v>5</v>
      </c>
      <c r="G454">
        <v>50</v>
      </c>
    </row>
    <row r="455" spans="1:7" x14ac:dyDescent="0.25">
      <c r="A455">
        <v>40</v>
      </c>
      <c r="B455">
        <v>4937</v>
      </c>
      <c r="C455">
        <v>102</v>
      </c>
      <c r="D455">
        <v>310</v>
      </c>
      <c r="E455">
        <v>0</v>
      </c>
      <c r="F455">
        <v>5</v>
      </c>
      <c r="G455">
        <v>50</v>
      </c>
    </row>
    <row r="456" spans="1:7" x14ac:dyDescent="0.25">
      <c r="A456" t="s">
        <v>416</v>
      </c>
      <c r="B456">
        <v>5464</v>
      </c>
      <c r="C456">
        <v>113</v>
      </c>
      <c r="D456">
        <v>343</v>
      </c>
      <c r="E456">
        <v>24</v>
      </c>
      <c r="F456">
        <v>5</v>
      </c>
      <c r="G456">
        <v>50</v>
      </c>
    </row>
    <row r="457" spans="1:7" x14ac:dyDescent="0.25">
      <c r="A457">
        <v>50</v>
      </c>
      <c r="B457">
        <v>6285</v>
      </c>
      <c r="C457">
        <v>130</v>
      </c>
      <c r="D457">
        <v>395</v>
      </c>
      <c r="E457">
        <v>24</v>
      </c>
      <c r="F457">
        <v>5</v>
      </c>
      <c r="G457">
        <v>50</v>
      </c>
    </row>
    <row r="458" spans="1:7" x14ac:dyDescent="0.25">
      <c r="A458" t="s">
        <v>417</v>
      </c>
      <c r="B458">
        <v>6988</v>
      </c>
      <c r="C458">
        <v>144</v>
      </c>
      <c r="D458">
        <v>439</v>
      </c>
      <c r="E458">
        <v>48</v>
      </c>
      <c r="F458">
        <v>5</v>
      </c>
      <c r="G458">
        <v>50</v>
      </c>
    </row>
    <row r="459" spans="1:7" x14ac:dyDescent="0.25">
      <c r="A459">
        <v>60</v>
      </c>
      <c r="B459">
        <v>7809</v>
      </c>
      <c r="C459">
        <v>161</v>
      </c>
      <c r="D459">
        <v>491</v>
      </c>
      <c r="E459">
        <v>48</v>
      </c>
      <c r="F459">
        <v>5</v>
      </c>
      <c r="G459">
        <v>50</v>
      </c>
    </row>
    <row r="460" spans="1:7" x14ac:dyDescent="0.25">
      <c r="A460" t="s">
        <v>418</v>
      </c>
      <c r="B460">
        <v>8337</v>
      </c>
      <c r="C460">
        <v>172</v>
      </c>
      <c r="D460">
        <v>524</v>
      </c>
      <c r="E460">
        <v>48</v>
      </c>
      <c r="F460">
        <v>5</v>
      </c>
      <c r="G460">
        <v>50</v>
      </c>
    </row>
    <row r="461" spans="1:7" x14ac:dyDescent="0.25">
      <c r="A461">
        <v>70</v>
      </c>
      <c r="B461">
        <v>9157</v>
      </c>
      <c r="C461">
        <v>189</v>
      </c>
      <c r="D461">
        <v>575</v>
      </c>
      <c r="E461">
        <v>48</v>
      </c>
      <c r="F461">
        <v>5</v>
      </c>
      <c r="G461">
        <v>50</v>
      </c>
    </row>
    <row r="462" spans="1:7" x14ac:dyDescent="0.25">
      <c r="A462" t="s">
        <v>419</v>
      </c>
      <c r="B462">
        <v>9684</v>
      </c>
      <c r="C462">
        <v>200</v>
      </c>
      <c r="D462">
        <v>608</v>
      </c>
      <c r="E462">
        <v>72</v>
      </c>
      <c r="F462">
        <v>5</v>
      </c>
      <c r="G462">
        <v>50</v>
      </c>
    </row>
    <row r="463" spans="1:7" x14ac:dyDescent="0.25">
      <c r="A463">
        <v>80</v>
      </c>
      <c r="B463">
        <v>10505</v>
      </c>
      <c r="C463">
        <v>216</v>
      </c>
      <c r="D463">
        <v>660</v>
      </c>
      <c r="E463">
        <v>72</v>
      </c>
      <c r="F463">
        <v>5</v>
      </c>
      <c r="G463">
        <v>50</v>
      </c>
    </row>
    <row r="464" spans="1:7" x14ac:dyDescent="0.25">
      <c r="A464" t="s">
        <v>420</v>
      </c>
      <c r="B464">
        <v>11033</v>
      </c>
      <c r="C464">
        <v>227</v>
      </c>
      <c r="D464">
        <v>693</v>
      </c>
      <c r="E464">
        <v>96</v>
      </c>
      <c r="F464">
        <v>5</v>
      </c>
      <c r="G464">
        <v>50</v>
      </c>
    </row>
    <row r="465" spans="1:7" x14ac:dyDescent="0.25">
      <c r="A465">
        <v>90</v>
      </c>
      <c r="B465">
        <v>11854</v>
      </c>
      <c r="C465">
        <v>244</v>
      </c>
      <c r="D465">
        <v>745</v>
      </c>
      <c r="E465">
        <v>96</v>
      </c>
      <c r="F465">
        <v>5</v>
      </c>
      <c r="G465">
        <v>50</v>
      </c>
    </row>
    <row r="466" spans="1:7" x14ac:dyDescent="0.25">
      <c r="A466" t="s">
        <v>319</v>
      </c>
      <c r="B466" t="s">
        <v>410</v>
      </c>
      <c r="C466" t="s">
        <v>411</v>
      </c>
      <c r="D466" t="s">
        <v>412</v>
      </c>
      <c r="E466" t="s">
        <v>71</v>
      </c>
      <c r="F466" t="s">
        <v>413</v>
      </c>
      <c r="G466" t="s">
        <v>414</v>
      </c>
    </row>
    <row r="467" spans="1:7" x14ac:dyDescent="0.25">
      <c r="A467">
        <v>1</v>
      </c>
      <c r="B467">
        <v>775</v>
      </c>
      <c r="C467">
        <v>14</v>
      </c>
      <c r="D467">
        <v>59</v>
      </c>
      <c r="E467">
        <v>0</v>
      </c>
      <c r="F467">
        <v>5</v>
      </c>
      <c r="G467">
        <v>50</v>
      </c>
    </row>
    <row r="468" spans="1:7" x14ac:dyDescent="0.25">
      <c r="A468">
        <v>20</v>
      </c>
      <c r="B468">
        <v>1991</v>
      </c>
      <c r="C468">
        <v>37</v>
      </c>
      <c r="D468">
        <v>151</v>
      </c>
      <c r="E468">
        <v>0</v>
      </c>
      <c r="F468">
        <v>5</v>
      </c>
      <c r="G468">
        <v>50</v>
      </c>
    </row>
    <row r="469" spans="1:7" x14ac:dyDescent="0.25">
      <c r="A469" t="s">
        <v>415</v>
      </c>
      <c r="B469">
        <v>2570</v>
      </c>
      <c r="C469">
        <v>47</v>
      </c>
      <c r="D469">
        <v>195</v>
      </c>
      <c r="E469">
        <v>0</v>
      </c>
      <c r="F469">
        <v>5</v>
      </c>
      <c r="G469">
        <v>50</v>
      </c>
    </row>
    <row r="470" spans="1:7" x14ac:dyDescent="0.25">
      <c r="A470">
        <v>40</v>
      </c>
      <c r="B470">
        <v>3850</v>
      </c>
      <c r="C470">
        <v>71</v>
      </c>
      <c r="D470">
        <v>293</v>
      </c>
      <c r="E470">
        <v>0</v>
      </c>
      <c r="F470">
        <v>5</v>
      </c>
      <c r="G470">
        <v>50</v>
      </c>
    </row>
    <row r="471" spans="1:7" x14ac:dyDescent="0.25">
      <c r="A471" t="s">
        <v>416</v>
      </c>
      <c r="B471">
        <v>4261</v>
      </c>
      <c r="C471">
        <v>78</v>
      </c>
      <c r="D471">
        <v>324</v>
      </c>
      <c r="E471">
        <v>6</v>
      </c>
      <c r="F471">
        <v>5</v>
      </c>
      <c r="G471">
        <v>50</v>
      </c>
    </row>
    <row r="472" spans="1:7" x14ac:dyDescent="0.25">
      <c r="A472">
        <v>50</v>
      </c>
      <c r="B472">
        <v>4901</v>
      </c>
      <c r="C472">
        <v>90</v>
      </c>
      <c r="D472">
        <v>373</v>
      </c>
      <c r="E472">
        <v>6</v>
      </c>
      <c r="F472">
        <v>5</v>
      </c>
      <c r="G472">
        <v>50</v>
      </c>
    </row>
    <row r="473" spans="1:7" x14ac:dyDescent="0.25">
      <c r="A473" t="s">
        <v>417</v>
      </c>
      <c r="B473">
        <v>5450</v>
      </c>
      <c r="C473">
        <v>100</v>
      </c>
      <c r="D473">
        <v>414</v>
      </c>
      <c r="E473">
        <v>12</v>
      </c>
      <c r="F473">
        <v>5</v>
      </c>
      <c r="G473">
        <v>50</v>
      </c>
    </row>
    <row r="474" spans="1:7" x14ac:dyDescent="0.25">
      <c r="A474">
        <v>60</v>
      </c>
      <c r="B474">
        <v>6090</v>
      </c>
      <c r="C474">
        <v>112</v>
      </c>
      <c r="D474">
        <v>463</v>
      </c>
      <c r="E474">
        <v>12</v>
      </c>
      <c r="F474">
        <v>5</v>
      </c>
      <c r="G474">
        <v>50</v>
      </c>
    </row>
    <row r="475" spans="1:7" x14ac:dyDescent="0.25">
      <c r="A475" t="s">
        <v>418</v>
      </c>
      <c r="B475">
        <v>6501</v>
      </c>
      <c r="C475">
        <v>120</v>
      </c>
      <c r="D475">
        <v>494</v>
      </c>
      <c r="E475">
        <v>12</v>
      </c>
      <c r="F475">
        <v>5</v>
      </c>
      <c r="G475">
        <v>50</v>
      </c>
    </row>
    <row r="476" spans="1:7" x14ac:dyDescent="0.25">
      <c r="A476">
        <v>70</v>
      </c>
      <c r="B476">
        <v>7141</v>
      </c>
      <c r="C476">
        <v>131</v>
      </c>
      <c r="D476">
        <v>543</v>
      </c>
      <c r="E476">
        <v>12</v>
      </c>
      <c r="F476">
        <v>5</v>
      </c>
      <c r="G476">
        <v>50</v>
      </c>
    </row>
    <row r="477" spans="1:7" x14ac:dyDescent="0.25">
      <c r="A477" t="s">
        <v>419</v>
      </c>
      <c r="B477">
        <v>7552</v>
      </c>
      <c r="C477">
        <v>139</v>
      </c>
      <c r="D477">
        <v>574</v>
      </c>
      <c r="E477">
        <v>18</v>
      </c>
      <c r="F477">
        <v>5</v>
      </c>
      <c r="G477">
        <v>50</v>
      </c>
    </row>
    <row r="478" spans="1:7" x14ac:dyDescent="0.25">
      <c r="A478">
        <v>80</v>
      </c>
      <c r="B478">
        <v>8192</v>
      </c>
      <c r="C478">
        <v>151</v>
      </c>
      <c r="D478">
        <v>623</v>
      </c>
      <c r="E478">
        <v>18</v>
      </c>
      <c r="F478">
        <v>5</v>
      </c>
      <c r="G478">
        <v>50</v>
      </c>
    </row>
    <row r="479" spans="1:7" x14ac:dyDescent="0.25">
      <c r="A479" t="s">
        <v>420</v>
      </c>
      <c r="B479">
        <v>8604</v>
      </c>
      <c r="C479">
        <v>158</v>
      </c>
      <c r="D479">
        <v>654</v>
      </c>
      <c r="E479">
        <v>24</v>
      </c>
      <c r="F479">
        <v>5</v>
      </c>
      <c r="G479">
        <v>50</v>
      </c>
    </row>
    <row r="480" spans="1:7" x14ac:dyDescent="0.25">
      <c r="A480">
        <v>90</v>
      </c>
      <c r="B480">
        <v>9244</v>
      </c>
      <c r="C480">
        <v>170</v>
      </c>
      <c r="D480">
        <v>703</v>
      </c>
      <c r="E480">
        <v>24</v>
      </c>
      <c r="F480">
        <v>5</v>
      </c>
      <c r="G480">
        <v>50</v>
      </c>
    </row>
    <row r="481" spans="1:7" x14ac:dyDescent="0.25">
      <c r="A481" t="s">
        <v>336</v>
      </c>
      <c r="B481" t="s">
        <v>410</v>
      </c>
      <c r="C481" t="s">
        <v>411</v>
      </c>
      <c r="D481" t="s">
        <v>412</v>
      </c>
      <c r="E481" t="s">
        <v>68</v>
      </c>
      <c r="F481" t="s">
        <v>413</v>
      </c>
      <c r="G481" t="s">
        <v>414</v>
      </c>
    </row>
    <row r="482" spans="1:7" x14ac:dyDescent="0.25">
      <c r="A482">
        <v>1</v>
      </c>
      <c r="B482">
        <v>820</v>
      </c>
      <c r="C482">
        <v>20</v>
      </c>
      <c r="D482">
        <v>52</v>
      </c>
      <c r="E482">
        <v>0</v>
      </c>
      <c r="F482">
        <v>5</v>
      </c>
      <c r="G482">
        <v>50</v>
      </c>
    </row>
    <row r="483" spans="1:7" x14ac:dyDescent="0.25">
      <c r="A483">
        <v>20</v>
      </c>
      <c r="B483">
        <v>2127</v>
      </c>
      <c r="C483">
        <v>53</v>
      </c>
      <c r="D483">
        <v>135</v>
      </c>
      <c r="E483">
        <v>0</v>
      </c>
      <c r="F483">
        <v>5</v>
      </c>
      <c r="G483">
        <v>50</v>
      </c>
    </row>
    <row r="484" spans="1:7" x14ac:dyDescent="0.25">
      <c r="A484" t="s">
        <v>415</v>
      </c>
      <c r="B484">
        <v>2830</v>
      </c>
      <c r="C484">
        <v>71</v>
      </c>
      <c r="D484">
        <v>180</v>
      </c>
      <c r="E484">
        <v>0</v>
      </c>
      <c r="F484">
        <v>5</v>
      </c>
      <c r="G484">
        <v>50</v>
      </c>
    </row>
    <row r="485" spans="1:7" x14ac:dyDescent="0.25">
      <c r="A485">
        <v>40</v>
      </c>
      <c r="B485">
        <v>4234</v>
      </c>
      <c r="C485">
        <v>106</v>
      </c>
      <c r="D485">
        <v>269</v>
      </c>
      <c r="E485">
        <v>0</v>
      </c>
      <c r="F485">
        <v>5</v>
      </c>
      <c r="G485">
        <v>50</v>
      </c>
    </row>
    <row r="486" spans="1:7" x14ac:dyDescent="0.25">
      <c r="A486" t="s">
        <v>416</v>
      </c>
      <c r="B486">
        <v>4734</v>
      </c>
      <c r="C486">
        <v>118</v>
      </c>
      <c r="D486">
        <v>301</v>
      </c>
      <c r="E486">
        <v>8</v>
      </c>
      <c r="F486">
        <v>5</v>
      </c>
      <c r="G486">
        <v>50</v>
      </c>
    </row>
    <row r="487" spans="1:7" x14ac:dyDescent="0.25">
      <c r="A487">
        <v>50</v>
      </c>
      <c r="B487">
        <v>5446</v>
      </c>
      <c r="C487">
        <v>136</v>
      </c>
      <c r="D487">
        <v>346</v>
      </c>
      <c r="E487">
        <v>8</v>
      </c>
      <c r="F487">
        <v>5</v>
      </c>
      <c r="G487">
        <v>50</v>
      </c>
    </row>
    <row r="488" spans="1:7" x14ac:dyDescent="0.25">
      <c r="A488" t="s">
        <v>417</v>
      </c>
      <c r="B488">
        <v>6112</v>
      </c>
      <c r="C488">
        <v>153</v>
      </c>
      <c r="D488">
        <v>388</v>
      </c>
      <c r="E488">
        <v>16</v>
      </c>
      <c r="F488">
        <v>5</v>
      </c>
      <c r="G488">
        <v>50</v>
      </c>
    </row>
    <row r="489" spans="1:7" x14ac:dyDescent="0.25">
      <c r="A489">
        <v>60</v>
      </c>
      <c r="B489">
        <v>6832</v>
      </c>
      <c r="C489">
        <v>171</v>
      </c>
      <c r="D489">
        <v>434</v>
      </c>
      <c r="E489">
        <v>16</v>
      </c>
      <c r="F489">
        <v>5</v>
      </c>
      <c r="G489">
        <v>50</v>
      </c>
    </row>
    <row r="490" spans="1:7" x14ac:dyDescent="0.25">
      <c r="A490" t="s">
        <v>418</v>
      </c>
      <c r="B490">
        <v>7331</v>
      </c>
      <c r="C490">
        <v>183</v>
      </c>
      <c r="D490">
        <v>465</v>
      </c>
      <c r="E490">
        <v>16</v>
      </c>
      <c r="F490">
        <v>5</v>
      </c>
      <c r="G490">
        <v>50</v>
      </c>
    </row>
    <row r="491" spans="1:7" x14ac:dyDescent="0.25">
      <c r="A491">
        <v>70</v>
      </c>
      <c r="B491">
        <v>8058</v>
      </c>
      <c r="C491">
        <v>201</v>
      </c>
      <c r="D491">
        <v>512</v>
      </c>
      <c r="E491">
        <v>16</v>
      </c>
      <c r="F491">
        <v>5</v>
      </c>
      <c r="G491">
        <v>50</v>
      </c>
    </row>
    <row r="492" spans="1:7" x14ac:dyDescent="0.25">
      <c r="A492" t="s">
        <v>419</v>
      </c>
      <c r="B492">
        <v>8557</v>
      </c>
      <c r="C492">
        <v>214</v>
      </c>
      <c r="D492">
        <v>543</v>
      </c>
      <c r="E492">
        <v>24</v>
      </c>
      <c r="F492">
        <v>5</v>
      </c>
      <c r="G492">
        <v>50</v>
      </c>
    </row>
    <row r="493" spans="1:7" x14ac:dyDescent="0.25">
      <c r="A493">
        <v>80</v>
      </c>
      <c r="B493">
        <v>9292</v>
      </c>
      <c r="C493">
        <v>232</v>
      </c>
      <c r="D493">
        <v>590</v>
      </c>
      <c r="E493">
        <v>24</v>
      </c>
      <c r="F493">
        <v>5</v>
      </c>
      <c r="G493">
        <v>50</v>
      </c>
    </row>
    <row r="494" spans="1:7" x14ac:dyDescent="0.25">
      <c r="A494" t="s">
        <v>420</v>
      </c>
      <c r="B494">
        <v>9791</v>
      </c>
      <c r="C494">
        <v>245</v>
      </c>
      <c r="D494">
        <v>622</v>
      </c>
      <c r="E494">
        <v>32</v>
      </c>
      <c r="F494">
        <v>5</v>
      </c>
      <c r="G494">
        <v>50</v>
      </c>
    </row>
    <row r="495" spans="1:7" x14ac:dyDescent="0.25">
      <c r="A495">
        <v>90</v>
      </c>
      <c r="B495">
        <v>10531</v>
      </c>
      <c r="C495">
        <v>263</v>
      </c>
      <c r="D495">
        <v>669</v>
      </c>
      <c r="E495">
        <v>32</v>
      </c>
      <c r="F495">
        <v>5</v>
      </c>
      <c r="G495">
        <v>50</v>
      </c>
    </row>
    <row r="496" spans="1:7" x14ac:dyDescent="0.25">
      <c r="A496" t="s">
        <v>340</v>
      </c>
      <c r="B496" t="s">
        <v>410</v>
      </c>
      <c r="C496" t="s">
        <v>411</v>
      </c>
      <c r="D496" t="s">
        <v>412</v>
      </c>
      <c r="E496" t="s">
        <v>69</v>
      </c>
      <c r="F496" t="s">
        <v>413</v>
      </c>
      <c r="G496" t="s">
        <v>414</v>
      </c>
    </row>
    <row r="497" spans="1:7" x14ac:dyDescent="0.25">
      <c r="A497">
        <v>1</v>
      </c>
      <c r="B497">
        <v>912</v>
      </c>
      <c r="C497">
        <v>19</v>
      </c>
      <c r="D497">
        <v>56</v>
      </c>
      <c r="E497">
        <v>0</v>
      </c>
      <c r="F497">
        <v>5</v>
      </c>
      <c r="G497">
        <v>50</v>
      </c>
    </row>
    <row r="498" spans="1:7" x14ac:dyDescent="0.25">
      <c r="A498">
        <v>20</v>
      </c>
      <c r="B498">
        <v>2342</v>
      </c>
      <c r="C498">
        <v>48</v>
      </c>
      <c r="D498">
        <v>144</v>
      </c>
      <c r="E498">
        <v>0</v>
      </c>
      <c r="F498">
        <v>5</v>
      </c>
      <c r="G498">
        <v>50</v>
      </c>
    </row>
    <row r="499" spans="1:7" x14ac:dyDescent="0.25">
      <c r="A499" t="s">
        <v>415</v>
      </c>
      <c r="B499">
        <v>3024</v>
      </c>
      <c r="C499">
        <v>63</v>
      </c>
      <c r="D499">
        <v>186</v>
      </c>
      <c r="E499">
        <v>0</v>
      </c>
      <c r="F499">
        <v>5</v>
      </c>
      <c r="G499">
        <v>50</v>
      </c>
    </row>
    <row r="500" spans="1:7" x14ac:dyDescent="0.25">
      <c r="A500">
        <v>40</v>
      </c>
      <c r="B500">
        <v>4529</v>
      </c>
      <c r="C500">
        <v>94</v>
      </c>
      <c r="D500">
        <v>279</v>
      </c>
      <c r="E500">
        <v>0</v>
      </c>
      <c r="F500">
        <v>5</v>
      </c>
      <c r="G500">
        <v>50</v>
      </c>
    </row>
    <row r="501" spans="1:7" x14ac:dyDescent="0.25">
      <c r="A501" t="s">
        <v>416</v>
      </c>
      <c r="B501">
        <v>5013</v>
      </c>
      <c r="C501">
        <v>104</v>
      </c>
      <c r="D501">
        <v>308</v>
      </c>
      <c r="E501">
        <v>24</v>
      </c>
      <c r="F501">
        <v>5</v>
      </c>
      <c r="G501">
        <v>50</v>
      </c>
    </row>
    <row r="502" spans="1:7" x14ac:dyDescent="0.25">
      <c r="A502">
        <v>50</v>
      </c>
      <c r="B502">
        <v>5766</v>
      </c>
      <c r="C502">
        <v>119</v>
      </c>
      <c r="D502">
        <v>355</v>
      </c>
      <c r="E502">
        <v>24</v>
      </c>
      <c r="F502">
        <v>5</v>
      </c>
      <c r="G502">
        <v>50</v>
      </c>
    </row>
    <row r="503" spans="1:7" x14ac:dyDescent="0.25">
      <c r="A503" t="s">
        <v>417</v>
      </c>
      <c r="B503">
        <v>6411</v>
      </c>
      <c r="C503">
        <v>133</v>
      </c>
      <c r="D503">
        <v>394</v>
      </c>
      <c r="E503">
        <v>48</v>
      </c>
      <c r="F503">
        <v>5</v>
      </c>
      <c r="G503">
        <v>50</v>
      </c>
    </row>
    <row r="504" spans="1:7" x14ac:dyDescent="0.25">
      <c r="A504">
        <v>60</v>
      </c>
      <c r="B504">
        <v>7164</v>
      </c>
      <c r="C504">
        <v>148</v>
      </c>
      <c r="D504">
        <v>441</v>
      </c>
      <c r="E504">
        <v>48</v>
      </c>
      <c r="F504">
        <v>5</v>
      </c>
      <c r="G504">
        <v>50</v>
      </c>
    </row>
    <row r="505" spans="1:7" x14ac:dyDescent="0.25">
      <c r="A505" t="s">
        <v>418</v>
      </c>
      <c r="B505">
        <v>7648</v>
      </c>
      <c r="C505">
        <v>158</v>
      </c>
      <c r="D505">
        <v>470</v>
      </c>
      <c r="E505">
        <v>48</v>
      </c>
      <c r="F505">
        <v>5</v>
      </c>
      <c r="G505">
        <v>50</v>
      </c>
    </row>
    <row r="506" spans="1:7" x14ac:dyDescent="0.25">
      <c r="A506">
        <v>70</v>
      </c>
      <c r="B506">
        <v>8401</v>
      </c>
      <c r="C506">
        <v>174</v>
      </c>
      <c r="D506">
        <v>517</v>
      </c>
      <c r="E506">
        <v>48</v>
      </c>
      <c r="F506">
        <v>5</v>
      </c>
      <c r="G506">
        <v>50</v>
      </c>
    </row>
    <row r="507" spans="1:7" x14ac:dyDescent="0.25">
      <c r="A507" t="s">
        <v>419</v>
      </c>
      <c r="B507">
        <v>8885</v>
      </c>
      <c r="C507">
        <v>184</v>
      </c>
      <c r="D507">
        <v>546</v>
      </c>
      <c r="E507">
        <v>72</v>
      </c>
      <c r="F507">
        <v>5</v>
      </c>
      <c r="G507">
        <v>50</v>
      </c>
    </row>
    <row r="508" spans="1:7" x14ac:dyDescent="0.25">
      <c r="A508">
        <v>80</v>
      </c>
      <c r="B508">
        <v>9638</v>
      </c>
      <c r="C508">
        <v>200</v>
      </c>
      <c r="D508">
        <v>593</v>
      </c>
      <c r="E508">
        <v>72</v>
      </c>
      <c r="F508">
        <v>5</v>
      </c>
      <c r="G508">
        <v>50</v>
      </c>
    </row>
    <row r="509" spans="1:7" x14ac:dyDescent="0.25">
      <c r="A509" t="s">
        <v>420</v>
      </c>
      <c r="B509">
        <v>10122</v>
      </c>
      <c r="C509">
        <v>210</v>
      </c>
      <c r="D509">
        <v>623</v>
      </c>
      <c r="E509">
        <v>96</v>
      </c>
      <c r="F509">
        <v>5</v>
      </c>
      <c r="G509">
        <v>50</v>
      </c>
    </row>
    <row r="510" spans="1:7" x14ac:dyDescent="0.25">
      <c r="A510">
        <v>90</v>
      </c>
      <c r="B510">
        <v>10875</v>
      </c>
      <c r="C510">
        <v>225</v>
      </c>
      <c r="D510">
        <v>669</v>
      </c>
      <c r="E510">
        <v>96</v>
      </c>
      <c r="F510">
        <v>5</v>
      </c>
      <c r="G510">
        <v>50</v>
      </c>
    </row>
    <row r="511" spans="1:7" x14ac:dyDescent="0.25">
      <c r="A511" t="s">
        <v>347</v>
      </c>
      <c r="B511" t="s">
        <v>410</v>
      </c>
      <c r="C511" t="s">
        <v>411</v>
      </c>
      <c r="D511" t="s">
        <v>412</v>
      </c>
      <c r="E511" t="s">
        <v>413</v>
      </c>
      <c r="F511" t="s">
        <v>414</v>
      </c>
    </row>
    <row r="512" spans="1:7" x14ac:dyDescent="0.25">
      <c r="A512">
        <v>1</v>
      </c>
      <c r="B512">
        <v>991</v>
      </c>
      <c r="C512">
        <v>27</v>
      </c>
      <c r="D512">
        <v>62</v>
      </c>
      <c r="E512">
        <v>5</v>
      </c>
      <c r="F512">
        <v>50</v>
      </c>
    </row>
    <row r="513" spans="1:7" x14ac:dyDescent="0.25">
      <c r="A513">
        <v>20</v>
      </c>
      <c r="B513">
        <v>2572</v>
      </c>
      <c r="C513">
        <v>71</v>
      </c>
      <c r="D513">
        <v>161</v>
      </c>
      <c r="E513">
        <v>5</v>
      </c>
      <c r="F513">
        <v>50</v>
      </c>
    </row>
    <row r="514" spans="1:7" x14ac:dyDescent="0.25">
      <c r="A514" t="s">
        <v>415</v>
      </c>
      <c r="B514">
        <v>3422</v>
      </c>
      <c r="C514">
        <v>94</v>
      </c>
      <c r="D514">
        <v>215</v>
      </c>
      <c r="E514">
        <v>5</v>
      </c>
      <c r="F514">
        <v>50</v>
      </c>
    </row>
    <row r="515" spans="1:7" x14ac:dyDescent="0.25">
      <c r="A515">
        <v>40</v>
      </c>
      <c r="B515">
        <v>5120</v>
      </c>
      <c r="C515">
        <v>140</v>
      </c>
      <c r="D515">
        <v>321</v>
      </c>
      <c r="E515">
        <v>5</v>
      </c>
      <c r="F515">
        <v>50</v>
      </c>
    </row>
    <row r="516" spans="1:7" x14ac:dyDescent="0.25">
      <c r="A516" t="s">
        <v>416</v>
      </c>
      <c r="B516">
        <v>5724</v>
      </c>
      <c r="C516">
        <v>157</v>
      </c>
      <c r="D516">
        <v>359</v>
      </c>
      <c r="E516">
        <v>9.8000000000000007</v>
      </c>
      <c r="F516">
        <v>50</v>
      </c>
    </row>
    <row r="517" spans="1:7" x14ac:dyDescent="0.25">
      <c r="A517">
        <v>50</v>
      </c>
      <c r="B517">
        <v>6586</v>
      </c>
      <c r="C517">
        <v>181</v>
      </c>
      <c r="D517">
        <v>413</v>
      </c>
      <c r="E517">
        <v>9.8000000000000007</v>
      </c>
      <c r="F517">
        <v>50</v>
      </c>
    </row>
    <row r="518" spans="1:7" x14ac:dyDescent="0.25">
      <c r="A518" t="s">
        <v>417</v>
      </c>
      <c r="B518">
        <v>7391</v>
      </c>
      <c r="C518">
        <v>203</v>
      </c>
      <c r="D518">
        <v>464</v>
      </c>
      <c r="E518">
        <v>14.6</v>
      </c>
      <c r="F518">
        <v>50</v>
      </c>
    </row>
    <row r="519" spans="1:7" x14ac:dyDescent="0.25">
      <c r="A519">
        <v>60</v>
      </c>
      <c r="B519">
        <v>8262</v>
      </c>
      <c r="C519">
        <v>227</v>
      </c>
      <c r="D519">
        <v>519</v>
      </c>
      <c r="E519">
        <v>14.6</v>
      </c>
      <c r="F519">
        <v>50</v>
      </c>
    </row>
    <row r="520" spans="1:7" x14ac:dyDescent="0.25">
      <c r="A520" t="s">
        <v>418</v>
      </c>
      <c r="B520">
        <v>8866</v>
      </c>
      <c r="C520">
        <v>243</v>
      </c>
      <c r="D520">
        <v>556</v>
      </c>
      <c r="E520">
        <v>14.6</v>
      </c>
      <c r="F520">
        <v>50</v>
      </c>
    </row>
    <row r="521" spans="1:7" x14ac:dyDescent="0.25">
      <c r="A521">
        <v>70</v>
      </c>
      <c r="B521">
        <v>9744</v>
      </c>
      <c r="C521">
        <v>267</v>
      </c>
      <c r="D521">
        <v>612</v>
      </c>
      <c r="E521">
        <v>14.6</v>
      </c>
      <c r="F521">
        <v>50</v>
      </c>
    </row>
    <row r="522" spans="1:7" x14ac:dyDescent="0.25">
      <c r="A522" t="s">
        <v>419</v>
      </c>
      <c r="B522">
        <v>10348</v>
      </c>
      <c r="C522">
        <v>284</v>
      </c>
      <c r="D522">
        <v>649</v>
      </c>
      <c r="E522">
        <v>19.399999999999999</v>
      </c>
      <c r="F522">
        <v>50</v>
      </c>
    </row>
    <row r="523" spans="1:7" x14ac:dyDescent="0.25">
      <c r="A523">
        <v>80</v>
      </c>
      <c r="B523">
        <v>11236</v>
      </c>
      <c r="C523">
        <v>308</v>
      </c>
      <c r="D523">
        <v>705</v>
      </c>
      <c r="E523">
        <v>19.399999999999999</v>
      </c>
      <c r="F523">
        <v>50</v>
      </c>
    </row>
    <row r="524" spans="1:7" x14ac:dyDescent="0.25">
      <c r="A524" t="s">
        <v>420</v>
      </c>
      <c r="B524">
        <v>11840</v>
      </c>
      <c r="C524">
        <v>325</v>
      </c>
      <c r="D524">
        <v>743</v>
      </c>
      <c r="E524">
        <v>24.2</v>
      </c>
      <c r="F524">
        <v>50</v>
      </c>
    </row>
    <row r="525" spans="1:7" x14ac:dyDescent="0.25">
      <c r="A525">
        <v>90</v>
      </c>
      <c r="B525">
        <v>12736</v>
      </c>
      <c r="C525">
        <v>349</v>
      </c>
      <c r="D525">
        <v>799</v>
      </c>
      <c r="E525">
        <v>24.2</v>
      </c>
      <c r="F525">
        <v>50</v>
      </c>
    </row>
    <row r="526" spans="1:7" x14ac:dyDescent="0.25">
      <c r="A526" t="s">
        <v>349</v>
      </c>
      <c r="B526" t="s">
        <v>410</v>
      </c>
      <c r="C526" t="s">
        <v>411</v>
      </c>
      <c r="D526" t="s">
        <v>412</v>
      </c>
      <c r="E526" t="s">
        <v>65</v>
      </c>
      <c r="F526" t="s">
        <v>413</v>
      </c>
      <c r="G526" t="s">
        <v>414</v>
      </c>
    </row>
    <row r="527" spans="1:7" x14ac:dyDescent="0.25">
      <c r="A527">
        <v>1</v>
      </c>
      <c r="B527">
        <v>857</v>
      </c>
      <c r="C527">
        <v>17</v>
      </c>
      <c r="D527">
        <v>64</v>
      </c>
      <c r="E527">
        <v>0</v>
      </c>
      <c r="F527">
        <v>5</v>
      </c>
      <c r="G527">
        <v>50</v>
      </c>
    </row>
    <row r="528" spans="1:7" x14ac:dyDescent="0.25">
      <c r="A528">
        <v>20</v>
      </c>
      <c r="B528">
        <v>2202</v>
      </c>
      <c r="C528">
        <v>43</v>
      </c>
      <c r="D528">
        <v>163</v>
      </c>
      <c r="E528">
        <v>0</v>
      </c>
      <c r="F528">
        <v>5</v>
      </c>
      <c r="G528">
        <v>50</v>
      </c>
    </row>
    <row r="529" spans="1:7" x14ac:dyDescent="0.25">
      <c r="A529" t="s">
        <v>415</v>
      </c>
      <c r="B529">
        <v>2842</v>
      </c>
      <c r="C529">
        <v>56</v>
      </c>
      <c r="D529">
        <v>211</v>
      </c>
      <c r="E529">
        <v>0</v>
      </c>
      <c r="F529">
        <v>5</v>
      </c>
      <c r="G529">
        <v>50</v>
      </c>
    </row>
    <row r="530" spans="1:7" x14ac:dyDescent="0.25">
      <c r="A530">
        <v>40</v>
      </c>
      <c r="B530">
        <v>4257</v>
      </c>
      <c r="C530">
        <v>84</v>
      </c>
      <c r="D530">
        <v>316</v>
      </c>
      <c r="E530">
        <v>0</v>
      </c>
      <c r="F530">
        <v>5</v>
      </c>
      <c r="G530">
        <v>50</v>
      </c>
    </row>
    <row r="531" spans="1:7" x14ac:dyDescent="0.25">
      <c r="A531" t="s">
        <v>416</v>
      </c>
      <c r="B531">
        <v>4712</v>
      </c>
      <c r="C531">
        <v>93</v>
      </c>
      <c r="D531">
        <v>349</v>
      </c>
      <c r="E531">
        <v>6</v>
      </c>
      <c r="F531">
        <v>5</v>
      </c>
      <c r="G531">
        <v>50</v>
      </c>
    </row>
    <row r="532" spans="1:7" x14ac:dyDescent="0.25">
      <c r="A532">
        <v>50</v>
      </c>
      <c r="B532">
        <v>5420</v>
      </c>
      <c r="C532">
        <v>107</v>
      </c>
      <c r="D532">
        <v>402</v>
      </c>
      <c r="E532">
        <v>6</v>
      </c>
      <c r="F532">
        <v>5</v>
      </c>
      <c r="G532">
        <v>50</v>
      </c>
    </row>
    <row r="533" spans="1:7" x14ac:dyDescent="0.25">
      <c r="A533" t="s">
        <v>417</v>
      </c>
      <c r="B533">
        <v>6027</v>
      </c>
      <c r="C533">
        <v>119</v>
      </c>
      <c r="D533">
        <v>447</v>
      </c>
      <c r="E533">
        <v>12</v>
      </c>
      <c r="F533">
        <v>5</v>
      </c>
      <c r="G533">
        <v>50</v>
      </c>
    </row>
    <row r="534" spans="1:7" x14ac:dyDescent="0.25">
      <c r="A534">
        <v>60</v>
      </c>
      <c r="B534">
        <v>6735</v>
      </c>
      <c r="C534">
        <v>133</v>
      </c>
      <c r="D534">
        <v>499</v>
      </c>
      <c r="E534">
        <v>12</v>
      </c>
      <c r="F534">
        <v>5</v>
      </c>
      <c r="G534">
        <v>50</v>
      </c>
    </row>
    <row r="535" spans="1:7" x14ac:dyDescent="0.25">
      <c r="A535" t="s">
        <v>418</v>
      </c>
      <c r="B535">
        <v>7190</v>
      </c>
      <c r="C535">
        <v>142</v>
      </c>
      <c r="D535">
        <v>533</v>
      </c>
      <c r="E535">
        <v>12</v>
      </c>
      <c r="F535">
        <v>5</v>
      </c>
      <c r="G535">
        <v>50</v>
      </c>
    </row>
    <row r="536" spans="1:7" x14ac:dyDescent="0.25">
      <c r="A536">
        <v>70</v>
      </c>
      <c r="B536">
        <v>7897</v>
      </c>
      <c r="C536">
        <v>156</v>
      </c>
      <c r="D536">
        <v>585</v>
      </c>
      <c r="E536">
        <v>12</v>
      </c>
      <c r="F536">
        <v>5</v>
      </c>
      <c r="G536">
        <v>50</v>
      </c>
    </row>
    <row r="537" spans="1:7" x14ac:dyDescent="0.25">
      <c r="A537" t="s">
        <v>419</v>
      </c>
      <c r="B537">
        <v>8352</v>
      </c>
      <c r="C537">
        <v>165</v>
      </c>
      <c r="D537">
        <v>619</v>
      </c>
      <c r="E537">
        <v>18</v>
      </c>
      <c r="F537">
        <v>5</v>
      </c>
      <c r="G537">
        <v>50</v>
      </c>
    </row>
    <row r="538" spans="1:7" x14ac:dyDescent="0.25">
      <c r="A538">
        <v>80</v>
      </c>
      <c r="B538">
        <v>9060</v>
      </c>
      <c r="C538">
        <v>179</v>
      </c>
      <c r="D538">
        <v>671</v>
      </c>
      <c r="E538">
        <v>18</v>
      </c>
      <c r="F538">
        <v>5</v>
      </c>
      <c r="G538">
        <v>50</v>
      </c>
    </row>
    <row r="539" spans="1:7" x14ac:dyDescent="0.25">
      <c r="A539" t="s">
        <v>420</v>
      </c>
      <c r="B539">
        <v>9514</v>
      </c>
      <c r="C539">
        <v>188</v>
      </c>
      <c r="D539">
        <v>705</v>
      </c>
      <c r="E539">
        <v>24</v>
      </c>
      <c r="F539">
        <v>5</v>
      </c>
      <c r="G539">
        <v>50</v>
      </c>
    </row>
    <row r="540" spans="1:7" x14ac:dyDescent="0.25">
      <c r="A540">
        <v>90</v>
      </c>
      <c r="B540">
        <v>10222</v>
      </c>
      <c r="C540">
        <v>202</v>
      </c>
      <c r="D540">
        <v>758</v>
      </c>
      <c r="E540">
        <v>24</v>
      </c>
      <c r="F540">
        <v>5</v>
      </c>
      <c r="G540">
        <v>50</v>
      </c>
    </row>
    <row r="541" spans="1:7" x14ac:dyDescent="0.25">
      <c r="A541" t="s">
        <v>352</v>
      </c>
      <c r="B541" t="s">
        <v>410</v>
      </c>
      <c r="C541" t="s">
        <v>411</v>
      </c>
      <c r="D541" t="s">
        <v>412</v>
      </c>
      <c r="E541" t="s">
        <v>65</v>
      </c>
      <c r="F541" t="s">
        <v>413</v>
      </c>
      <c r="G541" t="s">
        <v>414</v>
      </c>
    </row>
    <row r="542" spans="1:7" x14ac:dyDescent="0.25">
      <c r="A542">
        <v>1</v>
      </c>
      <c r="B542">
        <v>939</v>
      </c>
      <c r="C542">
        <v>21</v>
      </c>
      <c r="D542">
        <v>67</v>
      </c>
      <c r="E542">
        <v>0</v>
      </c>
      <c r="F542">
        <v>5</v>
      </c>
      <c r="G542">
        <v>50</v>
      </c>
    </row>
    <row r="543" spans="1:7" x14ac:dyDescent="0.25">
      <c r="A543">
        <v>20</v>
      </c>
      <c r="B543">
        <v>2413</v>
      </c>
      <c r="C543">
        <v>54</v>
      </c>
      <c r="D543">
        <v>172</v>
      </c>
      <c r="E543">
        <v>0</v>
      </c>
      <c r="F543">
        <v>5</v>
      </c>
      <c r="G543">
        <v>50</v>
      </c>
    </row>
    <row r="544" spans="1:7" x14ac:dyDescent="0.25">
      <c r="A544" t="s">
        <v>415</v>
      </c>
      <c r="B544">
        <v>3114</v>
      </c>
      <c r="C544">
        <v>69</v>
      </c>
      <c r="D544">
        <v>222</v>
      </c>
      <c r="E544">
        <v>0</v>
      </c>
      <c r="F544">
        <v>5</v>
      </c>
      <c r="G544">
        <v>50</v>
      </c>
    </row>
    <row r="545" spans="1:7" x14ac:dyDescent="0.25">
      <c r="A545">
        <v>40</v>
      </c>
      <c r="B545">
        <v>4665</v>
      </c>
      <c r="C545">
        <v>103</v>
      </c>
      <c r="D545">
        <v>333</v>
      </c>
      <c r="E545">
        <v>0</v>
      </c>
      <c r="F545">
        <v>5</v>
      </c>
      <c r="G545">
        <v>50</v>
      </c>
    </row>
    <row r="546" spans="1:7" x14ac:dyDescent="0.25">
      <c r="A546" t="s">
        <v>416</v>
      </c>
      <c r="B546">
        <v>5163</v>
      </c>
      <c r="C546">
        <v>115</v>
      </c>
      <c r="D546">
        <v>368</v>
      </c>
      <c r="E546">
        <v>6</v>
      </c>
      <c r="F546">
        <v>5</v>
      </c>
      <c r="G546">
        <v>50</v>
      </c>
    </row>
    <row r="547" spans="1:7" x14ac:dyDescent="0.25">
      <c r="A547">
        <v>50</v>
      </c>
      <c r="B547">
        <v>5939</v>
      </c>
      <c r="C547">
        <v>132</v>
      </c>
      <c r="D547">
        <v>423</v>
      </c>
      <c r="E547">
        <v>6</v>
      </c>
      <c r="F547">
        <v>5</v>
      </c>
      <c r="G547">
        <v>50</v>
      </c>
    </row>
    <row r="548" spans="1:7" x14ac:dyDescent="0.25">
      <c r="A548" t="s">
        <v>417</v>
      </c>
      <c r="B548">
        <v>6604</v>
      </c>
      <c r="C548">
        <v>147</v>
      </c>
      <c r="D548">
        <v>471</v>
      </c>
      <c r="E548">
        <v>12</v>
      </c>
      <c r="F548">
        <v>5</v>
      </c>
      <c r="G548">
        <v>50</v>
      </c>
    </row>
    <row r="549" spans="1:7" x14ac:dyDescent="0.25">
      <c r="A549">
        <v>60</v>
      </c>
      <c r="B549">
        <v>7379</v>
      </c>
      <c r="C549">
        <v>164</v>
      </c>
      <c r="D549">
        <v>526</v>
      </c>
      <c r="E549">
        <v>12</v>
      </c>
      <c r="F549">
        <v>5</v>
      </c>
      <c r="G549">
        <v>50</v>
      </c>
    </row>
    <row r="550" spans="1:7" x14ac:dyDescent="0.25">
      <c r="A550" t="s">
        <v>418</v>
      </c>
      <c r="B550">
        <v>7878</v>
      </c>
      <c r="C550">
        <v>175</v>
      </c>
      <c r="D550">
        <v>562</v>
      </c>
      <c r="E550">
        <v>12</v>
      </c>
      <c r="F550">
        <v>5</v>
      </c>
      <c r="G550">
        <v>50</v>
      </c>
    </row>
    <row r="551" spans="1:7" x14ac:dyDescent="0.25">
      <c r="A551">
        <v>70</v>
      </c>
      <c r="B551">
        <v>8653</v>
      </c>
      <c r="C551">
        <v>192</v>
      </c>
      <c r="D551">
        <v>617</v>
      </c>
      <c r="E551">
        <v>12</v>
      </c>
      <c r="F551">
        <v>5</v>
      </c>
      <c r="G551">
        <v>50</v>
      </c>
    </row>
    <row r="552" spans="1:7" x14ac:dyDescent="0.25">
      <c r="A552" t="s">
        <v>419</v>
      </c>
      <c r="B552">
        <v>9151</v>
      </c>
      <c r="C552">
        <v>203</v>
      </c>
      <c r="D552">
        <v>652</v>
      </c>
      <c r="E552">
        <v>18</v>
      </c>
      <c r="F552">
        <v>5</v>
      </c>
      <c r="G552">
        <v>50</v>
      </c>
    </row>
    <row r="553" spans="1:7" x14ac:dyDescent="0.25">
      <c r="A553">
        <v>80</v>
      </c>
      <c r="B553">
        <v>9927</v>
      </c>
      <c r="C553">
        <v>220</v>
      </c>
      <c r="D553">
        <v>708</v>
      </c>
      <c r="E553">
        <v>18</v>
      </c>
      <c r="F553">
        <v>5</v>
      </c>
      <c r="G553">
        <v>50</v>
      </c>
    </row>
    <row r="554" spans="1:7" x14ac:dyDescent="0.25">
      <c r="A554" t="s">
        <v>420</v>
      </c>
      <c r="B554">
        <v>10425</v>
      </c>
      <c r="C554">
        <v>231</v>
      </c>
      <c r="D554">
        <v>743</v>
      </c>
      <c r="E554">
        <v>24</v>
      </c>
      <c r="F554">
        <v>5</v>
      </c>
      <c r="G554">
        <v>50</v>
      </c>
    </row>
    <row r="555" spans="1:7" x14ac:dyDescent="0.25">
      <c r="A555">
        <v>90</v>
      </c>
      <c r="B555">
        <v>11201</v>
      </c>
      <c r="C555">
        <v>249</v>
      </c>
      <c r="D555">
        <v>799</v>
      </c>
      <c r="E555">
        <v>24</v>
      </c>
      <c r="F555">
        <v>5</v>
      </c>
      <c r="G555">
        <v>50</v>
      </c>
    </row>
    <row r="556" spans="1:7" x14ac:dyDescent="0.25">
      <c r="A556" t="s">
        <v>356</v>
      </c>
      <c r="B556" t="s">
        <v>410</v>
      </c>
      <c r="C556" t="s">
        <v>411</v>
      </c>
      <c r="D556" t="s">
        <v>412</v>
      </c>
      <c r="E556" t="s">
        <v>73</v>
      </c>
      <c r="F556" t="s">
        <v>413</v>
      </c>
      <c r="G556" t="s">
        <v>414</v>
      </c>
    </row>
    <row r="557" spans="1:7" x14ac:dyDescent="0.25">
      <c r="A557">
        <v>1</v>
      </c>
      <c r="B557">
        <v>784</v>
      </c>
      <c r="C557">
        <v>20</v>
      </c>
      <c r="D557">
        <v>49</v>
      </c>
      <c r="E557">
        <v>0</v>
      </c>
      <c r="F557">
        <v>5</v>
      </c>
      <c r="G557">
        <v>50</v>
      </c>
    </row>
    <row r="558" spans="1:7" x14ac:dyDescent="0.25">
      <c r="A558">
        <v>20</v>
      </c>
      <c r="B558">
        <v>2014</v>
      </c>
      <c r="C558">
        <v>52</v>
      </c>
      <c r="D558">
        <v>126</v>
      </c>
      <c r="E558">
        <v>0</v>
      </c>
      <c r="F558">
        <v>5</v>
      </c>
      <c r="G558">
        <v>50</v>
      </c>
    </row>
    <row r="559" spans="1:7" x14ac:dyDescent="0.25">
      <c r="A559" t="s">
        <v>415</v>
      </c>
      <c r="B559">
        <v>2600</v>
      </c>
      <c r="C559">
        <v>67</v>
      </c>
      <c r="D559">
        <v>163</v>
      </c>
      <c r="E559">
        <v>0</v>
      </c>
      <c r="F559">
        <v>5</v>
      </c>
      <c r="G559">
        <v>50</v>
      </c>
    </row>
    <row r="560" spans="1:7" x14ac:dyDescent="0.25">
      <c r="A560">
        <v>40</v>
      </c>
      <c r="B560">
        <v>3895</v>
      </c>
      <c r="C560">
        <v>100</v>
      </c>
      <c r="D560">
        <v>244</v>
      </c>
      <c r="E560">
        <v>0</v>
      </c>
      <c r="F560">
        <v>5</v>
      </c>
      <c r="G560">
        <v>50</v>
      </c>
    </row>
    <row r="561" spans="1:7" x14ac:dyDescent="0.25">
      <c r="A561" t="s">
        <v>416</v>
      </c>
      <c r="B561">
        <v>4311</v>
      </c>
      <c r="C561">
        <v>111</v>
      </c>
      <c r="D561">
        <v>271</v>
      </c>
      <c r="E561">
        <v>6</v>
      </c>
      <c r="F561">
        <v>5</v>
      </c>
      <c r="G561">
        <v>50</v>
      </c>
    </row>
    <row r="562" spans="1:7" x14ac:dyDescent="0.25">
      <c r="A562">
        <v>50</v>
      </c>
      <c r="B562">
        <v>4959</v>
      </c>
      <c r="C562">
        <v>127</v>
      </c>
      <c r="D562">
        <v>311</v>
      </c>
      <c r="E562">
        <v>6</v>
      </c>
      <c r="F562">
        <v>5</v>
      </c>
      <c r="G562">
        <v>50</v>
      </c>
    </row>
    <row r="563" spans="1:7" x14ac:dyDescent="0.25">
      <c r="A563" t="s">
        <v>417</v>
      </c>
      <c r="B563">
        <v>5514</v>
      </c>
      <c r="C563">
        <v>141</v>
      </c>
      <c r="D563">
        <v>346</v>
      </c>
      <c r="E563">
        <v>12</v>
      </c>
      <c r="F563">
        <v>5</v>
      </c>
      <c r="G563">
        <v>50</v>
      </c>
    </row>
    <row r="564" spans="1:7" x14ac:dyDescent="0.25">
      <c r="A564">
        <v>60</v>
      </c>
      <c r="B564">
        <v>6161</v>
      </c>
      <c r="C564">
        <v>158</v>
      </c>
      <c r="D564">
        <v>387</v>
      </c>
      <c r="E564">
        <v>12</v>
      </c>
      <c r="F564">
        <v>5</v>
      </c>
      <c r="G564">
        <v>50</v>
      </c>
    </row>
    <row r="565" spans="1:7" x14ac:dyDescent="0.25">
      <c r="A565" t="s">
        <v>418</v>
      </c>
      <c r="B565">
        <v>6578</v>
      </c>
      <c r="C565">
        <v>169</v>
      </c>
      <c r="D565">
        <v>413</v>
      </c>
      <c r="E565">
        <v>12</v>
      </c>
      <c r="F565">
        <v>5</v>
      </c>
      <c r="G565">
        <v>50</v>
      </c>
    </row>
    <row r="566" spans="1:7" x14ac:dyDescent="0.25">
      <c r="A566">
        <v>70</v>
      </c>
      <c r="B566">
        <v>7225</v>
      </c>
      <c r="C566">
        <v>185</v>
      </c>
      <c r="D566">
        <v>453</v>
      </c>
      <c r="E566">
        <v>12</v>
      </c>
      <c r="F566">
        <v>5</v>
      </c>
      <c r="G566">
        <v>50</v>
      </c>
    </row>
    <row r="567" spans="1:7" x14ac:dyDescent="0.25">
      <c r="A567" t="s">
        <v>419</v>
      </c>
      <c r="B567">
        <v>7641</v>
      </c>
      <c r="C567">
        <v>196</v>
      </c>
      <c r="D567">
        <v>480</v>
      </c>
      <c r="E567">
        <v>18</v>
      </c>
      <c r="F567">
        <v>5</v>
      </c>
      <c r="G567">
        <v>50</v>
      </c>
    </row>
    <row r="568" spans="1:7" x14ac:dyDescent="0.25">
      <c r="A568">
        <v>80</v>
      </c>
      <c r="B568">
        <v>8289</v>
      </c>
      <c r="C568">
        <v>213</v>
      </c>
      <c r="D568">
        <v>520</v>
      </c>
      <c r="E568">
        <v>18</v>
      </c>
      <c r="F568">
        <v>5</v>
      </c>
      <c r="G568">
        <v>50</v>
      </c>
    </row>
    <row r="569" spans="1:7" x14ac:dyDescent="0.25">
      <c r="A569" t="s">
        <v>420</v>
      </c>
      <c r="B569">
        <v>8705</v>
      </c>
      <c r="C569">
        <v>223</v>
      </c>
      <c r="D569">
        <v>546</v>
      </c>
      <c r="E569">
        <v>24</v>
      </c>
      <c r="F569">
        <v>5</v>
      </c>
      <c r="G569">
        <v>50</v>
      </c>
    </row>
    <row r="570" spans="1:7" x14ac:dyDescent="0.25">
      <c r="A570">
        <v>90</v>
      </c>
      <c r="B570">
        <v>9352</v>
      </c>
      <c r="C570">
        <v>240</v>
      </c>
      <c r="D570">
        <v>587</v>
      </c>
      <c r="E570">
        <v>24</v>
      </c>
      <c r="F570">
        <v>5</v>
      </c>
      <c r="G570">
        <v>50</v>
      </c>
    </row>
    <row r="571" spans="1:7" x14ac:dyDescent="0.25">
      <c r="A571" t="s">
        <v>363</v>
      </c>
      <c r="B571" t="s">
        <v>410</v>
      </c>
      <c r="C571" t="s">
        <v>411</v>
      </c>
      <c r="D571" t="s">
        <v>412</v>
      </c>
      <c r="E571" t="s">
        <v>413</v>
      </c>
      <c r="F571" t="s">
        <v>414</v>
      </c>
      <c r="G571" t="s">
        <v>414</v>
      </c>
    </row>
    <row r="572" spans="1:7" x14ac:dyDescent="0.25">
      <c r="A572">
        <v>1</v>
      </c>
      <c r="B572">
        <v>791</v>
      </c>
      <c r="C572">
        <v>25</v>
      </c>
      <c r="D572">
        <v>48</v>
      </c>
      <c r="E572">
        <v>5</v>
      </c>
      <c r="F572">
        <v>50</v>
      </c>
      <c r="G572">
        <v>50</v>
      </c>
    </row>
    <row r="573" spans="1:7" x14ac:dyDescent="0.25">
      <c r="A573">
        <v>20</v>
      </c>
      <c r="B573">
        <v>2053</v>
      </c>
      <c r="C573">
        <v>65</v>
      </c>
      <c r="D573">
        <v>124</v>
      </c>
      <c r="E573">
        <v>5</v>
      </c>
      <c r="F573">
        <v>50</v>
      </c>
      <c r="G573">
        <v>50</v>
      </c>
    </row>
    <row r="574" spans="1:7" x14ac:dyDescent="0.25">
      <c r="A574" t="s">
        <v>415</v>
      </c>
      <c r="B574">
        <v>2731</v>
      </c>
      <c r="C574">
        <v>87</v>
      </c>
      <c r="D574">
        <v>165</v>
      </c>
      <c r="E574">
        <v>5</v>
      </c>
      <c r="F574">
        <v>50</v>
      </c>
      <c r="G574">
        <v>50</v>
      </c>
    </row>
    <row r="575" spans="1:7" x14ac:dyDescent="0.25">
      <c r="A575">
        <v>40</v>
      </c>
      <c r="B575">
        <v>4086</v>
      </c>
      <c r="C575">
        <v>130</v>
      </c>
      <c r="D575">
        <v>247</v>
      </c>
      <c r="E575">
        <v>5</v>
      </c>
      <c r="F575">
        <v>50</v>
      </c>
      <c r="G575">
        <v>50</v>
      </c>
    </row>
    <row r="576" spans="1:7" x14ac:dyDescent="0.25">
      <c r="A576" t="s">
        <v>416</v>
      </c>
      <c r="B576">
        <v>4568</v>
      </c>
      <c r="C576">
        <v>145</v>
      </c>
      <c r="D576">
        <v>276</v>
      </c>
      <c r="E576">
        <v>9.8000000000000007</v>
      </c>
      <c r="F576">
        <v>50</v>
      </c>
      <c r="G576">
        <v>50</v>
      </c>
    </row>
    <row r="577" spans="1:7" x14ac:dyDescent="0.25">
      <c r="A577">
        <v>50</v>
      </c>
      <c r="B577">
        <v>5256</v>
      </c>
      <c r="C577">
        <v>167</v>
      </c>
      <c r="D577">
        <v>318</v>
      </c>
      <c r="E577">
        <v>9.8000000000000007</v>
      </c>
      <c r="F577">
        <v>50</v>
      </c>
      <c r="G577">
        <v>50</v>
      </c>
    </row>
    <row r="578" spans="1:7" x14ac:dyDescent="0.25">
      <c r="A578" t="s">
        <v>417</v>
      </c>
      <c r="B578">
        <v>5899</v>
      </c>
      <c r="C578">
        <v>187</v>
      </c>
      <c r="D578">
        <v>357</v>
      </c>
      <c r="E578">
        <v>14.6</v>
      </c>
      <c r="F578">
        <v>50</v>
      </c>
      <c r="G578">
        <v>50</v>
      </c>
    </row>
    <row r="579" spans="1:7" x14ac:dyDescent="0.25">
      <c r="A579">
        <v>60</v>
      </c>
      <c r="B579">
        <v>6593</v>
      </c>
      <c r="C579">
        <v>209</v>
      </c>
      <c r="D579">
        <v>399</v>
      </c>
      <c r="E579">
        <v>14.6</v>
      </c>
      <c r="F579">
        <v>50</v>
      </c>
      <c r="G579">
        <v>50</v>
      </c>
    </row>
    <row r="580" spans="1:7" x14ac:dyDescent="0.25">
      <c r="A580" t="s">
        <v>418</v>
      </c>
      <c r="B580">
        <v>7075</v>
      </c>
      <c r="C580">
        <v>225</v>
      </c>
      <c r="D580">
        <v>428</v>
      </c>
      <c r="E580">
        <v>14.6</v>
      </c>
      <c r="F580">
        <v>50</v>
      </c>
      <c r="G580">
        <v>50</v>
      </c>
    </row>
    <row r="581" spans="1:7" x14ac:dyDescent="0.25">
      <c r="A581">
        <v>70</v>
      </c>
      <c r="B581">
        <v>7777</v>
      </c>
      <c r="C581">
        <v>247</v>
      </c>
      <c r="D581">
        <v>470</v>
      </c>
      <c r="E581">
        <v>14.6</v>
      </c>
      <c r="F581">
        <v>50</v>
      </c>
      <c r="G581">
        <v>50</v>
      </c>
    </row>
    <row r="582" spans="1:7" x14ac:dyDescent="0.25">
      <c r="A582" t="s">
        <v>419</v>
      </c>
      <c r="B582">
        <v>8259</v>
      </c>
      <c r="C582">
        <v>262</v>
      </c>
      <c r="D582">
        <v>500</v>
      </c>
      <c r="E582">
        <v>19.399999999999999</v>
      </c>
      <c r="F582">
        <v>50</v>
      </c>
      <c r="G582">
        <v>50</v>
      </c>
    </row>
    <row r="583" spans="1:7" x14ac:dyDescent="0.25">
      <c r="A583">
        <v>80</v>
      </c>
      <c r="B583">
        <v>8968</v>
      </c>
      <c r="C583">
        <v>285</v>
      </c>
      <c r="D583">
        <v>542</v>
      </c>
      <c r="E583">
        <v>19.399999999999999</v>
      </c>
      <c r="F583">
        <v>50</v>
      </c>
      <c r="G583">
        <v>50</v>
      </c>
    </row>
    <row r="584" spans="1:7" x14ac:dyDescent="0.25">
      <c r="A584" t="s">
        <v>420</v>
      </c>
      <c r="B584">
        <v>9450</v>
      </c>
      <c r="C584">
        <v>300</v>
      </c>
      <c r="D584">
        <v>572</v>
      </c>
      <c r="E584">
        <v>24.2</v>
      </c>
      <c r="F584">
        <v>50</v>
      </c>
      <c r="G584">
        <v>50</v>
      </c>
    </row>
    <row r="585" spans="1:7" x14ac:dyDescent="0.25">
      <c r="A585">
        <v>90</v>
      </c>
      <c r="B585">
        <v>10164</v>
      </c>
      <c r="C585">
        <v>323</v>
      </c>
      <c r="D585">
        <v>615</v>
      </c>
      <c r="E585">
        <v>24.2</v>
      </c>
      <c r="F585">
        <v>50</v>
      </c>
      <c r="G585">
        <v>50</v>
      </c>
    </row>
    <row r="586" spans="1:7" x14ac:dyDescent="0.25">
      <c r="A586" t="s">
        <v>366</v>
      </c>
      <c r="B586" t="s">
        <v>410</v>
      </c>
      <c r="C586" t="s">
        <v>411</v>
      </c>
      <c r="D586" t="s">
        <v>412</v>
      </c>
      <c r="E586" t="s">
        <v>72</v>
      </c>
      <c r="F586" t="s">
        <v>413</v>
      </c>
      <c r="G586" t="s">
        <v>414</v>
      </c>
    </row>
    <row r="587" spans="1:7" x14ac:dyDescent="0.25">
      <c r="A587">
        <v>1</v>
      </c>
      <c r="B587">
        <v>1144</v>
      </c>
      <c r="C587">
        <v>20</v>
      </c>
      <c r="D587">
        <v>57</v>
      </c>
      <c r="E587">
        <v>0</v>
      </c>
      <c r="F587">
        <v>5</v>
      </c>
      <c r="G587">
        <v>50</v>
      </c>
    </row>
    <row r="588" spans="1:7" x14ac:dyDescent="0.25">
      <c r="A588">
        <v>20</v>
      </c>
      <c r="B588">
        <v>2967</v>
      </c>
      <c r="C588">
        <v>51</v>
      </c>
      <c r="D588">
        <v>149</v>
      </c>
      <c r="E588">
        <v>0</v>
      </c>
      <c r="F588">
        <v>5</v>
      </c>
      <c r="G588">
        <v>50</v>
      </c>
    </row>
    <row r="589" spans="1:7" x14ac:dyDescent="0.25">
      <c r="A589" t="s">
        <v>415</v>
      </c>
      <c r="B589">
        <v>3948</v>
      </c>
      <c r="C589">
        <v>67</v>
      </c>
      <c r="D589">
        <v>198</v>
      </c>
      <c r="E589">
        <v>0</v>
      </c>
      <c r="F589">
        <v>5</v>
      </c>
      <c r="G589">
        <v>50</v>
      </c>
    </row>
    <row r="590" spans="1:7" x14ac:dyDescent="0.25">
      <c r="A590">
        <v>40</v>
      </c>
      <c r="B590">
        <v>5908</v>
      </c>
      <c r="C590">
        <v>101</v>
      </c>
      <c r="D590">
        <v>297</v>
      </c>
      <c r="E590">
        <v>0</v>
      </c>
      <c r="F590">
        <v>5</v>
      </c>
      <c r="G590">
        <v>50</v>
      </c>
    </row>
    <row r="591" spans="1:7" x14ac:dyDescent="0.25">
      <c r="A591" t="s">
        <v>416</v>
      </c>
      <c r="B591">
        <v>6605</v>
      </c>
      <c r="C591">
        <v>113</v>
      </c>
      <c r="D591">
        <v>332</v>
      </c>
      <c r="E591">
        <v>7.2</v>
      </c>
      <c r="F591">
        <v>5</v>
      </c>
      <c r="G591">
        <v>50</v>
      </c>
    </row>
    <row r="592" spans="1:7" x14ac:dyDescent="0.25">
      <c r="A592">
        <v>50</v>
      </c>
      <c r="B592">
        <v>7599</v>
      </c>
      <c r="C592">
        <v>130</v>
      </c>
      <c r="D592">
        <v>382</v>
      </c>
      <c r="E592">
        <v>7.2</v>
      </c>
      <c r="F592">
        <v>5</v>
      </c>
      <c r="G592">
        <v>50</v>
      </c>
    </row>
    <row r="593" spans="1:7" x14ac:dyDescent="0.25">
      <c r="A593" t="s">
        <v>417</v>
      </c>
      <c r="B593">
        <v>8528</v>
      </c>
      <c r="C593">
        <v>146</v>
      </c>
      <c r="D593">
        <v>428</v>
      </c>
      <c r="E593">
        <v>14.4</v>
      </c>
      <c r="F593">
        <v>5</v>
      </c>
      <c r="G593">
        <v>50</v>
      </c>
    </row>
    <row r="594" spans="1:7" x14ac:dyDescent="0.25">
      <c r="A594">
        <v>60</v>
      </c>
      <c r="B594">
        <v>9533</v>
      </c>
      <c r="C594">
        <v>163</v>
      </c>
      <c r="D594">
        <v>479</v>
      </c>
      <c r="E594">
        <v>14.4</v>
      </c>
      <c r="F594">
        <v>5</v>
      </c>
      <c r="G594">
        <v>50</v>
      </c>
    </row>
    <row r="595" spans="1:7" x14ac:dyDescent="0.25">
      <c r="A595" t="s">
        <v>418</v>
      </c>
      <c r="B595">
        <v>10230</v>
      </c>
      <c r="C595">
        <v>175</v>
      </c>
      <c r="D595">
        <v>514</v>
      </c>
      <c r="E595">
        <v>14.4</v>
      </c>
      <c r="F595">
        <v>5</v>
      </c>
      <c r="G595">
        <v>50</v>
      </c>
    </row>
    <row r="596" spans="1:7" x14ac:dyDescent="0.25">
      <c r="A596">
        <v>70</v>
      </c>
      <c r="B596">
        <v>11243</v>
      </c>
      <c r="C596">
        <v>192</v>
      </c>
      <c r="D596">
        <v>564</v>
      </c>
      <c r="E596">
        <v>14.4</v>
      </c>
      <c r="F596">
        <v>5</v>
      </c>
      <c r="G596">
        <v>50</v>
      </c>
    </row>
    <row r="597" spans="1:7" x14ac:dyDescent="0.25">
      <c r="A597" t="s">
        <v>419</v>
      </c>
      <c r="B597">
        <v>11940</v>
      </c>
      <c r="C597">
        <v>204</v>
      </c>
      <c r="D597">
        <v>599</v>
      </c>
      <c r="E597">
        <v>21.6</v>
      </c>
      <c r="F597">
        <v>5</v>
      </c>
      <c r="G597">
        <v>50</v>
      </c>
    </row>
    <row r="598" spans="1:7" x14ac:dyDescent="0.25">
      <c r="A598">
        <v>80</v>
      </c>
      <c r="B598">
        <v>12965</v>
      </c>
      <c r="C598">
        <v>222</v>
      </c>
      <c r="D598">
        <v>651</v>
      </c>
      <c r="E598">
        <v>21.6</v>
      </c>
      <c r="F598">
        <v>5</v>
      </c>
      <c r="G598">
        <v>50</v>
      </c>
    </row>
    <row r="599" spans="1:7" x14ac:dyDescent="0.25">
      <c r="A599" t="s">
        <v>420</v>
      </c>
      <c r="B599">
        <v>13662</v>
      </c>
      <c r="C599">
        <v>233</v>
      </c>
      <c r="D599">
        <v>686</v>
      </c>
      <c r="E599">
        <v>28.8</v>
      </c>
      <c r="F599">
        <v>5</v>
      </c>
      <c r="G599">
        <v>50</v>
      </c>
    </row>
    <row r="600" spans="1:7" x14ac:dyDescent="0.25">
      <c r="A600">
        <v>90</v>
      </c>
      <c r="B600">
        <v>14695</v>
      </c>
      <c r="C600">
        <v>251</v>
      </c>
      <c r="D600">
        <v>738</v>
      </c>
      <c r="E600">
        <v>28.8</v>
      </c>
      <c r="F600">
        <v>5</v>
      </c>
      <c r="G600">
        <v>50</v>
      </c>
    </row>
    <row r="601" spans="1:7" x14ac:dyDescent="0.25">
      <c r="A601" t="s">
        <v>430</v>
      </c>
      <c r="B601" t="s">
        <v>410</v>
      </c>
      <c r="C601" t="s">
        <v>411</v>
      </c>
      <c r="D601" t="s">
        <v>412</v>
      </c>
      <c r="E601" t="s">
        <v>65</v>
      </c>
      <c r="F601" t="s">
        <v>413</v>
      </c>
      <c r="G601" t="s">
        <v>414</v>
      </c>
    </row>
    <row r="602" spans="1:7" x14ac:dyDescent="0.25">
      <c r="A602">
        <v>1</v>
      </c>
      <c r="B602">
        <v>912</v>
      </c>
      <c r="C602">
        <v>18</v>
      </c>
      <c r="D602">
        <v>57</v>
      </c>
      <c r="E602">
        <v>0</v>
      </c>
      <c r="F602">
        <v>5</v>
      </c>
      <c r="G602">
        <v>50</v>
      </c>
    </row>
    <row r="603" spans="1:7" x14ac:dyDescent="0.25">
      <c r="A603">
        <v>20</v>
      </c>
      <c r="B603">
        <v>2342</v>
      </c>
      <c r="C603">
        <v>46</v>
      </c>
      <c r="D603">
        <v>147</v>
      </c>
      <c r="E603">
        <v>0</v>
      </c>
      <c r="F603">
        <v>5</v>
      </c>
      <c r="G603">
        <v>50</v>
      </c>
    </row>
    <row r="604" spans="1:7" x14ac:dyDescent="0.25">
      <c r="A604" t="s">
        <v>415</v>
      </c>
      <c r="B604">
        <v>3024</v>
      </c>
      <c r="C604">
        <v>59</v>
      </c>
      <c r="D604">
        <v>190</v>
      </c>
      <c r="E604">
        <v>0</v>
      </c>
      <c r="F604">
        <v>5</v>
      </c>
      <c r="G604">
        <v>50</v>
      </c>
    </row>
    <row r="605" spans="1:7" x14ac:dyDescent="0.25">
      <c r="A605">
        <v>40</v>
      </c>
      <c r="B605">
        <v>4529</v>
      </c>
      <c r="C605">
        <v>88</v>
      </c>
      <c r="D605">
        <v>284</v>
      </c>
      <c r="E605">
        <v>0</v>
      </c>
      <c r="F605">
        <v>5</v>
      </c>
      <c r="G605">
        <v>50</v>
      </c>
    </row>
    <row r="606" spans="1:7" x14ac:dyDescent="0.25">
      <c r="A606" t="s">
        <v>416</v>
      </c>
      <c r="B606">
        <v>5013</v>
      </c>
      <c r="C606">
        <v>98</v>
      </c>
      <c r="D606">
        <v>315</v>
      </c>
      <c r="E606">
        <v>6</v>
      </c>
      <c r="F606">
        <v>5</v>
      </c>
      <c r="G606">
        <v>50</v>
      </c>
    </row>
    <row r="607" spans="1:7" x14ac:dyDescent="0.25">
      <c r="A607">
        <v>50</v>
      </c>
      <c r="B607">
        <v>5766</v>
      </c>
      <c r="C607">
        <v>113</v>
      </c>
      <c r="D607">
        <v>362</v>
      </c>
      <c r="E607">
        <v>6</v>
      </c>
      <c r="F607">
        <v>5</v>
      </c>
      <c r="G607">
        <v>50</v>
      </c>
    </row>
    <row r="608" spans="1:7" x14ac:dyDescent="0.25">
      <c r="A608" t="s">
        <v>417</v>
      </c>
      <c r="B608">
        <v>6411</v>
      </c>
      <c r="C608">
        <v>125</v>
      </c>
      <c r="D608">
        <v>402</v>
      </c>
      <c r="E608">
        <v>12</v>
      </c>
      <c r="F608">
        <v>5</v>
      </c>
      <c r="G608">
        <v>50</v>
      </c>
    </row>
    <row r="609" spans="1:7" x14ac:dyDescent="0.25">
      <c r="A609">
        <v>60</v>
      </c>
      <c r="B609">
        <v>7164</v>
      </c>
      <c r="C609">
        <v>140</v>
      </c>
      <c r="D609">
        <v>450</v>
      </c>
      <c r="E609">
        <v>12</v>
      </c>
      <c r="F609">
        <v>5</v>
      </c>
      <c r="G609">
        <v>50</v>
      </c>
    </row>
    <row r="610" spans="1:7" x14ac:dyDescent="0.25">
      <c r="A610" t="s">
        <v>418</v>
      </c>
      <c r="B610">
        <v>7648</v>
      </c>
      <c r="C610">
        <v>149</v>
      </c>
      <c r="D610">
        <v>480</v>
      </c>
      <c r="E610">
        <v>12</v>
      </c>
      <c r="F610">
        <v>5</v>
      </c>
      <c r="G610">
        <v>50</v>
      </c>
    </row>
    <row r="611" spans="1:7" x14ac:dyDescent="0.25">
      <c r="A611">
        <v>70</v>
      </c>
      <c r="B611">
        <v>8401</v>
      </c>
      <c r="C611">
        <v>164</v>
      </c>
      <c r="D611">
        <v>527</v>
      </c>
      <c r="E611">
        <v>12</v>
      </c>
      <c r="F611">
        <v>5</v>
      </c>
      <c r="G611">
        <v>50</v>
      </c>
    </row>
    <row r="612" spans="1:7" x14ac:dyDescent="0.25">
      <c r="A612" t="s">
        <v>419</v>
      </c>
      <c r="B612">
        <v>8885</v>
      </c>
      <c r="C612">
        <v>174</v>
      </c>
      <c r="D612">
        <v>558</v>
      </c>
      <c r="E612">
        <v>18</v>
      </c>
      <c r="F612">
        <v>5</v>
      </c>
      <c r="G612">
        <v>50</v>
      </c>
    </row>
    <row r="613" spans="1:7" x14ac:dyDescent="0.25">
      <c r="A613">
        <v>80</v>
      </c>
      <c r="B613">
        <v>9638</v>
      </c>
      <c r="C613">
        <v>188</v>
      </c>
      <c r="D613">
        <v>605</v>
      </c>
      <c r="E613">
        <v>18</v>
      </c>
      <c r="F613">
        <v>5</v>
      </c>
      <c r="G613">
        <v>50</v>
      </c>
    </row>
    <row r="614" spans="1:7" x14ac:dyDescent="0.25">
      <c r="A614" t="s">
        <v>420</v>
      </c>
      <c r="B614">
        <v>10122</v>
      </c>
      <c r="C614">
        <v>198</v>
      </c>
      <c r="D614">
        <v>635</v>
      </c>
      <c r="E614">
        <v>24</v>
      </c>
      <c r="F614">
        <v>5</v>
      </c>
      <c r="G614">
        <v>50</v>
      </c>
    </row>
    <row r="615" spans="1:7" x14ac:dyDescent="0.25">
      <c r="A615">
        <v>90</v>
      </c>
      <c r="B615">
        <v>10875</v>
      </c>
      <c r="C615">
        <v>212</v>
      </c>
      <c r="D615">
        <v>683</v>
      </c>
      <c r="E615">
        <v>24</v>
      </c>
      <c r="F615">
        <v>5</v>
      </c>
      <c r="G615">
        <v>50</v>
      </c>
    </row>
    <row r="616" spans="1:7" x14ac:dyDescent="0.25">
      <c r="A616" t="s">
        <v>431</v>
      </c>
      <c r="B616" t="s">
        <v>410</v>
      </c>
      <c r="C616" t="s">
        <v>411</v>
      </c>
      <c r="D616" t="s">
        <v>412</v>
      </c>
      <c r="E616" t="s">
        <v>65</v>
      </c>
      <c r="F616" t="s">
        <v>413</v>
      </c>
      <c r="G616" t="s">
        <v>414</v>
      </c>
    </row>
    <row r="617" spans="1:7" x14ac:dyDescent="0.25">
      <c r="A617">
        <v>1</v>
      </c>
      <c r="B617">
        <v>912</v>
      </c>
      <c r="C617">
        <v>18</v>
      </c>
      <c r="D617">
        <v>57</v>
      </c>
      <c r="E617">
        <v>0</v>
      </c>
      <c r="F617">
        <v>5</v>
      </c>
      <c r="G617">
        <v>50</v>
      </c>
    </row>
    <row r="618" spans="1:7" x14ac:dyDescent="0.25">
      <c r="A618">
        <v>20</v>
      </c>
      <c r="B618">
        <v>2342</v>
      </c>
      <c r="C618">
        <v>46</v>
      </c>
      <c r="D618">
        <v>147</v>
      </c>
      <c r="E618">
        <v>0</v>
      </c>
      <c r="F618">
        <v>5</v>
      </c>
      <c r="G618">
        <v>50</v>
      </c>
    </row>
    <row r="619" spans="1:7" x14ac:dyDescent="0.25">
      <c r="A619" t="s">
        <v>415</v>
      </c>
      <c r="B619">
        <v>3024</v>
      </c>
      <c r="C619">
        <v>59</v>
      </c>
      <c r="D619">
        <v>190</v>
      </c>
      <c r="E619">
        <v>0</v>
      </c>
      <c r="F619">
        <v>5</v>
      </c>
      <c r="G619">
        <v>50</v>
      </c>
    </row>
    <row r="620" spans="1:7" x14ac:dyDescent="0.25">
      <c r="A620">
        <v>40</v>
      </c>
      <c r="B620">
        <v>4529</v>
      </c>
      <c r="C620">
        <v>88</v>
      </c>
      <c r="D620">
        <v>284</v>
      </c>
      <c r="E620">
        <v>0</v>
      </c>
      <c r="F620">
        <v>5</v>
      </c>
      <c r="G620">
        <v>50</v>
      </c>
    </row>
    <row r="621" spans="1:7" x14ac:dyDescent="0.25">
      <c r="A621" t="s">
        <v>416</v>
      </c>
      <c r="B621">
        <v>5013</v>
      </c>
      <c r="C621">
        <v>98</v>
      </c>
      <c r="D621">
        <v>315</v>
      </c>
      <c r="E621">
        <v>6</v>
      </c>
      <c r="F621">
        <v>5</v>
      </c>
      <c r="G621">
        <v>50</v>
      </c>
    </row>
    <row r="622" spans="1:7" x14ac:dyDescent="0.25">
      <c r="A622">
        <v>50</v>
      </c>
      <c r="B622">
        <v>5766</v>
      </c>
      <c r="C622">
        <v>113</v>
      </c>
      <c r="D622">
        <v>362</v>
      </c>
      <c r="E622">
        <v>6</v>
      </c>
      <c r="F622">
        <v>5</v>
      </c>
      <c r="G622">
        <v>50</v>
      </c>
    </row>
    <row r="623" spans="1:7" x14ac:dyDescent="0.25">
      <c r="A623" t="s">
        <v>417</v>
      </c>
      <c r="B623">
        <v>6411</v>
      </c>
      <c r="C623">
        <v>125</v>
      </c>
      <c r="D623">
        <v>402</v>
      </c>
      <c r="E623">
        <v>12</v>
      </c>
      <c r="F623">
        <v>5</v>
      </c>
      <c r="G623">
        <v>50</v>
      </c>
    </row>
    <row r="624" spans="1:7" x14ac:dyDescent="0.25">
      <c r="A624">
        <v>60</v>
      </c>
      <c r="B624">
        <v>7164</v>
      </c>
      <c r="C624">
        <v>140</v>
      </c>
      <c r="D624">
        <v>450</v>
      </c>
      <c r="E624">
        <v>12</v>
      </c>
      <c r="F624">
        <v>5</v>
      </c>
      <c r="G624">
        <v>50</v>
      </c>
    </row>
    <row r="625" spans="1:7" x14ac:dyDescent="0.25">
      <c r="A625" t="s">
        <v>418</v>
      </c>
      <c r="B625">
        <v>7648</v>
      </c>
      <c r="C625">
        <v>149</v>
      </c>
      <c r="D625">
        <v>480</v>
      </c>
      <c r="E625">
        <v>12</v>
      </c>
      <c r="F625">
        <v>5</v>
      </c>
      <c r="G625">
        <v>50</v>
      </c>
    </row>
    <row r="626" spans="1:7" x14ac:dyDescent="0.25">
      <c r="A626">
        <v>70</v>
      </c>
      <c r="B626">
        <v>8401</v>
      </c>
      <c r="C626">
        <v>164</v>
      </c>
      <c r="D626">
        <v>527</v>
      </c>
      <c r="E626">
        <v>12</v>
      </c>
      <c r="F626">
        <v>5</v>
      </c>
      <c r="G626">
        <v>50</v>
      </c>
    </row>
    <row r="627" spans="1:7" x14ac:dyDescent="0.25">
      <c r="A627" t="s">
        <v>419</v>
      </c>
      <c r="B627">
        <v>8885</v>
      </c>
      <c r="C627">
        <v>174</v>
      </c>
      <c r="D627">
        <v>558</v>
      </c>
      <c r="E627">
        <v>18</v>
      </c>
      <c r="F627">
        <v>5</v>
      </c>
      <c r="G627">
        <v>50</v>
      </c>
    </row>
    <row r="628" spans="1:7" x14ac:dyDescent="0.25">
      <c r="A628">
        <v>80</v>
      </c>
      <c r="B628">
        <v>9638</v>
      </c>
      <c r="C628">
        <v>188</v>
      </c>
      <c r="D628">
        <v>605</v>
      </c>
      <c r="E628">
        <v>18</v>
      </c>
      <c r="F628">
        <v>5</v>
      </c>
      <c r="G628">
        <v>50</v>
      </c>
    </row>
    <row r="629" spans="1:7" x14ac:dyDescent="0.25">
      <c r="A629" t="s">
        <v>420</v>
      </c>
      <c r="B629">
        <v>10122</v>
      </c>
      <c r="C629">
        <v>198</v>
      </c>
      <c r="D629">
        <v>635</v>
      </c>
      <c r="E629">
        <v>24</v>
      </c>
      <c r="F629">
        <v>5</v>
      </c>
      <c r="G629">
        <v>50</v>
      </c>
    </row>
    <row r="630" spans="1:7" x14ac:dyDescent="0.25">
      <c r="A630">
        <v>90</v>
      </c>
      <c r="B630">
        <v>10875</v>
      </c>
      <c r="C630">
        <v>212</v>
      </c>
      <c r="D630">
        <v>683</v>
      </c>
      <c r="E630">
        <v>24</v>
      </c>
      <c r="F630">
        <v>5</v>
      </c>
      <c r="G630">
        <v>50</v>
      </c>
    </row>
    <row r="631" spans="1:7" x14ac:dyDescent="0.25">
      <c r="A631" t="s">
        <v>432</v>
      </c>
      <c r="B631" t="s">
        <v>410</v>
      </c>
      <c r="C631" t="s">
        <v>411</v>
      </c>
      <c r="D631" t="s">
        <v>412</v>
      </c>
      <c r="E631" t="s">
        <v>65</v>
      </c>
      <c r="F631" t="s">
        <v>413</v>
      </c>
      <c r="G631" t="s">
        <v>414</v>
      </c>
    </row>
    <row r="632" spans="1:7" x14ac:dyDescent="0.25">
      <c r="A632">
        <v>1</v>
      </c>
      <c r="B632">
        <v>912</v>
      </c>
      <c r="C632">
        <v>18</v>
      </c>
      <c r="D632">
        <v>57</v>
      </c>
      <c r="E632">
        <v>0</v>
      </c>
      <c r="F632">
        <v>5</v>
      </c>
      <c r="G632">
        <v>50</v>
      </c>
    </row>
    <row r="633" spans="1:7" x14ac:dyDescent="0.25">
      <c r="A633">
        <v>20</v>
      </c>
      <c r="B633">
        <v>2342</v>
      </c>
      <c r="C633">
        <v>46</v>
      </c>
      <c r="D633">
        <v>147</v>
      </c>
      <c r="E633">
        <v>0</v>
      </c>
      <c r="F633">
        <v>5</v>
      </c>
      <c r="G633">
        <v>50</v>
      </c>
    </row>
    <row r="634" spans="1:7" x14ac:dyDescent="0.25">
      <c r="A634" t="s">
        <v>415</v>
      </c>
      <c r="B634">
        <v>3024</v>
      </c>
      <c r="C634">
        <v>59</v>
      </c>
      <c r="D634">
        <v>190</v>
      </c>
      <c r="E634">
        <v>0</v>
      </c>
      <c r="F634">
        <v>5</v>
      </c>
      <c r="G634">
        <v>50</v>
      </c>
    </row>
    <row r="635" spans="1:7" x14ac:dyDescent="0.25">
      <c r="A635">
        <v>40</v>
      </c>
      <c r="B635">
        <v>4529</v>
      </c>
      <c r="C635">
        <v>88</v>
      </c>
      <c r="D635">
        <v>284</v>
      </c>
      <c r="E635">
        <v>0</v>
      </c>
      <c r="F635">
        <v>5</v>
      </c>
      <c r="G635">
        <v>50</v>
      </c>
    </row>
    <row r="636" spans="1:7" x14ac:dyDescent="0.25">
      <c r="A636" t="s">
        <v>416</v>
      </c>
      <c r="B636">
        <v>5013</v>
      </c>
      <c r="C636">
        <v>98</v>
      </c>
      <c r="D636">
        <v>315</v>
      </c>
      <c r="E636">
        <v>6</v>
      </c>
      <c r="F636">
        <v>5</v>
      </c>
      <c r="G636">
        <v>50</v>
      </c>
    </row>
    <row r="637" spans="1:7" x14ac:dyDescent="0.25">
      <c r="A637">
        <v>50</v>
      </c>
      <c r="B637">
        <v>5766</v>
      </c>
      <c r="C637">
        <v>113</v>
      </c>
      <c r="D637">
        <v>362</v>
      </c>
      <c r="E637">
        <v>6</v>
      </c>
      <c r="F637">
        <v>5</v>
      </c>
      <c r="G637">
        <v>50</v>
      </c>
    </row>
    <row r="638" spans="1:7" x14ac:dyDescent="0.25">
      <c r="A638" t="s">
        <v>417</v>
      </c>
      <c r="B638">
        <v>6411</v>
      </c>
      <c r="C638">
        <v>125</v>
      </c>
      <c r="D638">
        <v>402</v>
      </c>
      <c r="E638">
        <v>12</v>
      </c>
      <c r="F638">
        <v>5</v>
      </c>
      <c r="G638">
        <v>50</v>
      </c>
    </row>
    <row r="639" spans="1:7" x14ac:dyDescent="0.25">
      <c r="A639">
        <v>60</v>
      </c>
      <c r="B639">
        <v>7164</v>
      </c>
      <c r="C639">
        <v>140</v>
      </c>
      <c r="D639">
        <v>450</v>
      </c>
      <c r="E639">
        <v>12</v>
      </c>
      <c r="F639">
        <v>5</v>
      </c>
      <c r="G639">
        <v>50</v>
      </c>
    </row>
    <row r="640" spans="1:7" x14ac:dyDescent="0.25">
      <c r="A640" t="s">
        <v>418</v>
      </c>
      <c r="B640">
        <v>7648</v>
      </c>
      <c r="C640">
        <v>149</v>
      </c>
      <c r="D640">
        <v>480</v>
      </c>
      <c r="E640">
        <v>12</v>
      </c>
      <c r="F640">
        <v>5</v>
      </c>
      <c r="G640">
        <v>50</v>
      </c>
    </row>
    <row r="641" spans="1:7" x14ac:dyDescent="0.25">
      <c r="A641">
        <v>70</v>
      </c>
      <c r="B641">
        <v>8401</v>
      </c>
      <c r="C641">
        <v>164</v>
      </c>
      <c r="D641">
        <v>527</v>
      </c>
      <c r="E641">
        <v>12</v>
      </c>
      <c r="F641">
        <v>5</v>
      </c>
      <c r="G641">
        <v>50</v>
      </c>
    </row>
    <row r="642" spans="1:7" x14ac:dyDescent="0.25">
      <c r="A642" t="s">
        <v>419</v>
      </c>
      <c r="B642">
        <v>8885</v>
      </c>
      <c r="C642">
        <v>174</v>
      </c>
      <c r="D642">
        <v>558</v>
      </c>
      <c r="E642">
        <v>18</v>
      </c>
      <c r="F642">
        <v>5</v>
      </c>
      <c r="G642">
        <v>50</v>
      </c>
    </row>
    <row r="643" spans="1:7" x14ac:dyDescent="0.25">
      <c r="A643">
        <v>80</v>
      </c>
      <c r="B643">
        <v>9638</v>
      </c>
      <c r="C643">
        <v>188</v>
      </c>
      <c r="D643">
        <v>605</v>
      </c>
      <c r="E643">
        <v>18</v>
      </c>
      <c r="F643">
        <v>5</v>
      </c>
      <c r="G643">
        <v>50</v>
      </c>
    </row>
    <row r="644" spans="1:7" x14ac:dyDescent="0.25">
      <c r="A644" t="s">
        <v>420</v>
      </c>
      <c r="B644">
        <v>10122</v>
      </c>
      <c r="C644">
        <v>198</v>
      </c>
      <c r="D644">
        <v>635</v>
      </c>
      <c r="E644">
        <v>24</v>
      </c>
      <c r="F644">
        <v>5</v>
      </c>
      <c r="G644">
        <v>50</v>
      </c>
    </row>
    <row r="645" spans="1:7" x14ac:dyDescent="0.25">
      <c r="A645">
        <v>90</v>
      </c>
      <c r="B645">
        <v>10875</v>
      </c>
      <c r="C645">
        <v>212</v>
      </c>
      <c r="D645">
        <v>683</v>
      </c>
      <c r="E645">
        <v>24</v>
      </c>
      <c r="F645">
        <v>5</v>
      </c>
      <c r="G645">
        <v>50</v>
      </c>
    </row>
    <row r="646" spans="1:7" x14ac:dyDescent="0.25">
      <c r="A646" s="207" t="s">
        <v>232</v>
      </c>
      <c r="B646" s="207" t="s">
        <v>410</v>
      </c>
      <c r="C646" s="207" t="s">
        <v>411</v>
      </c>
      <c r="D646" s="207" t="s">
        <v>412</v>
      </c>
      <c r="E646" s="207" t="s">
        <v>69</v>
      </c>
      <c r="F646" s="207" t="s">
        <v>413</v>
      </c>
      <c r="G646" s="207" t="s">
        <v>414</v>
      </c>
    </row>
    <row r="647" spans="1:7" x14ac:dyDescent="0.25">
      <c r="A647" s="208">
        <v>1</v>
      </c>
      <c r="B647" s="208">
        <v>1039</v>
      </c>
      <c r="C647" s="208">
        <v>23</v>
      </c>
      <c r="D647" s="208">
        <v>63</v>
      </c>
      <c r="E647" s="208">
        <v>0</v>
      </c>
      <c r="F647" s="208">
        <v>5</v>
      </c>
      <c r="G647" s="208">
        <v>50</v>
      </c>
    </row>
    <row r="648" spans="1:7" x14ac:dyDescent="0.25">
      <c r="A648" s="207">
        <v>20</v>
      </c>
      <c r="B648" s="207">
        <v>2695</v>
      </c>
      <c r="C648" s="207">
        <v>60</v>
      </c>
      <c r="D648" s="207">
        <v>163</v>
      </c>
      <c r="E648" s="207">
        <v>0</v>
      </c>
      <c r="F648" s="207">
        <v>5</v>
      </c>
      <c r="G648" s="207">
        <v>50</v>
      </c>
    </row>
    <row r="649" spans="1:7" x14ac:dyDescent="0.25">
      <c r="A649" s="208" t="s">
        <v>415</v>
      </c>
      <c r="B649" s="208">
        <v>3586</v>
      </c>
      <c r="C649" s="208">
        <v>80</v>
      </c>
      <c r="D649" s="208">
        <v>217</v>
      </c>
      <c r="E649" s="208">
        <v>0</v>
      </c>
      <c r="F649" s="208">
        <v>5</v>
      </c>
      <c r="G649" s="208">
        <v>50</v>
      </c>
    </row>
    <row r="650" spans="1:7" x14ac:dyDescent="0.25">
      <c r="A650" s="207">
        <v>40</v>
      </c>
      <c r="B650" s="207">
        <v>5366</v>
      </c>
      <c r="C650" s="207">
        <v>119</v>
      </c>
      <c r="D650" s="207">
        <v>324</v>
      </c>
      <c r="E650" s="207">
        <v>0</v>
      </c>
      <c r="F650" s="207">
        <v>5</v>
      </c>
      <c r="G650" s="207">
        <v>50</v>
      </c>
    </row>
    <row r="651" spans="1:7" x14ac:dyDescent="0.25">
      <c r="A651" s="208" t="s">
        <v>416</v>
      </c>
      <c r="B651" s="208">
        <v>5999</v>
      </c>
      <c r="C651" s="208">
        <v>133</v>
      </c>
      <c r="D651" s="208">
        <v>363</v>
      </c>
      <c r="E651" s="208">
        <v>28.8</v>
      </c>
      <c r="F651" s="208">
        <v>5</v>
      </c>
      <c r="G651" s="208">
        <v>50</v>
      </c>
    </row>
    <row r="652" spans="1:7" x14ac:dyDescent="0.25">
      <c r="A652" s="207">
        <v>50</v>
      </c>
      <c r="B652" s="207">
        <v>6902</v>
      </c>
      <c r="C652" s="207">
        <v>153</v>
      </c>
      <c r="D652" s="207">
        <v>417</v>
      </c>
      <c r="E652" s="207">
        <v>28.8</v>
      </c>
      <c r="F652" s="207">
        <v>5</v>
      </c>
      <c r="G652" s="207">
        <v>50</v>
      </c>
    </row>
    <row r="653" spans="1:7" x14ac:dyDescent="0.25">
      <c r="A653" s="208" t="s">
        <v>417</v>
      </c>
      <c r="B653" s="208">
        <v>7747</v>
      </c>
      <c r="C653" s="208">
        <v>172</v>
      </c>
      <c r="D653" s="208">
        <v>468</v>
      </c>
      <c r="E653" s="208">
        <v>57.6</v>
      </c>
      <c r="F653" s="208">
        <v>5</v>
      </c>
      <c r="G653" s="208">
        <v>50</v>
      </c>
    </row>
    <row r="654" spans="1:7" x14ac:dyDescent="0.25">
      <c r="A654" s="207">
        <v>60</v>
      </c>
      <c r="B654" s="207">
        <v>8659</v>
      </c>
      <c r="C654" s="207">
        <v>192</v>
      </c>
      <c r="D654" s="207">
        <v>523</v>
      </c>
      <c r="E654" s="207">
        <v>57.6</v>
      </c>
      <c r="F654" s="207">
        <v>5</v>
      </c>
      <c r="G654" s="207">
        <v>50</v>
      </c>
    </row>
    <row r="655" spans="1:7" x14ac:dyDescent="0.25">
      <c r="A655" s="208" t="s">
        <v>418</v>
      </c>
      <c r="B655" s="208">
        <v>9292</v>
      </c>
      <c r="C655" s="208">
        <v>206</v>
      </c>
      <c r="D655" s="208">
        <v>562</v>
      </c>
      <c r="E655" s="208">
        <v>57.6</v>
      </c>
      <c r="F655" s="208">
        <v>5</v>
      </c>
      <c r="G655" s="208">
        <v>50</v>
      </c>
    </row>
    <row r="656" spans="1:7" x14ac:dyDescent="0.25">
      <c r="A656" s="207">
        <v>70</v>
      </c>
      <c r="B656" s="207">
        <v>10213</v>
      </c>
      <c r="C656" s="207">
        <v>227</v>
      </c>
      <c r="D656" s="207">
        <v>617</v>
      </c>
      <c r="E656" s="207">
        <v>57.6</v>
      </c>
      <c r="F656" s="207">
        <v>5</v>
      </c>
      <c r="G656" s="207">
        <v>50</v>
      </c>
    </row>
    <row r="657" spans="1:7" x14ac:dyDescent="0.25">
      <c r="A657" s="208" t="s">
        <v>419</v>
      </c>
      <c r="B657" s="208">
        <v>10846</v>
      </c>
      <c r="C657" s="208">
        <v>241</v>
      </c>
      <c r="D657" s="208">
        <v>656</v>
      </c>
      <c r="E657" s="208">
        <v>86.4</v>
      </c>
      <c r="F657" s="208">
        <v>5</v>
      </c>
      <c r="G657" s="208">
        <v>50</v>
      </c>
    </row>
    <row r="658" spans="1:7" x14ac:dyDescent="0.25">
      <c r="A658" s="207">
        <v>80</v>
      </c>
      <c r="B658" s="207">
        <v>11777</v>
      </c>
      <c r="C658" s="207">
        <v>262</v>
      </c>
      <c r="D658" s="207">
        <v>712</v>
      </c>
      <c r="E658" s="207">
        <v>86.4</v>
      </c>
      <c r="F658" s="207">
        <v>5</v>
      </c>
      <c r="G658" s="207">
        <v>50</v>
      </c>
    </row>
    <row r="659" spans="1:7" x14ac:dyDescent="0.25">
      <c r="A659" s="208" t="s">
        <v>420</v>
      </c>
      <c r="B659" s="208">
        <v>12410</v>
      </c>
      <c r="C659" s="208">
        <v>276</v>
      </c>
      <c r="D659" s="208">
        <v>750</v>
      </c>
      <c r="E659" s="208">
        <v>115.2</v>
      </c>
      <c r="F659" s="208">
        <v>5</v>
      </c>
      <c r="G659" s="208">
        <v>50</v>
      </c>
    </row>
    <row r="660" spans="1:7" x14ac:dyDescent="0.25">
      <c r="A660" s="207">
        <v>90</v>
      </c>
      <c r="B660" s="207">
        <v>13348</v>
      </c>
      <c r="C660" s="207">
        <v>297</v>
      </c>
      <c r="D660" s="207">
        <v>807</v>
      </c>
      <c r="E660" s="207">
        <v>115.2</v>
      </c>
      <c r="F660" s="207">
        <v>5</v>
      </c>
      <c r="G660" s="207">
        <v>50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B76728-7E70-480A-8D4B-6B0391A73FC4}">
  <dimension ref="A1:CS264"/>
  <sheetViews>
    <sheetView topLeftCell="A97" zoomScale="80" zoomScaleNormal="80" workbookViewId="0">
      <pane xSplit="1" topLeftCell="B1" activePane="topRight" state="frozen"/>
      <selection pane="topRight" activeCell="C117" sqref="C117"/>
    </sheetView>
  </sheetViews>
  <sheetFormatPr defaultRowHeight="15" x14ac:dyDescent="0.25"/>
  <cols>
    <col min="1" max="1" width="25.5703125" bestFit="1" customWidth="1"/>
    <col min="40" max="40" width="9.28515625" customWidth="1"/>
  </cols>
  <sheetData>
    <row r="1" spans="1:97" x14ac:dyDescent="0.25">
      <c r="A1" t="s">
        <v>563</v>
      </c>
      <c r="B1" s="49" t="s">
        <v>466</v>
      </c>
      <c r="C1" s="53" t="s">
        <v>467</v>
      </c>
      <c r="D1" s="53" t="s">
        <v>468</v>
      </c>
      <c r="E1" s="53" t="s">
        <v>469</v>
      </c>
      <c r="F1" s="53" t="s">
        <v>470</v>
      </c>
      <c r="G1" s="53" t="s">
        <v>471</v>
      </c>
      <c r="H1" s="53" t="s">
        <v>472</v>
      </c>
      <c r="I1" s="53" t="s">
        <v>473</v>
      </c>
      <c r="J1" s="53" t="s">
        <v>474</v>
      </c>
      <c r="K1" s="53" t="s">
        <v>475</v>
      </c>
      <c r="L1" s="53" t="s">
        <v>476</v>
      </c>
      <c r="M1" s="53" t="s">
        <v>477</v>
      </c>
      <c r="N1" s="53" t="s">
        <v>478</v>
      </c>
      <c r="O1" s="53" t="s">
        <v>479</v>
      </c>
      <c r="P1" s="53" t="s">
        <v>480</v>
      </c>
      <c r="Q1" s="53" t="s">
        <v>481</v>
      </c>
      <c r="R1" s="53" t="s">
        <v>482</v>
      </c>
      <c r="S1" s="53" t="s">
        <v>483</v>
      </c>
      <c r="T1" s="53" t="s">
        <v>484</v>
      </c>
      <c r="U1" s="58" t="s">
        <v>485</v>
      </c>
      <c r="V1" s="58" t="s">
        <v>486</v>
      </c>
      <c r="W1" s="58" t="s">
        <v>487</v>
      </c>
      <c r="X1" s="58" t="s">
        <v>488</v>
      </c>
      <c r="Y1" s="58" t="s">
        <v>489</v>
      </c>
      <c r="Z1" s="58" t="s">
        <v>490</v>
      </c>
      <c r="AA1" s="58" t="s">
        <v>491</v>
      </c>
      <c r="AB1" s="58" t="s">
        <v>492</v>
      </c>
      <c r="AC1" s="58" t="s">
        <v>493</v>
      </c>
      <c r="AD1" s="58" t="s">
        <v>494</v>
      </c>
      <c r="AE1" s="58" t="s">
        <v>495</v>
      </c>
      <c r="AF1" s="58" t="s">
        <v>496</v>
      </c>
      <c r="AG1" s="58" t="s">
        <v>497</v>
      </c>
      <c r="AH1" s="58" t="s">
        <v>498</v>
      </c>
      <c r="AI1" s="58" t="s">
        <v>499</v>
      </c>
      <c r="AJ1" s="58" t="s">
        <v>500</v>
      </c>
      <c r="AK1" s="58" t="s">
        <v>501</v>
      </c>
      <c r="AL1" s="59" t="s">
        <v>502</v>
      </c>
      <c r="AM1" s="59" t="s">
        <v>503</v>
      </c>
      <c r="AN1" s="59" t="s">
        <v>504</v>
      </c>
      <c r="AO1" s="59" t="s">
        <v>505</v>
      </c>
      <c r="AP1" s="59" t="s">
        <v>506</v>
      </c>
      <c r="AQ1" s="59" t="s">
        <v>507</v>
      </c>
      <c r="AR1" s="59" t="s">
        <v>508</v>
      </c>
      <c r="AS1" s="59" t="s">
        <v>509</v>
      </c>
      <c r="AT1" s="59" t="s">
        <v>510</v>
      </c>
      <c r="AU1" s="59" t="s">
        <v>511</v>
      </c>
      <c r="AV1" s="59" t="s">
        <v>512</v>
      </c>
      <c r="AW1" s="59" t="s">
        <v>513</v>
      </c>
      <c r="AX1" s="59" t="s">
        <v>514</v>
      </c>
      <c r="AY1" s="59" t="s">
        <v>515</v>
      </c>
      <c r="AZ1" s="59" t="s">
        <v>516</v>
      </c>
      <c r="BA1" s="59" t="s">
        <v>517</v>
      </c>
      <c r="BB1" s="59" t="s">
        <v>518</v>
      </c>
      <c r="BC1" s="59" t="s">
        <v>519</v>
      </c>
      <c r="BD1" s="59" t="s">
        <v>520</v>
      </c>
      <c r="BE1" s="59" t="s">
        <v>521</v>
      </c>
      <c r="BF1" s="59" t="s">
        <v>522</v>
      </c>
      <c r="BG1" s="59" t="s">
        <v>523</v>
      </c>
      <c r="BH1" s="60" t="s">
        <v>524</v>
      </c>
      <c r="BI1" s="60" t="s">
        <v>525</v>
      </c>
      <c r="BJ1" s="60" t="s">
        <v>526</v>
      </c>
      <c r="BK1" s="60" t="s">
        <v>527</v>
      </c>
      <c r="BL1" s="60" t="s">
        <v>528</v>
      </c>
      <c r="BM1" s="60" t="s">
        <v>529</v>
      </c>
      <c r="BN1" s="60" t="s">
        <v>530</v>
      </c>
      <c r="BO1" s="60" t="s">
        <v>531</v>
      </c>
      <c r="BP1" s="60" t="s">
        <v>532</v>
      </c>
      <c r="BQ1" s="60" t="s">
        <v>533</v>
      </c>
      <c r="BR1" s="60" t="s">
        <v>534</v>
      </c>
      <c r="BS1" s="60" t="s">
        <v>535</v>
      </c>
      <c r="BT1" s="60" t="s">
        <v>536</v>
      </c>
      <c r="BU1" s="60" t="s">
        <v>537</v>
      </c>
      <c r="BV1" s="60" t="s">
        <v>538</v>
      </c>
      <c r="BW1" s="60" t="s">
        <v>539</v>
      </c>
      <c r="BX1" s="60" t="s">
        <v>540</v>
      </c>
      <c r="BY1" s="60" t="s">
        <v>541</v>
      </c>
      <c r="BZ1" s="60" t="s">
        <v>542</v>
      </c>
      <c r="CA1" s="61" t="s">
        <v>543</v>
      </c>
      <c r="CB1" s="61" t="s">
        <v>544</v>
      </c>
      <c r="CC1" s="61" t="s">
        <v>545</v>
      </c>
      <c r="CD1" s="61" t="s">
        <v>546</v>
      </c>
      <c r="CE1" s="61" t="s">
        <v>547</v>
      </c>
      <c r="CF1" s="61" t="s">
        <v>548</v>
      </c>
      <c r="CG1" s="61" t="s">
        <v>549</v>
      </c>
      <c r="CH1" s="61" t="s">
        <v>550</v>
      </c>
      <c r="CI1" s="61" t="s">
        <v>551</v>
      </c>
      <c r="CJ1" s="61" t="s">
        <v>552</v>
      </c>
      <c r="CK1" s="61" t="s">
        <v>553</v>
      </c>
      <c r="CL1" s="61" t="s">
        <v>554</v>
      </c>
      <c r="CM1" s="61" t="s">
        <v>555</v>
      </c>
      <c r="CN1" s="61" t="s">
        <v>556</v>
      </c>
      <c r="CO1" s="61" t="s">
        <v>557</v>
      </c>
      <c r="CP1" s="61" t="s">
        <v>558</v>
      </c>
      <c r="CQ1" s="61" t="s">
        <v>559</v>
      </c>
      <c r="CR1" s="61" t="s">
        <v>560</v>
      </c>
      <c r="CS1" s="61" t="s">
        <v>561</v>
      </c>
    </row>
    <row r="2" spans="1:97" x14ac:dyDescent="0.25">
      <c r="A2" t="s">
        <v>411</v>
      </c>
      <c r="B2" s="50">
        <v>674</v>
      </c>
      <c r="C2" s="54">
        <v>608</v>
      </c>
      <c r="D2" s="54">
        <v>608</v>
      </c>
      <c r="E2" s="54">
        <v>608</v>
      </c>
      <c r="F2" s="54">
        <v>741</v>
      </c>
      <c r="G2" s="54">
        <v>510</v>
      </c>
      <c r="H2" s="54">
        <v>510</v>
      </c>
      <c r="I2" s="54">
        <v>565</v>
      </c>
      <c r="J2" s="54">
        <v>510</v>
      </c>
      <c r="K2" s="54">
        <v>454</v>
      </c>
      <c r="L2" s="54">
        <v>565</v>
      </c>
      <c r="M2" s="54">
        <v>510</v>
      </c>
      <c r="N2" s="54">
        <v>510</v>
      </c>
      <c r="O2" s="54">
        <v>565</v>
      </c>
      <c r="P2" s="54">
        <v>454</v>
      </c>
      <c r="Q2" s="54">
        <v>510</v>
      </c>
      <c r="R2" s="54">
        <v>565</v>
      </c>
      <c r="S2" s="54">
        <v>510</v>
      </c>
      <c r="T2" s="54">
        <v>510</v>
      </c>
      <c r="U2" s="62">
        <v>674</v>
      </c>
      <c r="V2" s="62">
        <v>608</v>
      </c>
      <c r="W2" s="62">
        <v>674</v>
      </c>
      <c r="X2" s="62">
        <v>608</v>
      </c>
      <c r="Y2" s="62">
        <v>608</v>
      </c>
      <c r="Z2" s="62">
        <v>510</v>
      </c>
      <c r="AA2" s="62">
        <v>565</v>
      </c>
      <c r="AB2" s="62">
        <v>454</v>
      </c>
      <c r="AC2" s="62">
        <v>565</v>
      </c>
      <c r="AD2" s="62">
        <v>510</v>
      </c>
      <c r="AE2" s="62">
        <v>565</v>
      </c>
      <c r="AF2" s="62">
        <v>454</v>
      </c>
      <c r="AG2" s="62">
        <v>454</v>
      </c>
      <c r="AH2" s="62">
        <v>565</v>
      </c>
      <c r="AI2" s="62">
        <v>510</v>
      </c>
      <c r="AJ2" s="62">
        <v>401</v>
      </c>
      <c r="AK2" s="62">
        <v>354</v>
      </c>
      <c r="AL2" s="63">
        <v>542</v>
      </c>
      <c r="AM2" s="63">
        <v>608</v>
      </c>
      <c r="AN2" s="63">
        <v>674</v>
      </c>
      <c r="AO2" s="63">
        <v>608</v>
      </c>
      <c r="AP2" s="63">
        <v>608</v>
      </c>
      <c r="AQ2" s="63">
        <v>674</v>
      </c>
      <c r="AR2" s="63">
        <v>510</v>
      </c>
      <c r="AS2" s="63">
        <v>510</v>
      </c>
      <c r="AT2" s="63">
        <v>510</v>
      </c>
      <c r="AU2" s="63">
        <v>620</v>
      </c>
      <c r="AV2" s="63">
        <v>454</v>
      </c>
      <c r="AW2" s="63">
        <v>510</v>
      </c>
      <c r="AX2" s="63">
        <v>565</v>
      </c>
      <c r="AY2" s="63">
        <v>510</v>
      </c>
      <c r="AZ2" s="63">
        <v>510</v>
      </c>
      <c r="BA2" s="63">
        <v>454</v>
      </c>
      <c r="BB2" s="63">
        <v>565</v>
      </c>
      <c r="BC2" s="63">
        <v>454</v>
      </c>
      <c r="BD2" s="63">
        <v>454</v>
      </c>
      <c r="BE2" s="63">
        <v>354</v>
      </c>
      <c r="BF2" s="63">
        <v>401</v>
      </c>
      <c r="BG2" s="63">
        <v>401</v>
      </c>
      <c r="BH2" s="64">
        <v>608</v>
      </c>
      <c r="BI2" s="64">
        <v>674</v>
      </c>
      <c r="BJ2" s="64">
        <v>608</v>
      </c>
      <c r="BK2" s="64">
        <v>608</v>
      </c>
      <c r="BL2" s="64">
        <v>510</v>
      </c>
      <c r="BM2" s="64">
        <v>454</v>
      </c>
      <c r="BN2" s="64">
        <v>565</v>
      </c>
      <c r="BO2" s="64">
        <v>510</v>
      </c>
      <c r="BP2" s="64">
        <v>510</v>
      </c>
      <c r="BQ2" s="64">
        <v>454</v>
      </c>
      <c r="BR2" s="64">
        <v>565</v>
      </c>
      <c r="BS2" s="64">
        <v>510</v>
      </c>
      <c r="BT2" s="64">
        <v>565</v>
      </c>
      <c r="BU2" s="64">
        <v>510</v>
      </c>
      <c r="BV2" s="64">
        <v>454</v>
      </c>
      <c r="BW2" s="64">
        <v>354</v>
      </c>
      <c r="BX2" s="64">
        <v>510</v>
      </c>
      <c r="BY2" s="64">
        <v>565</v>
      </c>
      <c r="BZ2" s="65">
        <v>401</v>
      </c>
      <c r="CA2" s="66">
        <v>608</v>
      </c>
      <c r="CB2" s="66">
        <v>608</v>
      </c>
      <c r="CC2" s="66">
        <v>674</v>
      </c>
      <c r="CD2" s="66">
        <v>608</v>
      </c>
      <c r="CE2" s="66">
        <v>510</v>
      </c>
      <c r="CF2" s="66">
        <v>510</v>
      </c>
      <c r="CG2" s="66">
        <v>454</v>
      </c>
      <c r="CH2" s="66">
        <v>565</v>
      </c>
      <c r="CI2" s="66">
        <v>510</v>
      </c>
      <c r="CJ2" s="66">
        <v>454</v>
      </c>
      <c r="CK2" s="66">
        <v>510</v>
      </c>
      <c r="CL2" s="66">
        <v>565</v>
      </c>
      <c r="CM2" s="66">
        <v>565</v>
      </c>
      <c r="CN2" s="66">
        <v>454</v>
      </c>
      <c r="CO2" s="66">
        <v>510</v>
      </c>
      <c r="CP2" s="66">
        <v>510</v>
      </c>
      <c r="CQ2" s="66">
        <v>510</v>
      </c>
      <c r="CR2" s="66">
        <v>354</v>
      </c>
      <c r="CS2" s="66">
        <v>608</v>
      </c>
    </row>
    <row r="3" spans="1:97" x14ac:dyDescent="0.25">
      <c r="A3" t="s">
        <v>65</v>
      </c>
      <c r="B3" s="51">
        <v>0</v>
      </c>
      <c r="C3" s="55">
        <f>49.6%+IF(char1WeapToggle, 2*char1WeapStacks*(4+(char1Refine-1))%, char1WeapStacks*(4+(char1Refine-1))%)</f>
        <v>0.496</v>
      </c>
      <c r="D3" s="55">
        <v>0</v>
      </c>
      <c r="E3" s="55">
        <f>49.6%+(20+(char1Refine-1)*5)%+IF(char1WeapToggle,(40+(char1Refine-1)*10),0)%</f>
        <v>1.6960000000000002</v>
      </c>
      <c r="F3" s="55">
        <f>IF(char1WeapToggle, (20+(char1Refine-1)*5)%, 0%) + (16+(char1Refine-1)*4)%</f>
        <v>0.72</v>
      </c>
      <c r="G3" s="57">
        <v>0</v>
      </c>
      <c r="H3" s="57">
        <v>0</v>
      </c>
      <c r="I3" s="57">
        <v>0.27600000000000002</v>
      </c>
      <c r="J3" s="55">
        <f>char1WeapStacks*(6+1.5*(char1Refine-1))%</f>
        <v>0</v>
      </c>
      <c r="K3" s="55">
        <v>0</v>
      </c>
      <c r="L3" s="55">
        <v>0</v>
      </c>
      <c r="M3" s="55">
        <v>0</v>
      </c>
      <c r="N3" s="57">
        <f>41.3%+char1WeapStacks*(7+(char1Refine-1))%</f>
        <v>0.41299999999999998</v>
      </c>
      <c r="O3" s="57">
        <v>0.27600000000000002</v>
      </c>
      <c r="P3" s="57">
        <v>0.55100000000000005</v>
      </c>
      <c r="Q3" s="57">
        <v>0</v>
      </c>
      <c r="R3" s="57">
        <v>0</v>
      </c>
      <c r="S3" s="57">
        <v>0.41299999999999998</v>
      </c>
      <c r="T3" s="55">
        <f>char1WeapStacks*(12+(char1Refine-1)*3)%</f>
        <v>0</v>
      </c>
      <c r="U3" s="67">
        <v>0</v>
      </c>
      <c r="V3" s="67">
        <f ca="1">MIN((28%+(char1Refine-1)*7%)*(char1FinalER-100%),(80+(char1Refine-1)*10)%)</f>
        <v>0.60995200000000005</v>
      </c>
      <c r="W3" s="67">
        <f>char1WeapStacks*(3.2+(char1Refine-1)*0.7)%</f>
        <v>0</v>
      </c>
      <c r="X3" s="67">
        <f>(49.6+(char1WeapStacks*IF(char1WeapToggle,2,1)*(4+(char1Refine-1)*1)))%</f>
        <v>0.496</v>
      </c>
      <c r="Y3" s="67">
        <v>0</v>
      </c>
      <c r="Z3" s="67">
        <v>0</v>
      </c>
      <c r="AA3" s="67">
        <v>0</v>
      </c>
      <c r="AB3" s="67">
        <v>0</v>
      </c>
      <c r="AC3" s="67">
        <v>0</v>
      </c>
      <c r="AD3" s="67">
        <v>0</v>
      </c>
      <c r="AE3" s="67">
        <f>(27.6+(7+(char1Refine-1)*1)*char1WeapStacks)%</f>
        <v>0.27600000000000002</v>
      </c>
      <c r="AF3" s="67">
        <v>0</v>
      </c>
      <c r="AG3" s="67">
        <f>IF(char1WeapToggle,(24+(char1Refine-1)*6),(16+(char1Refine-1)*4))%</f>
        <v>0.48</v>
      </c>
      <c r="AH3" s="67">
        <v>0</v>
      </c>
      <c r="AI3" s="67">
        <f>(12+(char1Refine-1)*3)*char1WeapStacks%</f>
        <v>0</v>
      </c>
      <c r="AJ3" s="67">
        <v>0</v>
      </c>
      <c r="AK3" s="67">
        <v>0</v>
      </c>
      <c r="AL3" s="68">
        <v>0</v>
      </c>
      <c r="AM3" s="68">
        <f>IF(char1WeapToggle, (20+(char1Refine-1)*5), 0)%</f>
        <v>0.4</v>
      </c>
      <c r="AN3" s="68">
        <v>0</v>
      </c>
      <c r="AO3" s="68">
        <f>(49.6+IF(char1WeapToggle,(4+(char1Refine-1))*char1WeapStacks*2,(4+(char1Refine-1))*char1WeapStacks))%</f>
        <v>0.496</v>
      </c>
      <c r="AP3" s="68">
        <v>0</v>
      </c>
      <c r="AQ3" s="68">
        <f>(20+(char1Refine-1)*5)%</f>
        <v>0.4</v>
      </c>
      <c r="AR3" s="68">
        <v>0</v>
      </c>
      <c r="AS3" s="68">
        <v>0.41299999999999998</v>
      </c>
      <c r="AT3" s="68">
        <v>0</v>
      </c>
      <c r="AU3" s="68">
        <v>0</v>
      </c>
      <c r="AV3" s="68">
        <v>0</v>
      </c>
      <c r="AW3" s="68">
        <v>0.41299999999999998</v>
      </c>
      <c r="AX3" s="68">
        <f>char1WeapStacks*(4+(char1Refine-1))%</f>
        <v>0</v>
      </c>
      <c r="AY3" s="68">
        <v>0.41299999999999998</v>
      </c>
      <c r="AZ3" s="68">
        <v>0</v>
      </c>
      <c r="BA3" s="68">
        <v>0</v>
      </c>
      <c r="BB3" s="68">
        <f>(char1WeapStacks*(12+(char1Refine-1)*3))%</f>
        <v>0</v>
      </c>
      <c r="BC3" s="68">
        <v>0.55100000000000005</v>
      </c>
      <c r="BD3" s="68">
        <v>0</v>
      </c>
      <c r="BE3" s="68">
        <f>IF(char1WeapToggle,12+(char1Refine-1)*3,0)%</f>
        <v>0.24</v>
      </c>
      <c r="BF3" s="68">
        <f>IF(char1WeapToggle, 20+(char1Refine-1)*5)%</f>
        <v>0.4</v>
      </c>
      <c r="BG3" s="68">
        <v>0</v>
      </c>
      <c r="BH3" s="69">
        <f>(49.6+IF(char1WeapToggle,(4+(char1Refine-1))*char1WeapStacks*2,(4+(char1Refine-1))*char1WeapStacks))%</f>
        <v>0.496</v>
      </c>
      <c r="BI3" s="70">
        <v>0.33100000000000002</v>
      </c>
      <c r="BJ3" s="70">
        <v>0</v>
      </c>
      <c r="BK3" s="70">
        <v>0</v>
      </c>
      <c r="BL3" s="70">
        <v>0.41299999999999998</v>
      </c>
      <c r="BM3" s="70">
        <v>0.55100000000000005</v>
      </c>
      <c r="BN3" s="70">
        <f>IF(char1WeapToggle, 20+(char1Refine-1)*5,0)%</f>
        <v>0.4</v>
      </c>
      <c r="BO3" s="70">
        <f>IF(char1WeapToggle, 20+(char1Refine-1)*5,0)%</f>
        <v>0.4</v>
      </c>
      <c r="BP3" s="70">
        <v>0</v>
      </c>
      <c r="BQ3" s="70">
        <v>0</v>
      </c>
      <c r="BR3" s="70">
        <v>0.27600000000000002</v>
      </c>
      <c r="BS3" s="70">
        <v>0</v>
      </c>
      <c r="BT3" s="70">
        <v>0</v>
      </c>
      <c r="BU3" s="70">
        <v>0</v>
      </c>
      <c r="BV3" s="70">
        <f>(55.1+IF(char1WeapToggle,8+(char1Refine-1)*2))%</f>
        <v>0.71099999999999997</v>
      </c>
      <c r="BW3" s="70">
        <v>0</v>
      </c>
      <c r="BX3" s="70">
        <f>char1WeapStacks*(12+(char1Refine-1)*3)%</f>
        <v>0</v>
      </c>
      <c r="BY3" s="70">
        <v>0</v>
      </c>
      <c r="BZ3" s="70">
        <v>0</v>
      </c>
      <c r="CA3" s="71">
        <f>IF(char1WeapToggle, 20+(char1Refine-1)*5, 0)%</f>
        <v>0.4</v>
      </c>
      <c r="CB3" s="73">
        <f>IF(char1WeapStacks=0, 0, IF(char1WeapStacks=1, 10+(char1Refine-1)*2.5, IF(char1WeapStacks=2, 20+(char1Refine-1)*5, IF(char1WeapStacks=3, 30+(char1Refine-1)*7.5, IF(char1WeapStacks=4, 48+(char1Refine-1)*12,0)))))%</f>
        <v>0</v>
      </c>
      <c r="CC3" s="72">
        <v>0</v>
      </c>
      <c r="CD3" s="74">
        <v>0.496</v>
      </c>
      <c r="CE3" s="74">
        <v>0.41299999999999998</v>
      </c>
      <c r="CF3" s="72">
        <v>0</v>
      </c>
      <c r="CG3" s="72">
        <f>char1WeapStacks*(4+(char1Refine-1))%</f>
        <v>0</v>
      </c>
      <c r="CH3" s="72">
        <f>char1WeapStacks*(12+(char1Refine-1)*3)%</f>
        <v>0</v>
      </c>
      <c r="CI3" s="72">
        <f>41.3%+IF(char1WeapToggle, 36+(char1Refine-1)*9)%</f>
        <v>1.133</v>
      </c>
      <c r="CJ3" s="72">
        <v>0</v>
      </c>
      <c r="CK3" s="72">
        <f>IF(char1WeapToggle, 16+(char1Refine-1)*4,0)%</f>
        <v>0.32</v>
      </c>
      <c r="CL3" s="72">
        <v>0.27600000000000002</v>
      </c>
      <c r="CM3" s="72">
        <v>0</v>
      </c>
      <c r="CN3" s="72">
        <v>0.55100000000000005</v>
      </c>
      <c r="CO3" s="72">
        <v>0</v>
      </c>
      <c r="CP3" s="74">
        <v>0.41299999999999998</v>
      </c>
      <c r="CQ3" s="72">
        <v>0</v>
      </c>
      <c r="CR3" s="72">
        <v>0</v>
      </c>
      <c r="CS3" s="72">
        <f>(20+(char1Refine-1)*5)%</f>
        <v>0.4</v>
      </c>
    </row>
    <row r="4" spans="1:97" x14ac:dyDescent="0.25">
      <c r="A4" t="s">
        <v>66</v>
      </c>
      <c r="B4" s="51">
        <v>0</v>
      </c>
      <c r="C4" s="55">
        <v>0</v>
      </c>
      <c r="D4" s="55">
        <f>(20+(char1Refine-1)*5)%</f>
        <v>0.4</v>
      </c>
      <c r="E4" s="55">
        <v>0</v>
      </c>
      <c r="F4" s="55">
        <v>0</v>
      </c>
      <c r="G4" s="57">
        <v>0</v>
      </c>
      <c r="H4" s="57">
        <v>0</v>
      </c>
      <c r="I4" s="57">
        <v>0</v>
      </c>
      <c r="J4" s="57">
        <f>51.7%+char1WeapStacks*(6+1.5*(char1Refine-1))%</f>
        <v>0.51700000000000002</v>
      </c>
      <c r="K4" s="55">
        <v>0</v>
      </c>
      <c r="L4" s="55">
        <v>0</v>
      </c>
      <c r="M4" s="55">
        <v>0</v>
      </c>
      <c r="N4" s="57">
        <v>0</v>
      </c>
      <c r="O4" s="55">
        <v>0</v>
      </c>
      <c r="P4" s="55">
        <v>0</v>
      </c>
      <c r="Q4" s="57">
        <v>0</v>
      </c>
      <c r="R4" s="57">
        <v>0</v>
      </c>
      <c r="S4" s="57">
        <v>0</v>
      </c>
      <c r="T4" s="57">
        <v>0</v>
      </c>
      <c r="U4" s="67">
        <v>0</v>
      </c>
      <c r="V4" s="67">
        <v>0</v>
      </c>
      <c r="W4" s="67">
        <v>0</v>
      </c>
      <c r="X4" s="67">
        <v>0</v>
      </c>
      <c r="Y4" s="67">
        <v>0</v>
      </c>
      <c r="Z4" s="67">
        <v>0</v>
      </c>
      <c r="AA4" s="67">
        <v>0</v>
      </c>
      <c r="AB4" s="67">
        <v>0</v>
      </c>
      <c r="AC4" s="67">
        <v>0</v>
      </c>
      <c r="AD4" s="67">
        <v>0</v>
      </c>
      <c r="AE4" s="67">
        <v>0</v>
      </c>
      <c r="AF4" s="67">
        <v>0</v>
      </c>
      <c r="AG4" s="67">
        <f>(16+(char1Refine-1)*4)%</f>
        <v>0.32</v>
      </c>
      <c r="AH4" s="67">
        <v>0</v>
      </c>
      <c r="AI4" s="67">
        <v>0</v>
      </c>
      <c r="AJ4" s="67">
        <v>0</v>
      </c>
      <c r="AK4" s="67">
        <v>0</v>
      </c>
      <c r="AL4" s="68">
        <v>0</v>
      </c>
      <c r="AM4" s="68">
        <v>0</v>
      </c>
      <c r="AN4" s="68">
        <v>0</v>
      </c>
      <c r="AO4" s="68">
        <v>0</v>
      </c>
      <c r="AP4" s="68">
        <v>0</v>
      </c>
      <c r="AQ4" s="68">
        <v>0</v>
      </c>
      <c r="AR4" s="68">
        <v>0</v>
      </c>
      <c r="AS4" s="68">
        <v>0</v>
      </c>
      <c r="AT4" s="68">
        <v>0</v>
      </c>
      <c r="AU4" s="68">
        <v>0</v>
      </c>
      <c r="AV4" s="68">
        <v>0</v>
      </c>
      <c r="AW4" s="68">
        <v>0</v>
      </c>
      <c r="AX4" s="68">
        <f>char1WeapStacks*(4+(char1Refine-1))%</f>
        <v>0</v>
      </c>
      <c r="AY4" s="68">
        <v>0</v>
      </c>
      <c r="AZ4" s="68">
        <v>0</v>
      </c>
      <c r="BA4" s="68">
        <v>0</v>
      </c>
      <c r="BB4" s="68">
        <v>0</v>
      </c>
      <c r="BC4" s="68">
        <v>0</v>
      </c>
      <c r="BD4" s="68">
        <v>0.69</v>
      </c>
      <c r="BE4" s="68">
        <v>0</v>
      </c>
      <c r="BF4" s="68">
        <v>0</v>
      </c>
      <c r="BG4" s="68">
        <v>0</v>
      </c>
      <c r="BH4" s="70">
        <v>0</v>
      </c>
      <c r="BI4" s="70">
        <v>0</v>
      </c>
      <c r="BJ4" s="70">
        <v>0</v>
      </c>
      <c r="BK4" s="70">
        <v>0</v>
      </c>
      <c r="BL4" s="70">
        <v>0</v>
      </c>
      <c r="BM4" s="70">
        <v>0</v>
      </c>
      <c r="BN4" s="70">
        <v>0</v>
      </c>
      <c r="BO4" s="70">
        <v>0</v>
      </c>
      <c r="BP4" s="70">
        <v>0</v>
      </c>
      <c r="BQ4" s="70">
        <v>0</v>
      </c>
      <c r="BR4" s="70">
        <v>0</v>
      </c>
      <c r="BS4" s="70">
        <v>0</v>
      </c>
      <c r="BT4" s="70">
        <v>0</v>
      </c>
      <c r="BU4" s="70">
        <v>0</v>
      </c>
      <c r="BV4" s="70">
        <v>0</v>
      </c>
      <c r="BW4" s="70">
        <v>0</v>
      </c>
      <c r="BX4" s="70">
        <v>0</v>
      </c>
      <c r="BY4" s="70">
        <v>0</v>
      </c>
      <c r="BZ4" s="70">
        <v>0</v>
      </c>
      <c r="CA4" s="72">
        <v>0</v>
      </c>
      <c r="CB4" s="72">
        <v>0</v>
      </c>
      <c r="CC4" s="72">
        <v>0</v>
      </c>
      <c r="CD4" s="72">
        <v>0</v>
      </c>
      <c r="CE4" s="72">
        <v>0</v>
      </c>
      <c r="CF4" s="72">
        <v>0</v>
      </c>
      <c r="CG4" s="72">
        <v>0</v>
      </c>
      <c r="CH4" s="72">
        <v>0</v>
      </c>
      <c r="CI4" s="72">
        <v>0</v>
      </c>
      <c r="CJ4" s="72">
        <v>0</v>
      </c>
      <c r="CK4" s="72">
        <v>0</v>
      </c>
      <c r="CL4" s="72">
        <v>0</v>
      </c>
      <c r="CM4" s="72">
        <v>0</v>
      </c>
      <c r="CN4" s="72">
        <v>0</v>
      </c>
      <c r="CO4" s="72">
        <v>0</v>
      </c>
      <c r="CP4" s="72">
        <v>0</v>
      </c>
      <c r="CQ4" s="72">
        <v>0</v>
      </c>
      <c r="CR4" s="72">
        <v>0</v>
      </c>
      <c r="CS4" s="72">
        <v>0</v>
      </c>
    </row>
    <row r="5" spans="1:97" x14ac:dyDescent="0.25">
      <c r="A5" s="46" t="s">
        <v>67</v>
      </c>
      <c r="B5" s="51">
        <v>0</v>
      </c>
      <c r="C5" s="55">
        <v>0</v>
      </c>
      <c r="D5" s="55">
        <v>0</v>
      </c>
      <c r="E5" s="55">
        <v>0</v>
      </c>
      <c r="F5" s="55">
        <v>0</v>
      </c>
      <c r="G5" s="57">
        <v>0</v>
      </c>
      <c r="H5" s="57">
        <v>0.41299999999999998</v>
      </c>
      <c r="I5" s="57">
        <v>0</v>
      </c>
      <c r="J5" s="55">
        <v>0</v>
      </c>
      <c r="K5" s="55">
        <v>0</v>
      </c>
      <c r="L5" s="55">
        <v>0</v>
      </c>
      <c r="M5" s="55">
        <v>0</v>
      </c>
      <c r="N5" s="57">
        <v>0</v>
      </c>
      <c r="O5" s="55">
        <v>0</v>
      </c>
      <c r="P5" s="55">
        <v>0</v>
      </c>
      <c r="Q5" s="57">
        <v>0</v>
      </c>
      <c r="R5" s="57">
        <v>0</v>
      </c>
      <c r="S5" s="57">
        <v>0</v>
      </c>
      <c r="T5" s="57">
        <v>0</v>
      </c>
      <c r="U5" s="67">
        <v>0</v>
      </c>
      <c r="V5" s="67">
        <v>0</v>
      </c>
      <c r="W5" s="67">
        <v>0</v>
      </c>
      <c r="X5" s="67">
        <v>0</v>
      </c>
      <c r="Y5" s="67">
        <f>(20+(char1Refine-1)*5)%</f>
        <v>0.4</v>
      </c>
      <c r="Z5" s="67">
        <v>0</v>
      </c>
      <c r="AA5" s="67">
        <v>0</v>
      </c>
      <c r="AB5" s="67">
        <v>0</v>
      </c>
      <c r="AC5" s="67">
        <v>0</v>
      </c>
      <c r="AD5" s="67">
        <v>0</v>
      </c>
      <c r="AE5" s="67">
        <v>0</v>
      </c>
      <c r="AF5" s="67">
        <v>0</v>
      </c>
      <c r="AG5" s="67">
        <v>0</v>
      </c>
      <c r="AH5" s="67">
        <v>0</v>
      </c>
      <c r="AI5" s="67">
        <v>0</v>
      </c>
      <c r="AJ5" s="67">
        <v>0</v>
      </c>
      <c r="AK5" s="67">
        <v>0.46899999999999997</v>
      </c>
      <c r="AL5" s="68">
        <f>0.2+(char1Refine-1)*0.05</f>
        <v>0.4</v>
      </c>
      <c r="AM5" s="68">
        <v>0</v>
      </c>
      <c r="AN5" s="68">
        <v>0</v>
      </c>
      <c r="AO5" s="68">
        <v>0</v>
      </c>
      <c r="AP5" s="68">
        <v>0</v>
      </c>
      <c r="AQ5" s="68">
        <v>0</v>
      </c>
      <c r="AR5" s="68">
        <v>0</v>
      </c>
      <c r="AS5" s="68">
        <v>0</v>
      </c>
      <c r="AT5" s="68">
        <v>0</v>
      </c>
      <c r="AU5" s="68">
        <v>0</v>
      </c>
      <c r="AV5" s="68">
        <v>0</v>
      </c>
      <c r="AW5" s="68">
        <v>0</v>
      </c>
      <c r="AX5" s="68">
        <v>0</v>
      </c>
      <c r="AY5" s="68">
        <v>0</v>
      </c>
      <c r="AZ5" s="68">
        <v>0</v>
      </c>
      <c r="BA5" s="68">
        <v>0</v>
      </c>
      <c r="BB5" s="68">
        <v>0</v>
      </c>
      <c r="BC5" s="68">
        <v>0</v>
      </c>
      <c r="BD5" s="68">
        <v>0</v>
      </c>
      <c r="BE5" s="68">
        <v>0</v>
      </c>
      <c r="BF5" s="68">
        <v>0</v>
      </c>
      <c r="BG5" s="68">
        <v>0</v>
      </c>
      <c r="BH5" s="70">
        <v>0</v>
      </c>
      <c r="BI5" s="70">
        <v>0</v>
      </c>
      <c r="BJ5" s="70">
        <v>0</v>
      </c>
      <c r="BK5" s="70">
        <v>0.496</v>
      </c>
      <c r="BL5" s="70">
        <v>0</v>
      </c>
      <c r="BM5" s="70">
        <v>0</v>
      </c>
      <c r="BN5" s="70">
        <v>0</v>
      </c>
      <c r="BO5" s="70">
        <v>0</v>
      </c>
      <c r="BP5" s="70">
        <v>0</v>
      </c>
      <c r="BQ5" s="70">
        <v>0</v>
      </c>
      <c r="BR5" s="70">
        <v>0</v>
      </c>
      <c r="BS5" s="70">
        <v>0.41299999999999998</v>
      </c>
      <c r="BT5" s="70">
        <v>0</v>
      </c>
      <c r="BU5" s="70">
        <v>0</v>
      </c>
      <c r="BV5" s="70">
        <v>0</v>
      </c>
      <c r="BW5" s="70">
        <v>0</v>
      </c>
      <c r="BX5" s="70">
        <v>0</v>
      </c>
      <c r="BY5" s="70">
        <v>0</v>
      </c>
      <c r="BZ5" s="70">
        <v>0.35199999999999998</v>
      </c>
      <c r="CA5" s="72">
        <v>0</v>
      </c>
      <c r="CB5" s="72">
        <v>0</v>
      </c>
      <c r="CC5" s="72">
        <v>0</v>
      </c>
      <c r="CD5" s="72">
        <v>0</v>
      </c>
      <c r="CE5" s="72">
        <v>0</v>
      </c>
      <c r="CF5" s="72">
        <v>0</v>
      </c>
      <c r="CG5" s="72">
        <v>0</v>
      </c>
      <c r="CH5" s="72">
        <v>0</v>
      </c>
      <c r="CI5" s="72">
        <v>0</v>
      </c>
      <c r="CJ5" s="72">
        <v>0</v>
      </c>
      <c r="CK5" s="72">
        <v>0</v>
      </c>
      <c r="CL5" s="72">
        <v>0</v>
      </c>
      <c r="CM5" s="72">
        <v>0</v>
      </c>
      <c r="CN5" s="72">
        <v>0</v>
      </c>
      <c r="CO5" s="72">
        <v>0</v>
      </c>
      <c r="CP5" s="72">
        <v>0</v>
      </c>
      <c r="CQ5" s="72">
        <v>0</v>
      </c>
      <c r="CR5" s="72">
        <v>0</v>
      </c>
      <c r="CS5" s="72">
        <v>0</v>
      </c>
    </row>
    <row r="6" spans="1:97" x14ac:dyDescent="0.25">
      <c r="A6" t="s">
        <v>413</v>
      </c>
      <c r="B6" s="51">
        <v>0</v>
      </c>
      <c r="C6" s="55">
        <v>0</v>
      </c>
      <c r="D6" s="55">
        <v>0</v>
      </c>
      <c r="E6" s="55">
        <v>0</v>
      </c>
      <c r="F6" s="55">
        <v>0</v>
      </c>
      <c r="G6" s="57">
        <v>0.27600000000000002</v>
      </c>
      <c r="H6" s="57">
        <v>0</v>
      </c>
      <c r="I6" s="57">
        <f>(char1WeapStacks*(8%+(char1Refine-1)*2%))</f>
        <v>0</v>
      </c>
      <c r="J6" s="55">
        <v>0</v>
      </c>
      <c r="K6" s="55">
        <v>0</v>
      </c>
      <c r="L6" s="55">
        <v>0</v>
      </c>
      <c r="M6" s="55">
        <v>0</v>
      </c>
      <c r="N6" s="57">
        <f>char1WeapStacks*(3+(char1Refine-1))%</f>
        <v>0</v>
      </c>
      <c r="O6" s="55">
        <v>0</v>
      </c>
      <c r="P6" s="55">
        <v>0</v>
      </c>
      <c r="Q6" s="57">
        <v>0</v>
      </c>
      <c r="R6" s="57">
        <v>0</v>
      </c>
      <c r="S6" s="57">
        <v>0</v>
      </c>
      <c r="T6" s="57">
        <v>0</v>
      </c>
      <c r="U6" s="67">
        <f>(8+(char1Refine-1)*2)%</f>
        <v>0.16</v>
      </c>
      <c r="V6" s="67">
        <v>0</v>
      </c>
      <c r="W6" s="67">
        <v>0.221</v>
      </c>
      <c r="X6" s="67">
        <v>0</v>
      </c>
      <c r="Y6" s="67">
        <v>0</v>
      </c>
      <c r="Z6" s="67">
        <v>0</v>
      </c>
      <c r="AA6" s="67">
        <v>0</v>
      </c>
      <c r="AB6" s="67">
        <v>0</v>
      </c>
      <c r="AC6" s="67">
        <v>0</v>
      </c>
      <c r="AD6" s="67">
        <v>0</v>
      </c>
      <c r="AE6" s="67">
        <f>(3+(char1Refine-1)*1)*char1WeapStacks%</f>
        <v>0</v>
      </c>
      <c r="AF6" s="67">
        <v>0</v>
      </c>
      <c r="AG6" s="67">
        <v>0.36799999999999999</v>
      </c>
      <c r="AH6" s="67">
        <v>0</v>
      </c>
      <c r="AI6" s="67">
        <v>0</v>
      </c>
      <c r="AJ6" s="67">
        <v>0.23400000000000001</v>
      </c>
      <c r="AK6" s="67">
        <v>0</v>
      </c>
      <c r="AL6" s="68">
        <v>0.441</v>
      </c>
      <c r="AM6" s="68">
        <v>0</v>
      </c>
      <c r="AN6" s="68">
        <v>0</v>
      </c>
      <c r="AO6" s="68">
        <v>0</v>
      </c>
      <c r="AP6" s="68">
        <f>(4+(char1Refine-1))%</f>
        <v>0.08</v>
      </c>
      <c r="AQ6" s="68">
        <v>0</v>
      </c>
      <c r="AR6" s="68">
        <v>0</v>
      </c>
      <c r="AS6" s="68">
        <v>0</v>
      </c>
      <c r="AT6" s="68">
        <v>0.27600000000000002</v>
      </c>
      <c r="AU6" s="68">
        <v>0</v>
      </c>
      <c r="AV6" s="68">
        <v>0</v>
      </c>
      <c r="AW6" s="68">
        <f>(char1WeapStacks*(8+(char1Refine-1)*2))%</f>
        <v>0</v>
      </c>
      <c r="AX6" s="68">
        <v>0</v>
      </c>
      <c r="AY6" s="68">
        <v>0</v>
      </c>
      <c r="AZ6" s="68">
        <v>0</v>
      </c>
      <c r="BA6" s="68">
        <v>0</v>
      </c>
      <c r="BB6" s="68">
        <v>0</v>
      </c>
      <c r="BC6" s="68">
        <v>0</v>
      </c>
      <c r="BD6" s="68">
        <v>0</v>
      </c>
      <c r="BE6" s="68">
        <v>0</v>
      </c>
      <c r="BF6" s="68">
        <v>0</v>
      </c>
      <c r="BG6" s="68">
        <f>IF(char1WeapToggle,14+(char1Refine-1)*3.5,0)%</f>
        <v>0.28000000000000003</v>
      </c>
      <c r="BH6" s="70">
        <v>0</v>
      </c>
      <c r="BI6" s="70">
        <v>0</v>
      </c>
      <c r="BJ6" s="70">
        <v>0.33100000000000002</v>
      </c>
      <c r="BK6" s="70">
        <v>0</v>
      </c>
      <c r="BL6" s="70">
        <v>0</v>
      </c>
      <c r="BM6" s="70">
        <v>0</v>
      </c>
      <c r="BN6" s="70">
        <v>0</v>
      </c>
      <c r="BO6" s="70">
        <v>0</v>
      </c>
      <c r="BP6" s="70">
        <v>0.27600000000000002</v>
      </c>
      <c r="BQ6" s="70">
        <v>0</v>
      </c>
      <c r="BR6" s="70">
        <f>char1WeapStacks*(8+(char1Refine-1)*2)%</f>
        <v>0</v>
      </c>
      <c r="BS6" s="70">
        <v>0</v>
      </c>
      <c r="BT6" s="70">
        <v>0</v>
      </c>
      <c r="BU6" s="70">
        <v>0</v>
      </c>
      <c r="BV6" s="70">
        <v>0</v>
      </c>
      <c r="BW6" s="70">
        <v>0</v>
      </c>
      <c r="BX6" s="70">
        <v>0</v>
      </c>
      <c r="BY6" s="70">
        <v>0</v>
      </c>
      <c r="BZ6" s="70">
        <v>0</v>
      </c>
      <c r="CA6" s="72">
        <v>0</v>
      </c>
      <c r="CB6" s="72">
        <v>0.33100000000000002</v>
      </c>
      <c r="CC6" s="74">
        <v>0.221</v>
      </c>
      <c r="CD6" s="72">
        <v>0</v>
      </c>
      <c r="CE6" s="72">
        <v>0</v>
      </c>
      <c r="CF6" s="72">
        <v>0.27600000000000002</v>
      </c>
      <c r="CG6" s="72">
        <v>0</v>
      </c>
      <c r="CH6" s="72">
        <v>0</v>
      </c>
      <c r="CI6" s="72">
        <v>0</v>
      </c>
      <c r="CJ6" s="72">
        <v>0</v>
      </c>
      <c r="CK6" s="72">
        <v>0</v>
      </c>
      <c r="CL6" s="72">
        <v>0</v>
      </c>
      <c r="CM6" s="72">
        <v>0</v>
      </c>
      <c r="CN6" s="72">
        <v>0</v>
      </c>
      <c r="CO6" s="72">
        <v>0</v>
      </c>
      <c r="CP6" s="72">
        <f>char1WeapStacks*(8+(char1Refine-1)*2)%</f>
        <v>0</v>
      </c>
      <c r="CQ6" s="72">
        <v>0</v>
      </c>
      <c r="CR6" s="72">
        <v>0.312</v>
      </c>
      <c r="CS6" s="72">
        <v>0</v>
      </c>
    </row>
    <row r="7" spans="1:97" x14ac:dyDescent="0.25">
      <c r="A7" t="s">
        <v>414</v>
      </c>
      <c r="B7" s="51">
        <v>0</v>
      </c>
      <c r="C7" s="55">
        <v>0</v>
      </c>
      <c r="D7" s="55">
        <v>0.66200000000000003</v>
      </c>
      <c r="E7" s="55">
        <v>0</v>
      </c>
      <c r="F7" s="55">
        <v>0</v>
      </c>
      <c r="G7" s="57">
        <v>0</v>
      </c>
      <c r="H7" s="57">
        <v>0</v>
      </c>
      <c r="I7" s="57">
        <v>0</v>
      </c>
      <c r="J7" s="55">
        <v>0</v>
      </c>
      <c r="K7" s="55">
        <v>0</v>
      </c>
      <c r="L7" s="55">
        <v>0</v>
      </c>
      <c r="M7" s="55">
        <v>0</v>
      </c>
      <c r="N7" s="57">
        <v>0</v>
      </c>
      <c r="O7" s="55">
        <v>0</v>
      </c>
      <c r="P7" s="55">
        <v>0</v>
      </c>
      <c r="Q7" s="57">
        <v>0</v>
      </c>
      <c r="R7" s="57">
        <v>0</v>
      </c>
      <c r="S7" s="57">
        <v>0</v>
      </c>
      <c r="T7" s="57">
        <v>0.55100000000000005</v>
      </c>
      <c r="U7" s="67">
        <v>0</v>
      </c>
      <c r="V7" s="67">
        <v>0</v>
      </c>
      <c r="W7" s="67">
        <v>0</v>
      </c>
      <c r="X7" s="67">
        <v>0</v>
      </c>
      <c r="Y7" s="67">
        <v>0.66200000000000003</v>
      </c>
      <c r="Z7" s="67">
        <v>0</v>
      </c>
      <c r="AA7" s="67">
        <v>0</v>
      </c>
      <c r="AB7" s="67">
        <v>0</v>
      </c>
      <c r="AC7" s="67">
        <v>0</v>
      </c>
      <c r="AD7" s="67">
        <v>0</v>
      </c>
      <c r="AE7" s="67">
        <v>0</v>
      </c>
      <c r="AF7" s="67">
        <v>0</v>
      </c>
      <c r="AG7" s="67">
        <v>0</v>
      </c>
      <c r="AH7" s="67">
        <v>0</v>
      </c>
      <c r="AI7" s="67">
        <v>0.55100000000000005</v>
      </c>
      <c r="AJ7" s="67">
        <v>0</v>
      </c>
      <c r="AK7" s="67">
        <v>0</v>
      </c>
      <c r="AL7" s="68">
        <v>0</v>
      </c>
      <c r="AM7" s="68">
        <v>0</v>
      </c>
      <c r="AN7" s="68">
        <v>0.441</v>
      </c>
      <c r="AO7" s="68">
        <v>0</v>
      </c>
      <c r="AP7" s="68">
        <v>0</v>
      </c>
      <c r="AQ7" s="68">
        <v>0</v>
      </c>
      <c r="AR7" s="68">
        <v>0</v>
      </c>
      <c r="AS7" s="68">
        <v>0</v>
      </c>
      <c r="AT7" s="68">
        <v>0</v>
      </c>
      <c r="AU7" s="68">
        <v>0</v>
      </c>
      <c r="AV7" s="68">
        <v>0</v>
      </c>
      <c r="AW7" s="68">
        <v>0</v>
      </c>
      <c r="AX7" s="68">
        <v>0</v>
      </c>
      <c r="AY7" s="68">
        <v>0</v>
      </c>
      <c r="AZ7" s="68">
        <v>0</v>
      </c>
      <c r="BA7" s="68">
        <v>0</v>
      </c>
      <c r="BB7" s="68">
        <v>0.36799999999999999</v>
      </c>
      <c r="BC7" s="68">
        <v>0</v>
      </c>
      <c r="BD7" s="68">
        <v>0</v>
      </c>
      <c r="BE7" s="68">
        <v>0</v>
      </c>
      <c r="BF7" s="68">
        <v>0</v>
      </c>
      <c r="BG7" s="68">
        <v>0.46899999999999997</v>
      </c>
      <c r="BH7" s="70">
        <v>0</v>
      </c>
      <c r="BI7" s="70">
        <v>0</v>
      </c>
      <c r="BJ7" s="70">
        <v>0</v>
      </c>
      <c r="BK7" s="70">
        <v>0</v>
      </c>
      <c r="BL7" s="70">
        <v>0</v>
      </c>
      <c r="BM7" s="70">
        <v>0</v>
      </c>
      <c r="BN7" s="70">
        <v>0</v>
      </c>
      <c r="BO7" s="70">
        <v>0.55100000000000005</v>
      </c>
      <c r="BP7" s="70">
        <v>0</v>
      </c>
      <c r="BQ7" s="70">
        <v>0</v>
      </c>
      <c r="BR7" s="70">
        <v>0</v>
      </c>
      <c r="BS7" s="70">
        <v>0</v>
      </c>
      <c r="BT7" s="70">
        <v>0</v>
      </c>
      <c r="BU7" s="70">
        <v>0</v>
      </c>
      <c r="BV7" s="70">
        <v>0</v>
      </c>
      <c r="BW7" s="70">
        <v>0</v>
      </c>
      <c r="BX7" s="70">
        <v>0.55100000000000005</v>
      </c>
      <c r="BY7" s="70">
        <v>0</v>
      </c>
      <c r="BZ7" s="70">
        <v>0</v>
      </c>
      <c r="CA7" s="72">
        <v>0</v>
      </c>
      <c r="CB7" s="72">
        <v>0</v>
      </c>
      <c r="CC7" s="72">
        <f>(20+(char1Refine-1)*5)%</f>
        <v>0.4</v>
      </c>
      <c r="CD7" s="72">
        <v>0</v>
      </c>
      <c r="CE7" s="72">
        <v>0</v>
      </c>
      <c r="CF7" s="72">
        <v>0</v>
      </c>
      <c r="CG7" s="72">
        <v>0</v>
      </c>
      <c r="CH7" s="72">
        <v>0.36799999999999999</v>
      </c>
      <c r="CI7" s="72">
        <v>0</v>
      </c>
      <c r="CJ7" s="72">
        <v>0</v>
      </c>
      <c r="CK7" s="72">
        <v>0</v>
      </c>
      <c r="CL7" s="72">
        <v>0</v>
      </c>
      <c r="CM7" s="72">
        <v>0</v>
      </c>
      <c r="CN7" s="72">
        <v>0</v>
      </c>
      <c r="CO7" s="72">
        <v>0</v>
      </c>
      <c r="CP7" s="72">
        <v>0</v>
      </c>
      <c r="CQ7" s="72">
        <v>0</v>
      </c>
      <c r="CR7" s="72">
        <v>0</v>
      </c>
      <c r="CS7" s="72">
        <v>0.66200000000000003</v>
      </c>
    </row>
    <row r="8" spans="1:97" x14ac:dyDescent="0.25">
      <c r="A8" t="s">
        <v>68</v>
      </c>
      <c r="B8" s="51">
        <v>0.36799999999999999</v>
      </c>
      <c r="C8" s="55">
        <v>0</v>
      </c>
      <c r="D8" s="55">
        <v>0</v>
      </c>
      <c r="E8" s="55">
        <v>0</v>
      </c>
      <c r="F8" s="55">
        <v>0</v>
      </c>
      <c r="G8" s="57">
        <v>0</v>
      </c>
      <c r="H8" s="57">
        <v>0</v>
      </c>
      <c r="I8" s="57">
        <v>0</v>
      </c>
      <c r="J8" s="55">
        <v>0</v>
      </c>
      <c r="K8" s="57">
        <v>0.61299999999999999</v>
      </c>
      <c r="L8" s="57">
        <v>0</v>
      </c>
      <c r="M8" s="57">
        <v>0</v>
      </c>
      <c r="N8" s="57">
        <v>0</v>
      </c>
      <c r="O8" s="55">
        <v>0</v>
      </c>
      <c r="P8" s="55">
        <v>0</v>
      </c>
      <c r="Q8" s="55">
        <v>0.45900000000000002</v>
      </c>
      <c r="R8" s="55">
        <v>0.30599999999999999</v>
      </c>
      <c r="S8" s="57">
        <v>0</v>
      </c>
      <c r="T8" s="55">
        <v>0</v>
      </c>
      <c r="U8" s="67">
        <v>0.36799999999999999</v>
      </c>
      <c r="V8" s="67">
        <f>55.1%+IF(char1WeapToggle, 30+(char1Refine-1)*5,0)%</f>
        <v>1.0510000000000002</v>
      </c>
      <c r="W8" s="67">
        <v>0</v>
      </c>
      <c r="X8" s="67">
        <v>0</v>
      </c>
      <c r="Y8" s="67">
        <v>0</v>
      </c>
      <c r="Z8" s="67">
        <v>0.45900000000000002</v>
      </c>
      <c r="AA8" s="67">
        <v>0</v>
      </c>
      <c r="AB8" s="67">
        <v>0</v>
      </c>
      <c r="AC8" s="67">
        <v>0.30599999999999999</v>
      </c>
      <c r="AD8" s="67">
        <v>0.45900000000000002</v>
      </c>
      <c r="AE8" s="67">
        <v>0</v>
      </c>
      <c r="AF8" s="67">
        <v>0</v>
      </c>
      <c r="AG8" s="67">
        <v>0</v>
      </c>
      <c r="AH8" s="67">
        <v>0</v>
      </c>
      <c r="AI8" s="67">
        <v>0</v>
      </c>
      <c r="AJ8" s="67">
        <v>0</v>
      </c>
      <c r="AK8" s="67">
        <v>0</v>
      </c>
      <c r="AL8" s="68">
        <v>0</v>
      </c>
      <c r="AM8" s="68">
        <v>0</v>
      </c>
      <c r="AN8" s="68">
        <v>0</v>
      </c>
      <c r="AO8" s="68">
        <v>0</v>
      </c>
      <c r="AP8" s="68">
        <v>0.55100000000000005</v>
      </c>
      <c r="AQ8" s="68">
        <v>0</v>
      </c>
      <c r="AR8" s="68">
        <v>0.45900000000000002</v>
      </c>
      <c r="AS8" s="68">
        <v>0</v>
      </c>
      <c r="AT8" s="68">
        <v>0</v>
      </c>
      <c r="AU8" s="68">
        <v>0</v>
      </c>
      <c r="AV8" s="68">
        <v>0.61299999999999999</v>
      </c>
      <c r="AW8" s="68">
        <v>0</v>
      </c>
      <c r="AX8" s="68">
        <v>0</v>
      </c>
      <c r="AY8" s="68">
        <v>0</v>
      </c>
      <c r="AZ8" s="68">
        <v>0</v>
      </c>
      <c r="BA8" s="68">
        <v>0.61299999999999999</v>
      </c>
      <c r="BB8" s="68">
        <v>0</v>
      </c>
      <c r="BC8" s="68">
        <v>0</v>
      </c>
      <c r="BD8" s="68">
        <v>0</v>
      </c>
      <c r="BE8" s="68">
        <v>0.51700000000000002</v>
      </c>
      <c r="BF8" s="68">
        <v>0</v>
      </c>
      <c r="BG8" s="68">
        <v>0</v>
      </c>
      <c r="BH8" s="70">
        <v>0</v>
      </c>
      <c r="BI8" s="70">
        <v>0</v>
      </c>
      <c r="BJ8" s="70">
        <v>0</v>
      </c>
      <c r="BK8" s="70">
        <v>0</v>
      </c>
      <c r="BL8" s="70">
        <v>0</v>
      </c>
      <c r="BM8" s="70">
        <v>0</v>
      </c>
      <c r="BN8" s="70">
        <v>0.30599999999999999</v>
      </c>
      <c r="BO8" s="70">
        <v>0</v>
      </c>
      <c r="BP8" s="70">
        <v>0</v>
      </c>
      <c r="BQ8" s="70">
        <v>0</v>
      </c>
      <c r="BR8" s="70">
        <v>0</v>
      </c>
      <c r="BS8" s="70">
        <v>0</v>
      </c>
      <c r="BT8" s="70">
        <v>0</v>
      </c>
      <c r="BU8" s="70">
        <v>0.45900000000000002</v>
      </c>
      <c r="BV8" s="70">
        <v>0</v>
      </c>
      <c r="BW8" s="70">
        <v>0</v>
      </c>
      <c r="BX8" s="70">
        <v>0</v>
      </c>
      <c r="BY8" s="70">
        <v>0.30599999999999999</v>
      </c>
      <c r="BZ8" s="70">
        <v>0</v>
      </c>
      <c r="CA8" s="74">
        <v>0.55100000000000005</v>
      </c>
      <c r="CB8" s="74">
        <v>0</v>
      </c>
      <c r="CC8" s="72">
        <v>0</v>
      </c>
      <c r="CD8" s="72">
        <v>0</v>
      </c>
      <c r="CE8" s="72">
        <v>0</v>
      </c>
      <c r="CF8" s="72">
        <v>0</v>
      </c>
      <c r="CG8" s="72">
        <v>0</v>
      </c>
      <c r="CH8" s="72">
        <v>0</v>
      </c>
      <c r="CI8" s="72">
        <v>0</v>
      </c>
      <c r="CJ8" s="72">
        <v>0.61299999999999999</v>
      </c>
      <c r="CK8" s="72">
        <v>0</v>
      </c>
      <c r="CL8" s="72">
        <v>0</v>
      </c>
      <c r="CM8" s="72">
        <v>0.30599999999999999</v>
      </c>
      <c r="CN8" s="72">
        <v>0</v>
      </c>
      <c r="CO8" s="72">
        <v>0</v>
      </c>
      <c r="CP8" s="72">
        <v>0</v>
      </c>
      <c r="CQ8" s="72">
        <v>0</v>
      </c>
      <c r="CR8" s="72">
        <v>0</v>
      </c>
      <c r="CS8" s="72">
        <v>0</v>
      </c>
    </row>
    <row r="9" spans="1:97" x14ac:dyDescent="0.25">
      <c r="A9" t="s">
        <v>70</v>
      </c>
      <c r="B9" s="51">
        <v>0</v>
      </c>
      <c r="C9" s="55">
        <v>0</v>
      </c>
      <c r="D9" s="55">
        <v>0</v>
      </c>
      <c r="E9" s="55">
        <v>0</v>
      </c>
      <c r="F9" s="55">
        <v>0.20699999999999999</v>
      </c>
      <c r="G9" s="57">
        <v>0</v>
      </c>
      <c r="H9" s="57">
        <v>0</v>
      </c>
      <c r="I9" s="57">
        <v>0</v>
      </c>
      <c r="J9" s="55">
        <v>0</v>
      </c>
      <c r="K9" s="55">
        <v>0</v>
      </c>
      <c r="L9" s="55">
        <v>0.34499999999999997</v>
      </c>
      <c r="M9" s="55">
        <v>0</v>
      </c>
      <c r="N9" s="57">
        <v>0</v>
      </c>
      <c r="O9" s="55">
        <v>0</v>
      </c>
      <c r="P9" s="55">
        <v>0</v>
      </c>
      <c r="Q9" s="55">
        <v>0</v>
      </c>
      <c r="R9" s="55">
        <v>0</v>
      </c>
      <c r="S9" s="57">
        <v>0</v>
      </c>
      <c r="T9" s="55">
        <v>0</v>
      </c>
      <c r="U9" s="67">
        <v>0</v>
      </c>
      <c r="V9" s="67">
        <v>0</v>
      </c>
      <c r="W9" s="67">
        <v>0</v>
      </c>
      <c r="X9" s="67">
        <v>0</v>
      </c>
      <c r="Y9" s="67">
        <v>0</v>
      </c>
      <c r="Z9" s="67">
        <v>0</v>
      </c>
      <c r="AA9" s="67">
        <v>0</v>
      </c>
      <c r="AB9" s="67">
        <v>0.69</v>
      </c>
      <c r="AC9" s="67">
        <v>0</v>
      </c>
      <c r="AD9" s="67">
        <v>0</v>
      </c>
      <c r="AE9" s="67">
        <v>0</v>
      </c>
      <c r="AF9" s="67">
        <v>0</v>
      </c>
      <c r="AG9" s="67">
        <v>0</v>
      </c>
      <c r="AH9" s="67">
        <v>0.34499999999999997</v>
      </c>
      <c r="AI9" s="67">
        <v>0</v>
      </c>
      <c r="AJ9" s="67">
        <v>0</v>
      </c>
      <c r="AK9" s="67">
        <v>0</v>
      </c>
      <c r="AL9" s="68">
        <v>0</v>
      </c>
      <c r="AM9" s="68">
        <v>0</v>
      </c>
      <c r="AN9" s="68">
        <v>0</v>
      </c>
      <c r="AO9" s="68">
        <v>0</v>
      </c>
      <c r="AP9" s="68">
        <v>0</v>
      </c>
      <c r="AQ9" s="68">
        <v>0.41299999999999998</v>
      </c>
      <c r="AR9" s="68">
        <v>0</v>
      </c>
      <c r="AS9" s="68">
        <v>0</v>
      </c>
      <c r="AT9" s="68">
        <v>0</v>
      </c>
      <c r="AU9" s="68">
        <v>0</v>
      </c>
      <c r="AV9" s="68">
        <v>0</v>
      </c>
      <c r="AW9" s="68">
        <v>0</v>
      </c>
      <c r="AX9" s="68">
        <v>0.34499999999999997</v>
      </c>
      <c r="AY9" s="68">
        <v>0</v>
      </c>
      <c r="AZ9" s="68">
        <v>0</v>
      </c>
      <c r="BA9" s="68">
        <v>0</v>
      </c>
      <c r="BB9" s="68">
        <v>0</v>
      </c>
      <c r="BC9" s="68">
        <v>0</v>
      </c>
      <c r="BD9" s="68">
        <v>0</v>
      </c>
      <c r="BE9" s="68">
        <v>0</v>
      </c>
      <c r="BF9" s="68">
        <v>0</v>
      </c>
      <c r="BG9" s="68">
        <v>0</v>
      </c>
      <c r="BH9" s="70">
        <v>0</v>
      </c>
      <c r="BI9" s="70">
        <v>0</v>
      </c>
      <c r="BJ9" s="70">
        <v>0</v>
      </c>
      <c r="BK9" s="70">
        <v>0</v>
      </c>
      <c r="BL9" s="70">
        <v>0</v>
      </c>
      <c r="BM9" s="70">
        <v>0</v>
      </c>
      <c r="BN9" s="70">
        <v>0</v>
      </c>
      <c r="BO9" s="70">
        <v>0</v>
      </c>
      <c r="BP9" s="70">
        <v>0</v>
      </c>
      <c r="BQ9" s="70">
        <v>0</v>
      </c>
      <c r="BR9" s="70">
        <v>0</v>
      </c>
      <c r="BS9" s="70">
        <v>0</v>
      </c>
      <c r="BT9" s="70">
        <v>0</v>
      </c>
      <c r="BU9" s="70">
        <v>0</v>
      </c>
      <c r="BV9" s="70">
        <v>0</v>
      </c>
      <c r="BW9" s="70">
        <v>0</v>
      </c>
      <c r="BX9" s="70">
        <v>0</v>
      </c>
      <c r="BY9" s="70">
        <v>0</v>
      </c>
      <c r="BZ9" s="70">
        <v>0</v>
      </c>
      <c r="CA9" s="72">
        <v>0</v>
      </c>
      <c r="CB9" s="72">
        <v>0</v>
      </c>
      <c r="CC9" s="72">
        <v>0</v>
      </c>
      <c r="CD9" s="72">
        <v>0</v>
      </c>
      <c r="CE9" s="72">
        <v>0</v>
      </c>
      <c r="CF9" s="72">
        <v>0</v>
      </c>
      <c r="CG9" s="72">
        <v>0.69</v>
      </c>
      <c r="CH9" s="72">
        <v>0</v>
      </c>
      <c r="CI9" s="72">
        <v>0</v>
      </c>
      <c r="CJ9" s="72">
        <v>0</v>
      </c>
      <c r="CK9" s="72">
        <v>0</v>
      </c>
      <c r="CL9" s="72">
        <v>0</v>
      </c>
      <c r="CM9" s="72">
        <v>0</v>
      </c>
      <c r="CN9" s="72">
        <v>0</v>
      </c>
      <c r="CO9" s="72">
        <v>0</v>
      </c>
      <c r="CP9" s="72">
        <v>0</v>
      </c>
      <c r="CQ9" s="72">
        <v>0.51700000000000002</v>
      </c>
      <c r="CR9" s="72">
        <v>0</v>
      </c>
      <c r="CS9" s="72">
        <v>0</v>
      </c>
    </row>
    <row r="10" spans="1:97" x14ac:dyDescent="0.25">
      <c r="A10" s="46" t="s">
        <v>71</v>
      </c>
      <c r="B10" s="51">
        <v>0</v>
      </c>
      <c r="C10" s="55">
        <v>0</v>
      </c>
      <c r="D10" s="55">
        <v>0</v>
      </c>
      <c r="E10" s="55">
        <v>0</v>
      </c>
      <c r="F10" s="55">
        <v>0</v>
      </c>
      <c r="G10" s="57">
        <v>0</v>
      </c>
      <c r="H10" s="57">
        <v>0</v>
      </c>
      <c r="I10" s="57">
        <v>0</v>
      </c>
      <c r="J10" s="55">
        <v>0</v>
      </c>
      <c r="K10" s="55">
        <v>0</v>
      </c>
      <c r="L10" s="55">
        <v>0</v>
      </c>
      <c r="M10" s="55">
        <v>0</v>
      </c>
      <c r="N10" s="57">
        <v>0</v>
      </c>
      <c r="O10" s="55">
        <v>0</v>
      </c>
      <c r="P10" s="55">
        <v>0</v>
      </c>
      <c r="Q10" s="55">
        <v>0</v>
      </c>
      <c r="R10" s="55">
        <v>0</v>
      </c>
      <c r="S10" s="57">
        <v>0</v>
      </c>
      <c r="T10" s="55">
        <v>0</v>
      </c>
      <c r="U10" s="67">
        <v>0</v>
      </c>
      <c r="V10" s="67">
        <v>0</v>
      </c>
      <c r="W10" s="67">
        <v>0</v>
      </c>
      <c r="X10" s="67">
        <v>0</v>
      </c>
      <c r="Y10" s="67">
        <v>0</v>
      </c>
      <c r="Z10" s="67">
        <v>0</v>
      </c>
      <c r="AA10" s="67">
        <v>0</v>
      </c>
      <c r="AB10" s="67">
        <v>0</v>
      </c>
      <c r="AC10" s="67">
        <v>0</v>
      </c>
      <c r="AD10" s="67">
        <v>0</v>
      </c>
      <c r="AE10" s="67">
        <v>0</v>
      </c>
      <c r="AF10" s="67">
        <v>0</v>
      </c>
      <c r="AG10" s="67">
        <v>0</v>
      </c>
      <c r="AH10" s="67">
        <v>0</v>
      </c>
      <c r="AI10" s="67">
        <v>0</v>
      </c>
      <c r="AJ10" s="67">
        <v>0</v>
      </c>
      <c r="AK10" s="67">
        <v>0</v>
      </c>
      <c r="AL10" s="68">
        <v>0</v>
      </c>
      <c r="AM10" s="68">
        <v>0</v>
      </c>
      <c r="AN10" s="172">
        <f>(IF('Data Val'!$K$4 = weaponsDB!A76,IF(char1WeapStacks=1, (8+(char1Refine-1)*2)%, IF(char1WeapStacks=2, (16+(char1Refine-1)*4)%, IF(char1WeapStacks=3, (28+(char1Refine-1)*7)%, 0)))))+(12+(char1Refine-1)*3)%</f>
        <v>0.24</v>
      </c>
      <c r="AO10" s="68">
        <v>0</v>
      </c>
      <c r="AP10" s="68">
        <v>0</v>
      </c>
      <c r="AQ10" s="68">
        <v>0</v>
      </c>
      <c r="AR10" s="68">
        <v>0</v>
      </c>
      <c r="AS10" s="68">
        <v>0</v>
      </c>
      <c r="AT10" s="68">
        <v>0</v>
      </c>
      <c r="AU10" s="68">
        <v>0</v>
      </c>
      <c r="AV10" s="68">
        <v>0</v>
      </c>
      <c r="AW10" s="68">
        <v>0</v>
      </c>
      <c r="AX10" s="68">
        <v>0</v>
      </c>
      <c r="AY10" s="68">
        <v>0</v>
      </c>
      <c r="AZ10" s="68">
        <v>0</v>
      </c>
      <c r="BA10" s="68">
        <v>0</v>
      </c>
      <c r="BB10" s="68">
        <v>0</v>
      </c>
      <c r="BC10" s="68">
        <v>0</v>
      </c>
      <c r="BD10" s="68">
        <v>0</v>
      </c>
      <c r="BE10" s="68">
        <v>0</v>
      </c>
      <c r="BF10" s="68">
        <v>0</v>
      </c>
      <c r="BG10" s="68">
        <v>0</v>
      </c>
      <c r="BH10" s="70">
        <v>0</v>
      </c>
      <c r="BI10" s="70">
        <f t="shared" ref="BI10:BI15" si="0">(12+(char1Refine-1)*3)%</f>
        <v>0.24</v>
      </c>
      <c r="BJ10" s="70">
        <f t="shared" ref="BJ10:BJ15" si="1">(char1WeapStacks*(8+(char1Refine-1)*2))%</f>
        <v>0</v>
      </c>
      <c r="BK10" s="70">
        <v>0</v>
      </c>
      <c r="BL10" s="70">
        <v>0</v>
      </c>
      <c r="BM10" s="70">
        <v>0</v>
      </c>
      <c r="BN10" s="70">
        <v>0</v>
      </c>
      <c r="BO10" s="70">
        <f t="shared" ref="BO10:BO15" si="2">IF(char1WeapToggle, 16+(char1Refine-1)*4,0)%</f>
        <v>0.32</v>
      </c>
      <c r="BP10" s="70">
        <v>0</v>
      </c>
      <c r="BQ10" s="70">
        <v>0</v>
      </c>
      <c r="BR10" s="70">
        <v>0</v>
      </c>
      <c r="BS10" s="70">
        <v>0</v>
      </c>
      <c r="BT10" s="70">
        <f t="shared" ref="BT10:BT15" si="3">char1WeapStacks*(8+(char1Refine-1)*2)%</f>
        <v>0</v>
      </c>
      <c r="BU10" s="70">
        <v>0</v>
      </c>
      <c r="BV10" s="70">
        <v>0</v>
      </c>
      <c r="BW10" s="70">
        <v>0</v>
      </c>
      <c r="BX10" s="70">
        <v>0</v>
      </c>
      <c r="BY10" s="70">
        <v>0</v>
      </c>
      <c r="BZ10" s="70">
        <v>0</v>
      </c>
      <c r="CA10" s="72">
        <v>0</v>
      </c>
      <c r="CB10" s="72">
        <v>0</v>
      </c>
      <c r="CC10" s="72">
        <v>0</v>
      </c>
      <c r="CD10" s="72">
        <v>0</v>
      </c>
      <c r="CE10" s="72">
        <v>0</v>
      </c>
      <c r="CF10" s="72">
        <v>0</v>
      </c>
      <c r="CG10" s="72">
        <v>0</v>
      </c>
      <c r="CH10" s="72">
        <v>0</v>
      </c>
      <c r="CI10" s="72">
        <v>0</v>
      </c>
      <c r="CJ10" s="72">
        <v>0</v>
      </c>
      <c r="CK10" s="72">
        <v>0</v>
      </c>
      <c r="CL10" s="72">
        <v>0</v>
      </c>
      <c r="CM10" s="72">
        <v>0</v>
      </c>
      <c r="CN10" s="72">
        <v>0</v>
      </c>
      <c r="CO10" s="72">
        <v>0</v>
      </c>
      <c r="CP10" s="72">
        <v>0</v>
      </c>
      <c r="CQ10" s="72">
        <v>0</v>
      </c>
      <c r="CR10" s="72">
        <v>0</v>
      </c>
      <c r="CS10" s="72">
        <v>0</v>
      </c>
    </row>
    <row r="11" spans="1:97" x14ac:dyDescent="0.25">
      <c r="A11" t="s">
        <v>72</v>
      </c>
      <c r="B11" s="51">
        <v>0</v>
      </c>
      <c r="C11" s="55">
        <v>0</v>
      </c>
      <c r="D11" s="55">
        <v>0</v>
      </c>
      <c r="E11" s="55">
        <v>0</v>
      </c>
      <c r="F11" s="55">
        <v>0</v>
      </c>
      <c r="G11" s="57">
        <v>0</v>
      </c>
      <c r="H11" s="57">
        <v>0</v>
      </c>
      <c r="I11" s="57">
        <v>0</v>
      </c>
      <c r="J11" s="55">
        <v>0</v>
      </c>
      <c r="K11" s="55">
        <v>0</v>
      </c>
      <c r="L11" s="55">
        <v>0</v>
      </c>
      <c r="M11" s="55">
        <v>0</v>
      </c>
      <c r="N11" s="57">
        <v>0</v>
      </c>
      <c r="O11" s="55">
        <v>0</v>
      </c>
      <c r="P11" s="55">
        <v>0</v>
      </c>
      <c r="Q11" s="55">
        <v>0</v>
      </c>
      <c r="R11" s="55">
        <v>0</v>
      </c>
      <c r="S11" s="57">
        <v>0</v>
      </c>
      <c r="T11" s="55">
        <v>0</v>
      </c>
      <c r="U11" s="67">
        <v>0</v>
      </c>
      <c r="V11" s="67">
        <v>0</v>
      </c>
      <c r="W11" s="67">
        <v>0</v>
      </c>
      <c r="X11" s="67">
        <v>0</v>
      </c>
      <c r="Y11" s="67">
        <v>0</v>
      </c>
      <c r="Z11" s="67">
        <v>0</v>
      </c>
      <c r="AA11" s="67">
        <v>0</v>
      </c>
      <c r="AB11" s="67">
        <v>0</v>
      </c>
      <c r="AC11" s="67">
        <v>0</v>
      </c>
      <c r="AD11" s="67">
        <v>0</v>
      </c>
      <c r="AE11" s="67">
        <v>0</v>
      </c>
      <c r="AF11" s="67">
        <v>0</v>
      </c>
      <c r="AG11" s="67">
        <v>0</v>
      </c>
      <c r="AH11" s="67">
        <v>0</v>
      </c>
      <c r="AI11" s="67">
        <v>0</v>
      </c>
      <c r="AJ11" s="67">
        <v>0</v>
      </c>
      <c r="AK11" s="67">
        <v>0</v>
      </c>
      <c r="AL11" s="68">
        <v>0</v>
      </c>
      <c r="AM11" s="68">
        <v>0</v>
      </c>
      <c r="AN11" s="172">
        <f>(IF('Data Val'!$K$4 = weaponsDB!A77,IF(char1WeapStacks=1, (8+(char1Refine-1)*2)%, IF(char1WeapStacks=2, (16+(char1Refine-1)*4)%, IF(char1WeapStacks=3, (28+(char1Refine-1)*7)%, 0)))))+(12+(char1Refine-1)*3)%</f>
        <v>0.24</v>
      </c>
      <c r="AO11" s="68">
        <v>0</v>
      </c>
      <c r="AP11" s="68">
        <v>0</v>
      </c>
      <c r="AQ11" s="68">
        <v>0</v>
      </c>
      <c r="AR11" s="68">
        <v>0</v>
      </c>
      <c r="AS11" s="68">
        <v>0</v>
      </c>
      <c r="AT11" s="68">
        <v>0</v>
      </c>
      <c r="AU11" s="68">
        <v>0</v>
      </c>
      <c r="AV11" s="68">
        <v>0</v>
      </c>
      <c r="AW11" s="68">
        <v>0</v>
      </c>
      <c r="AX11" s="68">
        <v>0</v>
      </c>
      <c r="AY11" s="68">
        <v>0</v>
      </c>
      <c r="AZ11" s="68">
        <v>0</v>
      </c>
      <c r="BA11" s="68">
        <v>0</v>
      </c>
      <c r="BB11" s="68">
        <v>0</v>
      </c>
      <c r="BC11" s="68">
        <v>0</v>
      </c>
      <c r="BD11" s="68">
        <v>0</v>
      </c>
      <c r="BE11" s="68">
        <v>0</v>
      </c>
      <c r="BF11" s="68">
        <v>0</v>
      </c>
      <c r="BG11" s="68">
        <v>0</v>
      </c>
      <c r="BH11" s="70">
        <v>0</v>
      </c>
      <c r="BI11" s="70">
        <f t="shared" si="0"/>
        <v>0.24</v>
      </c>
      <c r="BJ11" s="70">
        <f t="shared" si="1"/>
        <v>0</v>
      </c>
      <c r="BK11" s="70">
        <v>0</v>
      </c>
      <c r="BL11" s="70">
        <v>0</v>
      </c>
      <c r="BM11" s="70">
        <v>0</v>
      </c>
      <c r="BN11" s="70">
        <v>0</v>
      </c>
      <c r="BO11" s="70">
        <f t="shared" si="2"/>
        <v>0.32</v>
      </c>
      <c r="BP11" s="70">
        <v>0</v>
      </c>
      <c r="BQ11" s="70">
        <v>0</v>
      </c>
      <c r="BR11" s="70">
        <v>0</v>
      </c>
      <c r="BS11" s="70">
        <v>0</v>
      </c>
      <c r="BT11" s="70">
        <f t="shared" si="3"/>
        <v>0</v>
      </c>
      <c r="BU11" s="70">
        <v>0</v>
      </c>
      <c r="BV11" s="70">
        <v>0</v>
      </c>
      <c r="BW11" s="70">
        <v>0</v>
      </c>
      <c r="BX11" s="70">
        <v>0</v>
      </c>
      <c r="BY11" s="70">
        <v>0</v>
      </c>
      <c r="BZ11" s="70">
        <v>0</v>
      </c>
      <c r="CA11" s="72">
        <v>0</v>
      </c>
      <c r="CB11" s="72">
        <v>0</v>
      </c>
      <c r="CC11" s="72">
        <v>0</v>
      </c>
      <c r="CD11" s="72">
        <v>0</v>
      </c>
      <c r="CE11" s="72">
        <v>0</v>
      </c>
      <c r="CF11" s="72">
        <v>0</v>
      </c>
      <c r="CG11" s="72">
        <v>0</v>
      </c>
      <c r="CH11" s="72">
        <v>0</v>
      </c>
      <c r="CI11" s="72">
        <v>0</v>
      </c>
      <c r="CJ11" s="72">
        <v>0</v>
      </c>
      <c r="CK11" s="72">
        <v>0</v>
      </c>
      <c r="CL11" s="72">
        <v>0</v>
      </c>
      <c r="CM11" s="72">
        <v>0</v>
      </c>
      <c r="CN11" s="72">
        <v>0</v>
      </c>
      <c r="CO11" s="72">
        <v>0</v>
      </c>
      <c r="CP11" s="72">
        <v>0</v>
      </c>
      <c r="CQ11" s="72">
        <v>0</v>
      </c>
      <c r="CR11" s="72">
        <v>0</v>
      </c>
      <c r="CS11" s="72">
        <v>0</v>
      </c>
    </row>
    <row r="12" spans="1:97" x14ac:dyDescent="0.25">
      <c r="A12" s="46" t="s">
        <v>73</v>
      </c>
      <c r="B12" s="51">
        <v>0</v>
      </c>
      <c r="C12" s="55">
        <v>0</v>
      </c>
      <c r="D12" s="55">
        <v>0</v>
      </c>
      <c r="E12" s="55">
        <v>0</v>
      </c>
      <c r="F12" s="55">
        <v>0</v>
      </c>
      <c r="G12" s="57">
        <v>0</v>
      </c>
      <c r="H12" s="57">
        <v>0</v>
      </c>
      <c r="I12" s="57">
        <v>0</v>
      </c>
      <c r="J12" s="55">
        <v>0</v>
      </c>
      <c r="K12" s="55">
        <v>0</v>
      </c>
      <c r="L12" s="55">
        <v>0</v>
      </c>
      <c r="M12" s="55">
        <v>0</v>
      </c>
      <c r="N12" s="57">
        <v>0</v>
      </c>
      <c r="O12" s="55">
        <v>0</v>
      </c>
      <c r="P12" s="55">
        <v>0</v>
      </c>
      <c r="Q12" s="55">
        <v>0</v>
      </c>
      <c r="R12" s="55">
        <v>0</v>
      </c>
      <c r="S12" s="57">
        <v>0</v>
      </c>
      <c r="T12" s="55">
        <v>0</v>
      </c>
      <c r="U12" s="67">
        <v>0</v>
      </c>
      <c r="V12" s="67">
        <v>0</v>
      </c>
      <c r="W12" s="67">
        <v>0</v>
      </c>
      <c r="X12" s="67">
        <v>0</v>
      </c>
      <c r="Y12" s="67">
        <v>0</v>
      </c>
      <c r="Z12" s="67">
        <v>0</v>
      </c>
      <c r="AA12" s="67">
        <v>0</v>
      </c>
      <c r="AB12" s="67">
        <v>0</v>
      </c>
      <c r="AC12" s="67">
        <v>0</v>
      </c>
      <c r="AD12" s="67">
        <v>0</v>
      </c>
      <c r="AE12" s="67">
        <v>0</v>
      </c>
      <c r="AF12" s="67">
        <v>0</v>
      </c>
      <c r="AG12" s="67">
        <v>0</v>
      </c>
      <c r="AH12" s="67">
        <v>0</v>
      </c>
      <c r="AI12" s="67">
        <v>0</v>
      </c>
      <c r="AJ12" s="67">
        <v>0</v>
      </c>
      <c r="AK12" s="67">
        <v>0</v>
      </c>
      <c r="AL12" s="68">
        <v>0</v>
      </c>
      <c r="AM12" s="68">
        <v>0</v>
      </c>
      <c r="AN12" s="172">
        <f>(IF('Data Val'!$K$4 = weaponsDB!A78,IF(char1WeapStacks=1, (8+(char1Refine-1)*2)%, IF(char1WeapStacks=2, (16+(char1Refine-1)*4)%, IF(char1WeapStacks=3, (28+(char1Refine-1)*7)%, 0)))))+(12+(char1Refine-1)*3)%</f>
        <v>0.24</v>
      </c>
      <c r="AO12" s="68">
        <v>0</v>
      </c>
      <c r="AP12" s="68">
        <v>0</v>
      </c>
      <c r="AQ12" s="68">
        <v>0</v>
      </c>
      <c r="AR12" s="68">
        <v>0</v>
      </c>
      <c r="AS12" s="68">
        <v>0</v>
      </c>
      <c r="AT12" s="68">
        <v>0</v>
      </c>
      <c r="AU12" s="68">
        <v>0</v>
      </c>
      <c r="AV12" s="68">
        <v>0</v>
      </c>
      <c r="AW12" s="68">
        <v>0</v>
      </c>
      <c r="AX12" s="68">
        <v>0</v>
      </c>
      <c r="AY12" s="68">
        <v>0</v>
      </c>
      <c r="AZ12" s="68">
        <v>0</v>
      </c>
      <c r="BA12" s="68">
        <v>0</v>
      </c>
      <c r="BB12" s="68">
        <v>0</v>
      </c>
      <c r="BC12" s="68">
        <v>0</v>
      </c>
      <c r="BD12" s="68">
        <v>0</v>
      </c>
      <c r="BE12" s="68">
        <v>0</v>
      </c>
      <c r="BF12" s="68">
        <v>0</v>
      </c>
      <c r="BG12" s="68">
        <v>0</v>
      </c>
      <c r="BH12" s="70">
        <v>0</v>
      </c>
      <c r="BI12" s="70">
        <f t="shared" si="0"/>
        <v>0.24</v>
      </c>
      <c r="BJ12" s="70">
        <f t="shared" si="1"/>
        <v>0</v>
      </c>
      <c r="BK12" s="70">
        <v>0</v>
      </c>
      <c r="BL12" s="70">
        <v>0</v>
      </c>
      <c r="BM12" s="70">
        <v>0</v>
      </c>
      <c r="BN12" s="70">
        <v>0</v>
      </c>
      <c r="BO12" s="70">
        <f t="shared" si="2"/>
        <v>0.32</v>
      </c>
      <c r="BP12" s="70">
        <v>0</v>
      </c>
      <c r="BQ12" s="70">
        <v>0</v>
      </c>
      <c r="BR12" s="70">
        <v>0</v>
      </c>
      <c r="BS12" s="70">
        <v>0</v>
      </c>
      <c r="BT12" s="70">
        <f t="shared" si="3"/>
        <v>0</v>
      </c>
      <c r="BU12" s="70">
        <v>0</v>
      </c>
      <c r="BV12" s="70">
        <v>0</v>
      </c>
      <c r="BW12" s="70">
        <v>0</v>
      </c>
      <c r="BX12" s="70">
        <v>0</v>
      </c>
      <c r="BY12" s="70">
        <v>0</v>
      </c>
      <c r="BZ12" s="70">
        <v>0</v>
      </c>
      <c r="CA12" s="72">
        <v>0</v>
      </c>
      <c r="CB12" s="72">
        <v>0</v>
      </c>
      <c r="CC12" s="72">
        <v>0</v>
      </c>
      <c r="CD12" s="72">
        <v>0</v>
      </c>
      <c r="CE12" s="72">
        <v>0</v>
      </c>
      <c r="CF12" s="72">
        <v>0</v>
      </c>
      <c r="CG12" s="72">
        <v>0</v>
      </c>
      <c r="CH12" s="72">
        <v>0</v>
      </c>
      <c r="CI12" s="72">
        <v>0</v>
      </c>
      <c r="CJ12" s="72">
        <v>0</v>
      </c>
      <c r="CK12" s="72">
        <v>0</v>
      </c>
      <c r="CL12" s="72">
        <v>0</v>
      </c>
      <c r="CM12" s="72">
        <v>0</v>
      </c>
      <c r="CN12" s="72">
        <v>0</v>
      </c>
      <c r="CO12" s="72">
        <v>0</v>
      </c>
      <c r="CP12" s="72">
        <v>0</v>
      </c>
      <c r="CQ12" s="72">
        <v>0</v>
      </c>
      <c r="CR12" s="72">
        <v>0</v>
      </c>
      <c r="CS12" s="72">
        <v>0</v>
      </c>
    </row>
    <row r="13" spans="1:97" x14ac:dyDescent="0.25">
      <c r="A13" s="46" t="s">
        <v>74</v>
      </c>
      <c r="B13" s="51">
        <v>0</v>
      </c>
      <c r="C13" s="55">
        <v>0</v>
      </c>
      <c r="D13" s="55">
        <v>0</v>
      </c>
      <c r="E13" s="55">
        <v>0</v>
      </c>
      <c r="F13" s="55">
        <v>0</v>
      </c>
      <c r="G13" s="57">
        <v>0</v>
      </c>
      <c r="H13" s="57">
        <v>0</v>
      </c>
      <c r="I13" s="57">
        <v>0</v>
      </c>
      <c r="J13" s="55">
        <v>0</v>
      </c>
      <c r="K13" s="55">
        <v>0</v>
      </c>
      <c r="L13" s="55">
        <v>0</v>
      </c>
      <c r="M13" s="55">
        <v>0</v>
      </c>
      <c r="N13" s="57">
        <v>0</v>
      </c>
      <c r="O13" s="55">
        <v>0</v>
      </c>
      <c r="P13" s="55">
        <v>0</v>
      </c>
      <c r="Q13" s="55">
        <v>0</v>
      </c>
      <c r="R13" s="55">
        <v>0</v>
      </c>
      <c r="S13" s="57">
        <v>0</v>
      </c>
      <c r="T13" s="55">
        <v>0</v>
      </c>
      <c r="U13" s="67">
        <v>0</v>
      </c>
      <c r="V13" s="67">
        <v>0</v>
      </c>
      <c r="W13" s="67">
        <v>0</v>
      </c>
      <c r="X13" s="67">
        <v>0</v>
      </c>
      <c r="Y13" s="67">
        <v>0</v>
      </c>
      <c r="Z13" s="67">
        <v>0</v>
      </c>
      <c r="AA13" s="67">
        <v>0</v>
      </c>
      <c r="AB13" s="67">
        <v>0</v>
      </c>
      <c r="AC13" s="67">
        <v>0</v>
      </c>
      <c r="AD13" s="67">
        <v>0</v>
      </c>
      <c r="AE13" s="67">
        <v>0</v>
      </c>
      <c r="AF13" s="67">
        <v>0</v>
      </c>
      <c r="AG13" s="67">
        <v>0</v>
      </c>
      <c r="AH13" s="67">
        <v>0</v>
      </c>
      <c r="AI13" s="67">
        <v>0</v>
      </c>
      <c r="AJ13" s="67">
        <v>0</v>
      </c>
      <c r="AK13" s="67">
        <v>0</v>
      </c>
      <c r="AL13" s="68">
        <v>0</v>
      </c>
      <c r="AM13" s="68">
        <v>0</v>
      </c>
      <c r="AN13" s="172">
        <f>(IF('Data Val'!$K$4 = weaponsDB!A79,IF(char1WeapStacks=1, (8+(char1Refine-1)*2)%, IF(char1WeapStacks=2, (16+(char1Refine-1)*4)%, IF(char1WeapStacks=3, (28+(char1Refine-1)*7)%, 0)))))+(12+(char1Refine-1)*3)%</f>
        <v>0.24</v>
      </c>
      <c r="AO13" s="68">
        <v>0</v>
      </c>
      <c r="AP13" s="68">
        <v>0</v>
      </c>
      <c r="AQ13" s="68">
        <v>0</v>
      </c>
      <c r="AR13" s="68">
        <v>0</v>
      </c>
      <c r="AS13" s="68">
        <v>0</v>
      </c>
      <c r="AT13" s="68">
        <v>0</v>
      </c>
      <c r="AU13" s="68">
        <v>0</v>
      </c>
      <c r="AV13" s="68">
        <v>0</v>
      </c>
      <c r="AW13" s="68">
        <v>0</v>
      </c>
      <c r="AX13" s="68">
        <v>0</v>
      </c>
      <c r="AY13" s="68">
        <v>0</v>
      </c>
      <c r="AZ13" s="68">
        <v>0</v>
      </c>
      <c r="BA13" s="68">
        <v>0</v>
      </c>
      <c r="BB13" s="68">
        <v>0</v>
      </c>
      <c r="BC13" s="68">
        <v>0</v>
      </c>
      <c r="BD13" s="68">
        <v>0</v>
      </c>
      <c r="BE13" s="68">
        <v>0</v>
      </c>
      <c r="BF13" s="68">
        <v>0</v>
      </c>
      <c r="BG13" s="68">
        <v>0</v>
      </c>
      <c r="BH13" s="70">
        <v>0</v>
      </c>
      <c r="BI13" s="70">
        <f t="shared" si="0"/>
        <v>0.24</v>
      </c>
      <c r="BJ13" s="70">
        <f t="shared" si="1"/>
        <v>0</v>
      </c>
      <c r="BK13" s="70">
        <v>0</v>
      </c>
      <c r="BL13" s="70">
        <v>0</v>
      </c>
      <c r="BM13" s="70">
        <v>0</v>
      </c>
      <c r="BN13" s="70">
        <v>0</v>
      </c>
      <c r="BO13" s="70">
        <f t="shared" si="2"/>
        <v>0.32</v>
      </c>
      <c r="BP13" s="70">
        <v>0</v>
      </c>
      <c r="BQ13" s="70">
        <v>0</v>
      </c>
      <c r="BR13" s="70">
        <v>0</v>
      </c>
      <c r="BS13" s="70">
        <v>0</v>
      </c>
      <c r="BT13" s="70">
        <f t="shared" si="3"/>
        <v>0</v>
      </c>
      <c r="BU13" s="70">
        <v>0</v>
      </c>
      <c r="BV13" s="70">
        <v>0</v>
      </c>
      <c r="BW13" s="70">
        <v>0</v>
      </c>
      <c r="BX13" s="70">
        <v>0</v>
      </c>
      <c r="BY13" s="70">
        <v>0</v>
      </c>
      <c r="BZ13" s="70">
        <v>0</v>
      </c>
      <c r="CA13" s="72">
        <v>0</v>
      </c>
      <c r="CB13" s="72">
        <v>0</v>
      </c>
      <c r="CC13" s="72">
        <v>0</v>
      </c>
      <c r="CD13" s="72">
        <v>0</v>
      </c>
      <c r="CE13" s="72">
        <v>0</v>
      </c>
      <c r="CF13" s="72">
        <v>0</v>
      </c>
      <c r="CG13" s="72">
        <v>0</v>
      </c>
      <c r="CH13" s="72">
        <v>0</v>
      </c>
      <c r="CI13" s="72">
        <v>0</v>
      </c>
      <c r="CJ13" s="72">
        <v>0</v>
      </c>
      <c r="CK13" s="72">
        <v>0</v>
      </c>
      <c r="CL13" s="72">
        <v>0</v>
      </c>
      <c r="CM13" s="72">
        <v>0</v>
      </c>
      <c r="CN13" s="72">
        <v>0</v>
      </c>
      <c r="CO13" s="72">
        <v>0</v>
      </c>
      <c r="CP13" s="72">
        <v>0</v>
      </c>
      <c r="CQ13" s="72">
        <v>0</v>
      </c>
      <c r="CR13" s="72">
        <v>0</v>
      </c>
      <c r="CS13" s="72">
        <v>0</v>
      </c>
    </row>
    <row r="14" spans="1:97" x14ac:dyDescent="0.25">
      <c r="A14" s="46" t="s">
        <v>75</v>
      </c>
      <c r="B14" s="51">
        <v>0</v>
      </c>
      <c r="C14" s="55">
        <v>0</v>
      </c>
      <c r="D14" s="55">
        <v>0</v>
      </c>
      <c r="E14" s="55">
        <v>0</v>
      </c>
      <c r="F14" s="55">
        <v>0</v>
      </c>
      <c r="G14" s="57">
        <v>0</v>
      </c>
      <c r="H14" s="57">
        <v>0</v>
      </c>
      <c r="I14" s="57">
        <v>0</v>
      </c>
      <c r="J14" s="55">
        <v>0</v>
      </c>
      <c r="K14" s="55">
        <v>0</v>
      </c>
      <c r="L14" s="55">
        <v>0</v>
      </c>
      <c r="M14" s="55">
        <v>0</v>
      </c>
      <c r="N14" s="57">
        <v>0</v>
      </c>
      <c r="O14" s="55">
        <v>0</v>
      </c>
      <c r="P14" s="55">
        <v>0</v>
      </c>
      <c r="Q14" s="55">
        <v>0</v>
      </c>
      <c r="R14" s="55">
        <v>0</v>
      </c>
      <c r="S14" s="57">
        <v>0</v>
      </c>
      <c r="T14" s="55">
        <v>0</v>
      </c>
      <c r="U14" s="67">
        <v>0</v>
      </c>
      <c r="V14" s="67">
        <v>0</v>
      </c>
      <c r="W14" s="67">
        <v>0</v>
      </c>
      <c r="X14" s="67">
        <v>0</v>
      </c>
      <c r="Y14" s="67">
        <v>0</v>
      </c>
      <c r="Z14" s="67">
        <v>0</v>
      </c>
      <c r="AA14" s="67">
        <v>0</v>
      </c>
      <c r="AB14" s="67">
        <v>0</v>
      </c>
      <c r="AC14" s="67">
        <v>0</v>
      </c>
      <c r="AD14" s="67">
        <v>0</v>
      </c>
      <c r="AE14" s="67">
        <v>0</v>
      </c>
      <c r="AF14" s="67">
        <v>0</v>
      </c>
      <c r="AG14" s="67">
        <v>0</v>
      </c>
      <c r="AH14" s="67">
        <v>0</v>
      </c>
      <c r="AI14" s="67">
        <v>0</v>
      </c>
      <c r="AJ14" s="67">
        <v>0</v>
      </c>
      <c r="AK14" s="67">
        <v>0</v>
      </c>
      <c r="AL14" s="68">
        <v>0</v>
      </c>
      <c r="AM14" s="68">
        <v>0</v>
      </c>
      <c r="AN14" s="172">
        <f>(IF('Data Val'!$K$4 = weaponsDB!A80,IF(char1WeapStacks=1, (8+(char1Refine-1)*2)%, IF(char1WeapStacks=2, (16+(char1Refine-1)*4)%, IF(char1WeapStacks=3, (28+(char1Refine-1)*7)%, 0)))))+(12+(char1Refine-1)*3)%</f>
        <v>0.24</v>
      </c>
      <c r="AO14" s="68">
        <v>0</v>
      </c>
      <c r="AP14" s="68">
        <v>0</v>
      </c>
      <c r="AQ14" s="68">
        <v>0</v>
      </c>
      <c r="AR14" s="68">
        <v>0</v>
      </c>
      <c r="AS14" s="68">
        <v>0</v>
      </c>
      <c r="AT14" s="68">
        <v>0</v>
      </c>
      <c r="AU14" s="68">
        <v>0</v>
      </c>
      <c r="AV14" s="68">
        <v>0</v>
      </c>
      <c r="AW14" s="68">
        <v>0</v>
      </c>
      <c r="AX14" s="68">
        <v>0</v>
      </c>
      <c r="AY14" s="68">
        <v>0</v>
      </c>
      <c r="AZ14" s="68">
        <v>0</v>
      </c>
      <c r="BA14" s="68">
        <v>0</v>
      </c>
      <c r="BB14" s="68">
        <v>0</v>
      </c>
      <c r="BC14" s="68">
        <v>0</v>
      </c>
      <c r="BD14" s="68">
        <v>0</v>
      </c>
      <c r="BE14" s="68">
        <v>0</v>
      </c>
      <c r="BF14" s="68">
        <v>0</v>
      </c>
      <c r="BG14" s="68">
        <v>0</v>
      </c>
      <c r="BH14" s="70">
        <v>0</v>
      </c>
      <c r="BI14" s="70">
        <f t="shared" si="0"/>
        <v>0.24</v>
      </c>
      <c r="BJ14" s="70">
        <f t="shared" si="1"/>
        <v>0</v>
      </c>
      <c r="BK14" s="70">
        <v>0</v>
      </c>
      <c r="BL14" s="70">
        <v>0</v>
      </c>
      <c r="BM14" s="70">
        <v>0</v>
      </c>
      <c r="BN14" s="70">
        <v>0</v>
      </c>
      <c r="BO14" s="70">
        <f t="shared" si="2"/>
        <v>0.32</v>
      </c>
      <c r="BP14" s="70">
        <v>0</v>
      </c>
      <c r="BQ14" s="70">
        <v>0</v>
      </c>
      <c r="BR14" s="70">
        <v>0</v>
      </c>
      <c r="BS14" s="70">
        <v>0</v>
      </c>
      <c r="BT14" s="70">
        <f t="shared" si="3"/>
        <v>0</v>
      </c>
      <c r="BU14" s="70">
        <v>0</v>
      </c>
      <c r="BV14" s="70">
        <v>0</v>
      </c>
      <c r="BW14" s="70">
        <v>0</v>
      </c>
      <c r="BX14" s="70">
        <v>0</v>
      </c>
      <c r="BY14" s="70">
        <v>0</v>
      </c>
      <c r="BZ14" s="70">
        <v>0</v>
      </c>
      <c r="CA14" s="72">
        <v>0</v>
      </c>
      <c r="CB14" s="72">
        <v>0</v>
      </c>
      <c r="CC14" s="72">
        <v>0</v>
      </c>
      <c r="CD14" s="72">
        <v>0</v>
      </c>
      <c r="CE14" s="72">
        <v>0</v>
      </c>
      <c r="CF14" s="72">
        <v>0</v>
      </c>
      <c r="CG14" s="72">
        <v>0</v>
      </c>
      <c r="CH14" s="72">
        <v>0</v>
      </c>
      <c r="CI14" s="72">
        <v>0</v>
      </c>
      <c r="CJ14" s="72">
        <v>0</v>
      </c>
      <c r="CK14" s="72">
        <v>0</v>
      </c>
      <c r="CL14" s="72">
        <v>0</v>
      </c>
      <c r="CM14" s="72">
        <v>0</v>
      </c>
      <c r="CN14" s="72">
        <v>0</v>
      </c>
      <c r="CO14" s="72">
        <v>0</v>
      </c>
      <c r="CP14" s="72">
        <v>0</v>
      </c>
      <c r="CQ14" s="72">
        <v>0</v>
      </c>
      <c r="CR14" s="72">
        <v>0</v>
      </c>
      <c r="CS14" s="72">
        <v>0</v>
      </c>
    </row>
    <row r="15" spans="1:97" x14ac:dyDescent="0.25">
      <c r="A15" s="46" t="s">
        <v>76</v>
      </c>
      <c r="B15" s="51">
        <v>0</v>
      </c>
      <c r="C15" s="55">
        <v>0</v>
      </c>
      <c r="D15" s="55">
        <v>0</v>
      </c>
      <c r="E15" s="55">
        <v>0</v>
      </c>
      <c r="F15" s="55">
        <v>0</v>
      </c>
      <c r="G15" s="57">
        <v>0</v>
      </c>
      <c r="H15" s="57">
        <v>0</v>
      </c>
      <c r="I15" s="57">
        <v>0</v>
      </c>
      <c r="J15" s="55">
        <v>0</v>
      </c>
      <c r="K15" s="55">
        <v>0</v>
      </c>
      <c r="L15" s="55">
        <v>0</v>
      </c>
      <c r="M15" s="55">
        <v>0</v>
      </c>
      <c r="N15" s="57">
        <v>0</v>
      </c>
      <c r="O15" s="55">
        <v>0</v>
      </c>
      <c r="P15" s="55">
        <v>0</v>
      </c>
      <c r="Q15" s="55">
        <v>0</v>
      </c>
      <c r="R15" s="55">
        <v>0</v>
      </c>
      <c r="S15" s="57">
        <v>0</v>
      </c>
      <c r="T15" s="55">
        <v>0</v>
      </c>
      <c r="U15" s="67">
        <v>0</v>
      </c>
      <c r="V15" s="67">
        <v>0</v>
      </c>
      <c r="W15" s="67">
        <v>0</v>
      </c>
      <c r="X15" s="67">
        <v>0</v>
      </c>
      <c r="Y15" s="67">
        <v>0</v>
      </c>
      <c r="Z15" s="67">
        <v>0</v>
      </c>
      <c r="AA15" s="67">
        <v>0</v>
      </c>
      <c r="AB15" s="67">
        <v>0</v>
      </c>
      <c r="AC15" s="67">
        <v>0</v>
      </c>
      <c r="AD15" s="67">
        <v>0</v>
      </c>
      <c r="AE15" s="67">
        <v>0</v>
      </c>
      <c r="AF15" s="67">
        <v>0</v>
      </c>
      <c r="AG15" s="67">
        <v>0</v>
      </c>
      <c r="AH15" s="67">
        <v>0</v>
      </c>
      <c r="AI15" s="67">
        <v>0</v>
      </c>
      <c r="AJ15" s="67">
        <v>0</v>
      </c>
      <c r="AK15" s="67">
        <v>0</v>
      </c>
      <c r="AL15" s="68">
        <v>0</v>
      </c>
      <c r="AM15" s="68">
        <v>0</v>
      </c>
      <c r="AN15" s="172">
        <f>(IF('Data Val'!$K$4 = weaponsDB!A81,IF(char1WeapStacks=1, (8+(char1Refine-1)*2)%, IF(char1WeapStacks=2, (16+(char1Refine-1)*4)%, IF(char1WeapStacks=3, (28+(char1Refine-1)*7)%, 0)))))+(12+(char1Refine-1)*3)%</f>
        <v>0.24</v>
      </c>
      <c r="AO15" s="68">
        <v>0</v>
      </c>
      <c r="AP15" s="68">
        <v>0</v>
      </c>
      <c r="AQ15" s="68">
        <v>0</v>
      </c>
      <c r="AR15" s="68">
        <v>0</v>
      </c>
      <c r="AS15" s="68">
        <v>0</v>
      </c>
      <c r="AT15" s="68">
        <v>0</v>
      </c>
      <c r="AU15" s="68">
        <v>0</v>
      </c>
      <c r="AV15" s="68">
        <v>0</v>
      </c>
      <c r="AW15" s="68">
        <v>0</v>
      </c>
      <c r="AX15" s="68">
        <v>0</v>
      </c>
      <c r="AY15" s="68">
        <v>0</v>
      </c>
      <c r="AZ15" s="68">
        <v>0</v>
      </c>
      <c r="BA15" s="68">
        <v>0</v>
      </c>
      <c r="BB15" s="68">
        <v>0</v>
      </c>
      <c r="BC15" s="68">
        <v>0</v>
      </c>
      <c r="BD15" s="68">
        <v>0</v>
      </c>
      <c r="BE15" s="68">
        <v>0</v>
      </c>
      <c r="BF15" s="68">
        <v>0</v>
      </c>
      <c r="BG15" s="68">
        <v>0</v>
      </c>
      <c r="BH15" s="70">
        <v>0</v>
      </c>
      <c r="BI15" s="70">
        <f t="shared" si="0"/>
        <v>0.24</v>
      </c>
      <c r="BJ15" s="70">
        <f t="shared" si="1"/>
        <v>0</v>
      </c>
      <c r="BK15" s="70">
        <v>0</v>
      </c>
      <c r="BL15" s="70">
        <v>0</v>
      </c>
      <c r="BM15" s="70">
        <v>0</v>
      </c>
      <c r="BN15" s="70">
        <v>0</v>
      </c>
      <c r="BO15" s="70">
        <f t="shared" si="2"/>
        <v>0.32</v>
      </c>
      <c r="BP15" s="70">
        <v>0</v>
      </c>
      <c r="BQ15" s="70">
        <v>0</v>
      </c>
      <c r="BR15" s="70">
        <v>0</v>
      </c>
      <c r="BS15" s="70">
        <v>0</v>
      </c>
      <c r="BT15" s="70">
        <f t="shared" si="3"/>
        <v>0</v>
      </c>
      <c r="BU15" s="70">
        <v>0</v>
      </c>
      <c r="BV15" s="70">
        <v>0</v>
      </c>
      <c r="BW15" s="70">
        <v>0</v>
      </c>
      <c r="BX15" s="70">
        <v>0</v>
      </c>
      <c r="BY15" s="70">
        <v>0</v>
      </c>
      <c r="BZ15" s="70">
        <v>0</v>
      </c>
      <c r="CA15" s="72">
        <v>0</v>
      </c>
      <c r="CB15" s="72">
        <v>0</v>
      </c>
      <c r="CC15" s="72">
        <v>0</v>
      </c>
      <c r="CD15" s="72">
        <v>0</v>
      </c>
      <c r="CE15" s="72">
        <v>0</v>
      </c>
      <c r="CF15" s="72">
        <v>0</v>
      </c>
      <c r="CG15" s="72">
        <v>0</v>
      </c>
      <c r="CH15" s="72">
        <v>0</v>
      </c>
      <c r="CI15" s="72">
        <v>0</v>
      </c>
      <c r="CJ15" s="72">
        <v>0</v>
      </c>
      <c r="CK15" s="72">
        <v>0</v>
      </c>
      <c r="CL15" s="72">
        <v>0</v>
      </c>
      <c r="CM15" s="72">
        <v>0</v>
      </c>
      <c r="CN15" s="72">
        <v>0</v>
      </c>
      <c r="CO15" s="72">
        <v>0</v>
      </c>
      <c r="CP15" s="72">
        <v>0</v>
      </c>
      <c r="CQ15" s="72">
        <v>0</v>
      </c>
      <c r="CR15" s="72">
        <v>0</v>
      </c>
      <c r="CS15" s="72">
        <v>0</v>
      </c>
    </row>
    <row r="16" spans="1:97" x14ac:dyDescent="0.25">
      <c r="A16" s="46" t="s">
        <v>69</v>
      </c>
      <c r="B16" s="52">
        <v>0</v>
      </c>
      <c r="C16" s="56">
        <v>0</v>
      </c>
      <c r="D16" s="80">
        <v>0</v>
      </c>
      <c r="E16" s="56">
        <v>0</v>
      </c>
      <c r="F16" s="80">
        <v>0</v>
      </c>
      <c r="G16" s="56">
        <v>0</v>
      </c>
      <c r="H16" s="56">
        <v>0</v>
      </c>
      <c r="I16" s="56">
        <v>0</v>
      </c>
      <c r="J16" s="56">
        <v>0</v>
      </c>
      <c r="K16" s="56">
        <v>0</v>
      </c>
      <c r="L16" s="56">
        <v>0</v>
      </c>
      <c r="M16" s="56">
        <v>165</v>
      </c>
      <c r="N16" s="56">
        <v>0</v>
      </c>
      <c r="O16" s="56">
        <v>0</v>
      </c>
      <c r="P16" s="80">
        <v>0</v>
      </c>
      <c r="Q16" s="80">
        <v>0</v>
      </c>
      <c r="R16" s="80">
        <v>0</v>
      </c>
      <c r="S16" s="56">
        <v>0</v>
      </c>
      <c r="T16" s="56">
        <v>0</v>
      </c>
      <c r="U16" s="76">
        <v>0</v>
      </c>
      <c r="V16" s="76">
        <v>0</v>
      </c>
      <c r="W16" s="76">
        <v>0</v>
      </c>
      <c r="X16" s="76">
        <v>0</v>
      </c>
      <c r="Y16" s="76">
        <v>0</v>
      </c>
      <c r="Z16" s="76">
        <v>0</v>
      </c>
      <c r="AA16" s="76">
        <v>110</v>
      </c>
      <c r="AB16" s="76">
        <v>0</v>
      </c>
      <c r="AC16" s="76">
        <v>0</v>
      </c>
      <c r="AD16" s="76">
        <v>0</v>
      </c>
      <c r="AE16" s="76">
        <v>0</v>
      </c>
      <c r="AF16" s="76">
        <v>221</v>
      </c>
      <c r="AG16" s="76">
        <v>0</v>
      </c>
      <c r="AH16" s="76">
        <v>0</v>
      </c>
      <c r="AI16" s="76">
        <v>0</v>
      </c>
      <c r="AJ16" s="76">
        <v>0</v>
      </c>
      <c r="AK16" s="76">
        <v>0</v>
      </c>
      <c r="AL16" s="77">
        <v>0</v>
      </c>
      <c r="AM16" s="77">
        <v>198</v>
      </c>
      <c r="AN16" s="77">
        <v>0</v>
      </c>
      <c r="AO16" s="77">
        <v>0</v>
      </c>
      <c r="AP16" s="77">
        <v>0</v>
      </c>
      <c r="AQ16" s="77">
        <v>0</v>
      </c>
      <c r="AR16" s="77">
        <v>0</v>
      </c>
      <c r="AS16" s="77">
        <v>0</v>
      </c>
      <c r="AT16" s="77">
        <v>0</v>
      </c>
      <c r="AU16" s="77">
        <v>55</v>
      </c>
      <c r="AV16" s="77">
        <v>0</v>
      </c>
      <c r="AW16" s="77">
        <v>0</v>
      </c>
      <c r="AX16" s="77">
        <v>0</v>
      </c>
      <c r="AY16" s="77">
        <v>0</v>
      </c>
      <c r="AZ16" s="77">
        <v>165</v>
      </c>
      <c r="BA16" s="77">
        <v>0</v>
      </c>
      <c r="BB16" s="77">
        <v>0</v>
      </c>
      <c r="BC16" s="77">
        <v>0</v>
      </c>
      <c r="BD16" s="77">
        <v>0</v>
      </c>
      <c r="BE16" s="77">
        <v>0</v>
      </c>
      <c r="BF16" s="77">
        <v>141</v>
      </c>
      <c r="BG16" s="77">
        <v>0</v>
      </c>
      <c r="BH16" s="65">
        <v>0</v>
      </c>
      <c r="BI16" s="65">
        <v>0</v>
      </c>
      <c r="BJ16" s="65">
        <v>0</v>
      </c>
      <c r="BK16" s="65">
        <v>0</v>
      </c>
      <c r="BL16" s="65">
        <v>0</v>
      </c>
      <c r="BM16" s="65">
        <v>0</v>
      </c>
      <c r="BN16" s="65">
        <v>0</v>
      </c>
      <c r="BO16" s="65">
        <f>IF(char1WeapToggle,80+(char1Refine-1)*20,0)</f>
        <v>160</v>
      </c>
      <c r="BP16" s="65">
        <v>0</v>
      </c>
      <c r="BQ16" s="65">
        <v>221</v>
      </c>
      <c r="BR16" s="65">
        <v>0</v>
      </c>
      <c r="BS16" s="65">
        <v>0</v>
      </c>
      <c r="BT16" s="65">
        <v>110</v>
      </c>
      <c r="BU16" s="65">
        <v>0</v>
      </c>
      <c r="BV16" s="65">
        <v>0</v>
      </c>
      <c r="BW16" s="65">
        <v>187</v>
      </c>
      <c r="BX16" s="65">
        <v>0</v>
      </c>
      <c r="BY16" s="65">
        <v>0</v>
      </c>
      <c r="BZ16" s="65">
        <v>0</v>
      </c>
      <c r="CA16" s="78">
        <f>60+(char1Refine-1)*15+IF(char1WeapToggle, 100+(char1Refine-1)*25,0)</f>
        <v>320</v>
      </c>
      <c r="CB16" s="79">
        <v>0</v>
      </c>
      <c r="CC16" s="79">
        <v>0</v>
      </c>
      <c r="CD16" s="79">
        <v>0</v>
      </c>
      <c r="CE16" s="78">
        <v>0</v>
      </c>
      <c r="CF16" s="79">
        <v>0</v>
      </c>
      <c r="CG16" s="79">
        <v>0</v>
      </c>
      <c r="CH16" s="79">
        <v>0</v>
      </c>
      <c r="CI16" s="79">
        <v>0</v>
      </c>
      <c r="CJ16" s="79">
        <v>0</v>
      </c>
      <c r="CK16" s="78">
        <v>165</v>
      </c>
      <c r="CL16" s="79">
        <v>0</v>
      </c>
      <c r="CM16" s="79">
        <v>0</v>
      </c>
      <c r="CN16" s="79">
        <v>0</v>
      </c>
      <c r="CO16" s="79">
        <v>165</v>
      </c>
      <c r="CP16" s="79">
        <v>0</v>
      </c>
      <c r="CQ16" s="79">
        <v>0</v>
      </c>
      <c r="CR16" s="79">
        <v>0</v>
      </c>
      <c r="CS16" s="79">
        <v>0</v>
      </c>
    </row>
    <row r="17" spans="1:97" x14ac:dyDescent="0.25">
      <c r="A17" s="46" t="s">
        <v>457</v>
      </c>
      <c r="B17" s="51">
        <v>0</v>
      </c>
      <c r="C17" s="57">
        <v>0</v>
      </c>
      <c r="D17" s="55">
        <v>0</v>
      </c>
      <c r="E17" s="57">
        <v>0</v>
      </c>
      <c r="F17" s="55">
        <v>0</v>
      </c>
      <c r="G17" s="57">
        <v>0</v>
      </c>
      <c r="H17" s="57">
        <v>0</v>
      </c>
      <c r="I17" s="57">
        <v>0</v>
      </c>
      <c r="J17" s="57">
        <v>0</v>
      </c>
      <c r="K17" s="57">
        <v>0</v>
      </c>
      <c r="L17" s="57">
        <v>0</v>
      </c>
      <c r="M17" s="57">
        <v>0</v>
      </c>
      <c r="N17" s="57">
        <v>0</v>
      </c>
      <c r="O17" s="57">
        <v>0</v>
      </c>
      <c r="P17" s="55">
        <v>0</v>
      </c>
      <c r="Q17" s="55">
        <v>0</v>
      </c>
      <c r="R17" s="55">
        <v>0</v>
      </c>
      <c r="S17" s="57">
        <v>0</v>
      </c>
      <c r="T17" s="57">
        <v>0</v>
      </c>
      <c r="U17" s="67">
        <v>0</v>
      </c>
      <c r="V17" s="67">
        <v>0</v>
      </c>
      <c r="W17" s="67">
        <v>0</v>
      </c>
      <c r="X17" s="67">
        <v>0</v>
      </c>
      <c r="Y17" s="67">
        <v>0</v>
      </c>
      <c r="Z17" s="67">
        <v>0</v>
      </c>
      <c r="AA17" s="67">
        <v>0</v>
      </c>
      <c r="AB17" s="67">
        <v>0</v>
      </c>
      <c r="AC17" s="67">
        <v>0</v>
      </c>
      <c r="AD17" s="67">
        <v>0</v>
      </c>
      <c r="AE17" s="67">
        <v>0</v>
      </c>
      <c r="AF17" s="67">
        <v>0</v>
      </c>
      <c r="AG17" s="67">
        <v>0</v>
      </c>
      <c r="AH17" s="67">
        <v>0</v>
      </c>
      <c r="AI17" s="67">
        <v>0</v>
      </c>
      <c r="AJ17" s="67">
        <v>0</v>
      </c>
      <c r="AK17" s="67">
        <v>0</v>
      </c>
      <c r="AL17" s="68">
        <v>0</v>
      </c>
      <c r="AM17" s="68">
        <v>0</v>
      </c>
      <c r="AN17" s="68">
        <v>0</v>
      </c>
      <c r="AO17" s="68">
        <v>0</v>
      </c>
      <c r="AP17" s="68">
        <v>0</v>
      </c>
      <c r="AQ17" s="68">
        <v>0</v>
      </c>
      <c r="AR17" s="68">
        <v>0</v>
      </c>
      <c r="AS17" s="68">
        <v>0</v>
      </c>
      <c r="AT17" s="68">
        <v>0</v>
      </c>
      <c r="AU17" s="68">
        <v>0</v>
      </c>
      <c r="AV17" s="68">
        <v>0</v>
      </c>
      <c r="AW17" s="68">
        <v>0</v>
      </c>
      <c r="AX17" s="68">
        <v>0</v>
      </c>
      <c r="AY17" s="68">
        <v>0</v>
      </c>
      <c r="AZ17" s="68">
        <v>0</v>
      </c>
      <c r="BA17" s="68">
        <v>0</v>
      </c>
      <c r="BB17" s="68">
        <v>0</v>
      </c>
      <c r="BC17" s="68">
        <v>0</v>
      </c>
      <c r="BD17" s="68">
        <v>0</v>
      </c>
      <c r="BE17" s="68">
        <v>0</v>
      </c>
      <c r="BF17" s="68">
        <v>0</v>
      </c>
      <c r="BG17" s="68">
        <v>0</v>
      </c>
      <c r="BH17" s="70">
        <v>0</v>
      </c>
      <c r="BI17" s="70">
        <v>0</v>
      </c>
      <c r="BJ17" s="70">
        <v>0</v>
      </c>
      <c r="BK17" s="70">
        <v>0</v>
      </c>
      <c r="BL17" s="70">
        <v>0</v>
      </c>
      <c r="BM17" s="70">
        <v>0</v>
      </c>
      <c r="BN17" s="70">
        <v>0</v>
      </c>
      <c r="BO17" s="70">
        <v>0</v>
      </c>
      <c r="BP17" s="70">
        <v>0</v>
      </c>
      <c r="BQ17" s="70">
        <v>0</v>
      </c>
      <c r="BR17" s="70">
        <v>0</v>
      </c>
      <c r="BS17" s="70">
        <v>0</v>
      </c>
      <c r="BT17" s="70">
        <v>0</v>
      </c>
      <c r="BU17" s="70">
        <v>0</v>
      </c>
      <c r="BV17" s="70">
        <v>0</v>
      </c>
      <c r="BW17" s="70">
        <v>0</v>
      </c>
      <c r="BX17" s="70">
        <v>0</v>
      </c>
      <c r="BY17" s="70">
        <v>0</v>
      </c>
      <c r="BZ17" s="70">
        <v>0</v>
      </c>
      <c r="CA17" s="74">
        <v>0</v>
      </c>
      <c r="CB17" s="72">
        <v>0</v>
      </c>
      <c r="CC17" s="72">
        <v>0</v>
      </c>
      <c r="CD17" s="74">
        <v>0</v>
      </c>
      <c r="CE17" s="74">
        <v>0</v>
      </c>
      <c r="CF17" s="72">
        <v>0</v>
      </c>
      <c r="CG17" s="74">
        <v>0</v>
      </c>
      <c r="CH17" s="72">
        <v>0</v>
      </c>
      <c r="CI17" s="74">
        <v>0</v>
      </c>
      <c r="CJ17" s="74">
        <v>0</v>
      </c>
      <c r="CK17" s="74">
        <v>0</v>
      </c>
      <c r="CL17" s="72">
        <v>0</v>
      </c>
      <c r="CM17" s="72">
        <v>0</v>
      </c>
      <c r="CN17" s="72">
        <v>0</v>
      </c>
      <c r="CO17" s="72">
        <v>0</v>
      </c>
      <c r="CP17" s="74">
        <v>0</v>
      </c>
      <c r="CQ17" s="72">
        <v>0</v>
      </c>
      <c r="CR17" s="72">
        <v>0</v>
      </c>
      <c r="CS17" s="72">
        <v>0</v>
      </c>
    </row>
    <row r="18" spans="1:97" x14ac:dyDescent="0.25">
      <c r="A18" s="46" t="s">
        <v>427</v>
      </c>
      <c r="B18" s="51">
        <v>0</v>
      </c>
      <c r="C18" s="55">
        <v>0</v>
      </c>
      <c r="D18" s="55">
        <v>0</v>
      </c>
      <c r="E18" s="57">
        <v>0</v>
      </c>
      <c r="F18" s="55">
        <v>0</v>
      </c>
      <c r="G18" s="57">
        <v>0</v>
      </c>
      <c r="H18" s="57">
        <v>0</v>
      </c>
      <c r="I18" s="57">
        <v>0</v>
      </c>
      <c r="J18" s="57">
        <v>0</v>
      </c>
      <c r="K18" s="57">
        <v>0</v>
      </c>
      <c r="L18" s="57">
        <v>0</v>
      </c>
      <c r="M18" s="57">
        <v>0</v>
      </c>
      <c r="N18" s="57">
        <v>0</v>
      </c>
      <c r="O18" s="57">
        <v>0</v>
      </c>
      <c r="P18" s="55">
        <v>0</v>
      </c>
      <c r="Q18" s="55">
        <v>0</v>
      </c>
      <c r="R18" s="55">
        <v>0</v>
      </c>
      <c r="S18" s="57">
        <v>0</v>
      </c>
      <c r="T18" s="57">
        <v>0</v>
      </c>
      <c r="U18" s="67">
        <v>0</v>
      </c>
      <c r="V18" s="67">
        <v>0</v>
      </c>
      <c r="W18" s="67">
        <v>0</v>
      </c>
      <c r="X18" s="67">
        <v>0</v>
      </c>
      <c r="Y18" s="67">
        <v>0</v>
      </c>
      <c r="Z18" s="67">
        <v>0</v>
      </c>
      <c r="AA18" s="67">
        <v>0</v>
      </c>
      <c r="AB18" s="67">
        <v>0</v>
      </c>
      <c r="AC18" s="67">
        <v>0</v>
      </c>
      <c r="AD18" s="67">
        <v>0</v>
      </c>
      <c r="AE18" s="67">
        <v>0</v>
      </c>
      <c r="AF18" s="67">
        <v>0</v>
      </c>
      <c r="AG18" s="67">
        <v>0</v>
      </c>
      <c r="AH18" s="67">
        <v>0</v>
      </c>
      <c r="AI18" s="67">
        <v>0</v>
      </c>
      <c r="AJ18" s="67">
        <v>0</v>
      </c>
      <c r="AK18" s="67">
        <v>0</v>
      </c>
      <c r="AL18" s="68">
        <v>0</v>
      </c>
      <c r="AM18" s="68">
        <v>0</v>
      </c>
      <c r="AN18" s="68">
        <v>0</v>
      </c>
      <c r="AO18" s="68">
        <v>0</v>
      </c>
      <c r="AP18" s="68">
        <v>0</v>
      </c>
      <c r="AQ18" s="68">
        <v>0</v>
      </c>
      <c r="AR18" s="68">
        <v>0</v>
      </c>
      <c r="AS18" s="68">
        <v>0</v>
      </c>
      <c r="AT18" s="68">
        <v>0</v>
      </c>
      <c r="AU18" s="68">
        <v>0</v>
      </c>
      <c r="AV18" s="68">
        <v>0</v>
      </c>
      <c r="AW18" s="68">
        <v>0</v>
      </c>
      <c r="AX18" s="68">
        <v>0</v>
      </c>
      <c r="AY18" s="68">
        <v>0</v>
      </c>
      <c r="AZ18" s="68">
        <v>0</v>
      </c>
      <c r="BA18" s="68">
        <v>0</v>
      </c>
      <c r="BB18" s="68">
        <v>0</v>
      </c>
      <c r="BC18" s="68">
        <v>0</v>
      </c>
      <c r="BD18" s="68">
        <v>0</v>
      </c>
      <c r="BE18" s="68">
        <v>0</v>
      </c>
      <c r="BF18" s="68">
        <v>0</v>
      </c>
      <c r="BG18" s="68">
        <v>0</v>
      </c>
      <c r="BH18" s="70">
        <v>0</v>
      </c>
      <c r="BI18" s="70">
        <v>0</v>
      </c>
      <c r="BJ18" s="70">
        <v>0</v>
      </c>
      <c r="BK18" s="70">
        <f>(10+(char1Refine-1)*2.5)%</f>
        <v>0.2</v>
      </c>
      <c r="BL18" s="70">
        <v>0</v>
      </c>
      <c r="BM18" s="70">
        <v>0</v>
      </c>
      <c r="BN18" s="70">
        <v>0</v>
      </c>
      <c r="BO18" s="70">
        <v>0</v>
      </c>
      <c r="BP18" s="70">
        <v>0</v>
      </c>
      <c r="BQ18" s="70">
        <v>0</v>
      </c>
      <c r="BR18" s="70">
        <v>0</v>
      </c>
      <c r="BS18" s="70">
        <v>0</v>
      </c>
      <c r="BT18" s="70">
        <v>0</v>
      </c>
      <c r="BU18" s="70">
        <v>0</v>
      </c>
      <c r="BV18" s="70">
        <v>0</v>
      </c>
      <c r="BW18" s="70">
        <v>0</v>
      </c>
      <c r="BX18" s="70">
        <v>0</v>
      </c>
      <c r="BY18" s="70">
        <v>0</v>
      </c>
      <c r="BZ18" s="70">
        <v>0</v>
      </c>
      <c r="CA18" s="74">
        <v>0</v>
      </c>
      <c r="CB18" s="72">
        <v>0</v>
      </c>
      <c r="CC18" s="72">
        <v>0</v>
      </c>
      <c r="CD18" s="72">
        <v>0</v>
      </c>
      <c r="CE18" s="72">
        <v>0</v>
      </c>
      <c r="CF18" s="72">
        <v>0</v>
      </c>
      <c r="CG18" s="74">
        <v>0</v>
      </c>
      <c r="CH18" s="72">
        <v>0</v>
      </c>
      <c r="CI18" s="74">
        <v>0</v>
      </c>
      <c r="CJ18" s="74">
        <v>0</v>
      </c>
      <c r="CK18" s="74">
        <v>0</v>
      </c>
      <c r="CL18" s="72">
        <v>0</v>
      </c>
      <c r="CM18" s="72">
        <v>0</v>
      </c>
      <c r="CN18" s="72">
        <v>0</v>
      </c>
      <c r="CO18" s="72">
        <v>0</v>
      </c>
      <c r="CP18" s="74">
        <v>0</v>
      </c>
      <c r="CQ18" s="72">
        <v>0</v>
      </c>
      <c r="CR18" s="72">
        <v>0</v>
      </c>
      <c r="CS18" s="72">
        <v>0</v>
      </c>
    </row>
    <row r="19" spans="1:97" x14ac:dyDescent="0.25">
      <c r="A19" s="46" t="s">
        <v>77</v>
      </c>
      <c r="B19" s="51">
        <v>0</v>
      </c>
      <c r="C19" s="55">
        <v>0</v>
      </c>
      <c r="D19" s="55">
        <v>0</v>
      </c>
      <c r="E19" s="57">
        <v>0</v>
      </c>
      <c r="F19" s="55">
        <v>0</v>
      </c>
      <c r="G19" s="57">
        <v>0</v>
      </c>
      <c r="H19" s="57">
        <v>0</v>
      </c>
      <c r="I19" s="57">
        <v>0</v>
      </c>
      <c r="J19" s="57">
        <v>0</v>
      </c>
      <c r="K19" s="57">
        <v>0</v>
      </c>
      <c r="L19" s="57">
        <v>0</v>
      </c>
      <c r="M19" s="57">
        <v>0</v>
      </c>
      <c r="N19" s="57">
        <v>0</v>
      </c>
      <c r="O19" s="57">
        <v>0</v>
      </c>
      <c r="P19" s="55">
        <v>0</v>
      </c>
      <c r="Q19" s="55">
        <v>0</v>
      </c>
      <c r="R19" s="55">
        <v>0</v>
      </c>
      <c r="S19" s="57">
        <v>0</v>
      </c>
      <c r="T19" s="57">
        <v>0</v>
      </c>
      <c r="U19" s="67">
        <v>0</v>
      </c>
      <c r="V19" s="67">
        <v>0</v>
      </c>
      <c r="W19" s="67">
        <v>0</v>
      </c>
      <c r="X19" s="67">
        <v>0</v>
      </c>
      <c r="Y19" s="67">
        <v>0</v>
      </c>
      <c r="Z19" s="67">
        <v>0</v>
      </c>
      <c r="AA19" s="67">
        <v>0</v>
      </c>
      <c r="AB19" s="67">
        <v>0</v>
      </c>
      <c r="AC19" s="67">
        <v>0</v>
      </c>
      <c r="AD19" s="67">
        <f>((8+(char1Refine-1)*4)*char1WeapStacks)%</f>
        <v>0</v>
      </c>
      <c r="AE19" s="67">
        <v>0</v>
      </c>
      <c r="AF19" s="67">
        <v>0</v>
      </c>
      <c r="AG19" s="67">
        <v>0</v>
      </c>
      <c r="AH19" s="67">
        <v>0</v>
      </c>
      <c r="AI19" s="67">
        <v>0</v>
      </c>
      <c r="AJ19" s="67">
        <f>(24+(char1Refine-1)*6)%</f>
        <v>0.48</v>
      </c>
      <c r="AK19" s="67">
        <v>0</v>
      </c>
      <c r="AL19" s="68">
        <v>0</v>
      </c>
      <c r="AM19" s="68">
        <f>IF(char1WeapToggle, (16+(char1Refine-1)*4), 0)%</f>
        <v>0.32</v>
      </c>
      <c r="AN19" s="68">
        <v>0</v>
      </c>
      <c r="AO19" s="68">
        <v>0</v>
      </c>
      <c r="AP19" s="68">
        <v>0</v>
      </c>
      <c r="AQ19" s="68">
        <v>0</v>
      </c>
      <c r="AR19" s="68">
        <v>0</v>
      </c>
      <c r="AS19" s="68">
        <v>0</v>
      </c>
      <c r="AT19" s="68">
        <f>(20+(char1Refine-1)*5)%</f>
        <v>0.4</v>
      </c>
      <c r="AU19" s="68">
        <v>0</v>
      </c>
      <c r="AV19" s="68">
        <v>0</v>
      </c>
      <c r="AW19" s="68">
        <v>0</v>
      </c>
      <c r="AX19" s="68">
        <v>0</v>
      </c>
      <c r="AY19" s="68">
        <v>0</v>
      </c>
      <c r="AZ19" s="68">
        <v>0</v>
      </c>
      <c r="BA19" s="68">
        <v>0</v>
      </c>
      <c r="BB19" s="68">
        <v>0</v>
      </c>
      <c r="BC19" s="68">
        <v>0</v>
      </c>
      <c r="BD19" s="68">
        <v>0</v>
      </c>
      <c r="BE19" s="68">
        <v>0</v>
      </c>
      <c r="BF19" s="68">
        <v>0</v>
      </c>
      <c r="BG19" s="68">
        <v>0</v>
      </c>
      <c r="BH19" s="70">
        <v>0</v>
      </c>
      <c r="BI19" s="70">
        <v>0</v>
      </c>
      <c r="BJ19" s="70">
        <v>0</v>
      </c>
      <c r="BK19" s="70">
        <v>0</v>
      </c>
      <c r="BL19" s="70">
        <v>0</v>
      </c>
      <c r="BM19" s="70">
        <v>0</v>
      </c>
      <c r="BN19" s="70">
        <v>0</v>
      </c>
      <c r="BO19" s="70">
        <v>0</v>
      </c>
      <c r="BP19" s="70">
        <f>IF(char1WeapToggle,20+(char1Refine-1)*5,0)%</f>
        <v>0.4</v>
      </c>
      <c r="BQ19" s="70">
        <v>0</v>
      </c>
      <c r="BR19" s="70">
        <v>0</v>
      </c>
      <c r="BS19" s="70">
        <v>0</v>
      </c>
      <c r="BT19" s="70">
        <v>0</v>
      </c>
      <c r="BU19" s="70">
        <v>0</v>
      </c>
      <c r="BV19" s="70">
        <v>0</v>
      </c>
      <c r="BW19" s="70">
        <v>0</v>
      </c>
      <c r="BX19" s="70">
        <v>0</v>
      </c>
      <c r="BY19" s="70">
        <v>0</v>
      </c>
      <c r="BZ19" s="70">
        <v>0</v>
      </c>
      <c r="CA19" s="74">
        <v>0</v>
      </c>
      <c r="CB19" s="72">
        <v>0</v>
      </c>
      <c r="CC19" s="72">
        <v>0</v>
      </c>
      <c r="CD19" s="72">
        <f>(12+(char1Refine-1)*3)%+char1WeapStacks*(8+(char1Refine-1)*2)%</f>
        <v>0.24</v>
      </c>
      <c r="CE19" s="72">
        <f>(40+(char1Refine-1)*10)%</f>
        <v>0.8</v>
      </c>
      <c r="CF19" s="72">
        <v>0</v>
      </c>
      <c r="CG19" s="74">
        <v>0</v>
      </c>
      <c r="CH19" s="72">
        <v>0</v>
      </c>
      <c r="CI19" s="74">
        <v>0</v>
      </c>
      <c r="CJ19" s="74">
        <v>0</v>
      </c>
      <c r="CK19" s="74">
        <v>0</v>
      </c>
      <c r="CL19" s="72">
        <v>0</v>
      </c>
      <c r="CM19" s="72">
        <v>0</v>
      </c>
      <c r="CN19" s="72">
        <f>IF(char1WeapToggle, 2*(16+(char1Refine-1)*4), 16+(char1Refine-1)*4)%</f>
        <v>0.64</v>
      </c>
      <c r="CO19" s="72">
        <v>0</v>
      </c>
      <c r="CP19" s="74">
        <v>0</v>
      </c>
      <c r="CQ19" s="72">
        <f>IF(char1WeapToggle, 20+(char1Refine-1)*5, 0)%</f>
        <v>0.4</v>
      </c>
      <c r="CR19" s="72">
        <f>IF(char1WeapToggle, (36+(char1Refine-1)*6)%, -10%)</f>
        <v>0.6</v>
      </c>
      <c r="CS19" s="72">
        <f>IF(char1WeapStacks=1, (12+(char1Refine-1)*3)%, IF(char1WeapStacks=2, (24+(char1Refine-1)*6)%, IF(char1WeapStacks=3, (40+(char1Refine-1)*10)%, 0)))</f>
        <v>0</v>
      </c>
    </row>
    <row r="20" spans="1:97" x14ac:dyDescent="0.25">
      <c r="A20" s="46" t="s">
        <v>78</v>
      </c>
      <c r="B20" s="51">
        <v>0</v>
      </c>
      <c r="C20" s="55">
        <v>0</v>
      </c>
      <c r="D20" s="55">
        <v>0</v>
      </c>
      <c r="E20" s="57">
        <v>0</v>
      </c>
      <c r="F20" s="55">
        <v>0</v>
      </c>
      <c r="G20" s="57">
        <v>0</v>
      </c>
      <c r="H20" s="57">
        <v>0</v>
      </c>
      <c r="I20" s="57">
        <v>0</v>
      </c>
      <c r="J20" s="57">
        <v>0</v>
      </c>
      <c r="K20" s="57">
        <v>0</v>
      </c>
      <c r="L20" s="57">
        <v>0</v>
      </c>
      <c r="M20" s="57">
        <v>0</v>
      </c>
      <c r="N20" s="57">
        <v>0</v>
      </c>
      <c r="O20" s="57">
        <v>0</v>
      </c>
      <c r="P20" s="55">
        <v>0</v>
      </c>
      <c r="Q20" s="55">
        <v>0</v>
      </c>
      <c r="R20" s="55">
        <v>0</v>
      </c>
      <c r="S20" s="57">
        <v>0</v>
      </c>
      <c r="T20" s="57">
        <v>0</v>
      </c>
      <c r="U20" s="67">
        <v>0</v>
      </c>
      <c r="V20" s="67">
        <v>0</v>
      </c>
      <c r="W20" s="67">
        <v>0</v>
      </c>
      <c r="X20" s="67">
        <v>0</v>
      </c>
      <c r="Y20" s="67">
        <v>0</v>
      </c>
      <c r="Z20" s="67">
        <v>0</v>
      </c>
      <c r="AA20" s="67">
        <v>0</v>
      </c>
      <c r="AB20" s="67">
        <v>0</v>
      </c>
      <c r="AC20" s="67">
        <v>0</v>
      </c>
      <c r="AD20" s="67">
        <f>((8+(char1Refine-1)*4)*char1WeapStacks)%</f>
        <v>0</v>
      </c>
      <c r="AE20" s="67">
        <v>0</v>
      </c>
      <c r="AF20" s="67">
        <v>0</v>
      </c>
      <c r="AG20" s="67">
        <v>0</v>
      </c>
      <c r="AH20" s="67">
        <v>0</v>
      </c>
      <c r="AI20" s="67">
        <v>0</v>
      </c>
      <c r="AJ20" s="67">
        <v>0</v>
      </c>
      <c r="AK20" s="67">
        <v>0</v>
      </c>
      <c r="AL20" s="68">
        <v>0</v>
      </c>
      <c r="AM20" s="68">
        <f>IF(char1WeapToggle, (16+(char1Refine-1)*4), 0)%</f>
        <v>0.32</v>
      </c>
      <c r="AN20" s="68">
        <v>0</v>
      </c>
      <c r="AO20" s="68">
        <v>0</v>
      </c>
      <c r="AP20" s="68">
        <v>0</v>
      </c>
      <c r="AQ20" s="68">
        <v>0</v>
      </c>
      <c r="AR20" s="68">
        <v>0</v>
      </c>
      <c r="AS20" s="68">
        <v>0</v>
      </c>
      <c r="AT20" s="68">
        <f>(20+(char1Refine-1)*5)%</f>
        <v>0.4</v>
      </c>
      <c r="AU20" s="68">
        <v>0</v>
      </c>
      <c r="AV20" s="68">
        <v>0</v>
      </c>
      <c r="AW20" s="68">
        <v>0</v>
      </c>
      <c r="AX20" s="68">
        <v>0</v>
      </c>
      <c r="AY20" s="68">
        <v>0</v>
      </c>
      <c r="AZ20" s="68">
        <v>0</v>
      </c>
      <c r="BA20" s="68">
        <v>0</v>
      </c>
      <c r="BB20" s="68">
        <v>0</v>
      </c>
      <c r="BC20" s="68">
        <v>0</v>
      </c>
      <c r="BD20" s="68">
        <v>0</v>
      </c>
      <c r="BE20" s="68">
        <v>0</v>
      </c>
      <c r="BF20" s="68">
        <v>0</v>
      </c>
      <c r="BG20" s="68">
        <v>0</v>
      </c>
      <c r="BH20" s="70">
        <v>0</v>
      </c>
      <c r="BI20" s="70">
        <v>0</v>
      </c>
      <c r="BJ20" s="70">
        <v>0</v>
      </c>
      <c r="BK20" s="70">
        <v>0</v>
      </c>
      <c r="BL20" s="70">
        <v>0</v>
      </c>
      <c r="BM20" s="70">
        <v>0</v>
      </c>
      <c r="BN20" s="70">
        <v>0</v>
      </c>
      <c r="BO20" s="70">
        <v>0</v>
      </c>
      <c r="BP20" s="70">
        <v>0</v>
      </c>
      <c r="BQ20" s="70">
        <v>0</v>
      </c>
      <c r="BR20" s="70">
        <v>0</v>
      </c>
      <c r="BS20" s="70">
        <v>0</v>
      </c>
      <c r="BT20" s="70">
        <v>0</v>
      </c>
      <c r="BU20" s="70">
        <v>0</v>
      </c>
      <c r="BV20" s="70">
        <f>IF(char1WeapToggle,16+(char1Refine-1)*4,0)%</f>
        <v>0.32</v>
      </c>
      <c r="BW20" s="70">
        <v>0</v>
      </c>
      <c r="BX20" s="70">
        <v>0</v>
      </c>
      <c r="BY20" s="70">
        <v>0</v>
      </c>
      <c r="BZ20" s="70">
        <v>0</v>
      </c>
      <c r="CA20" s="74">
        <v>0</v>
      </c>
      <c r="CB20" s="72">
        <v>0</v>
      </c>
      <c r="CC20" s="72">
        <v>0</v>
      </c>
      <c r="CD20" s="72">
        <f>(12+(char1Refine-1)*3)%+char1WeapStacks*(8+(char1Refine-1)*2)%</f>
        <v>0.24</v>
      </c>
      <c r="CE20" s="72">
        <f>-10%</f>
        <v>-0.1</v>
      </c>
      <c r="CF20" s="72">
        <v>0</v>
      </c>
      <c r="CG20" s="74">
        <v>0</v>
      </c>
      <c r="CH20" s="72">
        <v>0</v>
      </c>
      <c r="CI20" s="74">
        <v>0</v>
      </c>
      <c r="CJ20" s="74">
        <v>0</v>
      </c>
      <c r="CK20" s="74">
        <v>0</v>
      </c>
      <c r="CL20" s="72">
        <v>0</v>
      </c>
      <c r="CM20" s="72">
        <v>0</v>
      </c>
      <c r="CN20" s="72">
        <f>IF(char1WeapToggle, 2*(12+(char1Refine-1)*3), (12+(char1Refine-1)*3))%</f>
        <v>0.48</v>
      </c>
      <c r="CO20" s="72">
        <v>0</v>
      </c>
      <c r="CP20" s="74">
        <v>0</v>
      </c>
      <c r="CQ20" s="72">
        <v>0</v>
      </c>
      <c r="CR20" s="72">
        <f>IF(char1WeapToggle, (36+(char1Refine-1)*6)%, -10%)</f>
        <v>0.6</v>
      </c>
      <c r="CS20" s="72">
        <v>0</v>
      </c>
    </row>
    <row r="21" spans="1:97" x14ac:dyDescent="0.25">
      <c r="A21" s="46" t="s">
        <v>79</v>
      </c>
      <c r="B21" s="51">
        <v>0</v>
      </c>
      <c r="C21" s="57">
        <v>0</v>
      </c>
      <c r="D21" s="55">
        <v>0</v>
      </c>
      <c r="E21" s="57">
        <v>0</v>
      </c>
      <c r="F21" s="55">
        <v>0</v>
      </c>
      <c r="G21" s="57">
        <v>0</v>
      </c>
      <c r="H21" s="57">
        <v>0</v>
      </c>
      <c r="I21" s="57">
        <v>0</v>
      </c>
      <c r="J21" s="57">
        <v>0</v>
      </c>
      <c r="K21" s="57">
        <v>0</v>
      </c>
      <c r="L21" s="57">
        <v>0</v>
      </c>
      <c r="M21" s="57">
        <v>0</v>
      </c>
      <c r="N21" s="57">
        <v>0</v>
      </c>
      <c r="O21" s="57">
        <v>0</v>
      </c>
      <c r="P21" s="55">
        <v>0</v>
      </c>
      <c r="Q21" s="55">
        <v>0</v>
      </c>
      <c r="R21" s="55">
        <v>0</v>
      </c>
      <c r="S21" s="57">
        <v>0</v>
      </c>
      <c r="T21" s="57">
        <v>0</v>
      </c>
      <c r="U21" s="67">
        <v>0</v>
      </c>
      <c r="V21" s="67">
        <v>0</v>
      </c>
      <c r="W21" s="67">
        <v>0</v>
      </c>
      <c r="X21" s="67">
        <v>0</v>
      </c>
      <c r="Y21" s="67">
        <v>0</v>
      </c>
      <c r="Z21" s="67">
        <v>0</v>
      </c>
      <c r="AA21" s="67">
        <v>0</v>
      </c>
      <c r="AB21" s="67">
        <v>0</v>
      </c>
      <c r="AC21" s="67">
        <v>0</v>
      </c>
      <c r="AD21" s="67">
        <v>0</v>
      </c>
      <c r="AE21" s="67">
        <v>0</v>
      </c>
      <c r="AF21" s="67">
        <v>0</v>
      </c>
      <c r="AG21" s="67">
        <v>0</v>
      </c>
      <c r="AH21" s="67">
        <v>0</v>
      </c>
      <c r="AI21" s="67">
        <v>0</v>
      </c>
      <c r="AJ21" s="67">
        <v>0</v>
      </c>
      <c r="AK21" s="67">
        <v>0</v>
      </c>
      <c r="AL21" s="68">
        <v>0</v>
      </c>
      <c r="AM21" s="68">
        <f>IF(char1WeapToggle, (16+(char1Refine-1)*4), 0)%</f>
        <v>0.32</v>
      </c>
      <c r="AN21" s="68">
        <v>0</v>
      </c>
      <c r="AO21" s="68">
        <v>0</v>
      </c>
      <c r="AP21" s="68">
        <v>0</v>
      </c>
      <c r="AQ21" s="68">
        <v>0</v>
      </c>
      <c r="AR21" s="68">
        <v>0</v>
      </c>
      <c r="AS21" s="68">
        <v>0</v>
      </c>
      <c r="AT21" s="68">
        <v>0</v>
      </c>
      <c r="AU21" s="68">
        <v>0</v>
      </c>
      <c r="AV21" s="68">
        <v>0</v>
      </c>
      <c r="AW21" s="68">
        <v>0</v>
      </c>
      <c r="AX21" s="68">
        <v>0</v>
      </c>
      <c r="AY21" s="68">
        <v>0</v>
      </c>
      <c r="AZ21" s="68">
        <v>0</v>
      </c>
      <c r="BA21" s="68">
        <v>0</v>
      </c>
      <c r="BB21" s="68">
        <v>0</v>
      </c>
      <c r="BC21" s="68">
        <v>0</v>
      </c>
      <c r="BD21" s="68">
        <v>0</v>
      </c>
      <c r="BE21" s="68">
        <v>0</v>
      </c>
      <c r="BF21" s="68">
        <v>0</v>
      </c>
      <c r="BG21" s="68">
        <v>0</v>
      </c>
      <c r="BH21" s="70">
        <v>0</v>
      </c>
      <c r="BI21" s="70">
        <v>0</v>
      </c>
      <c r="BJ21" s="70">
        <v>0</v>
      </c>
      <c r="BK21" s="70">
        <v>0</v>
      </c>
      <c r="BL21" s="70">
        <v>0</v>
      </c>
      <c r="BM21" s="70">
        <v>0</v>
      </c>
      <c r="BN21" s="70">
        <v>0</v>
      </c>
      <c r="BO21" s="70">
        <v>0</v>
      </c>
      <c r="BP21" s="70">
        <v>0</v>
      </c>
      <c r="BQ21" s="70">
        <v>0</v>
      </c>
      <c r="BR21" s="70">
        <v>0</v>
      </c>
      <c r="BS21" s="70">
        <v>0</v>
      </c>
      <c r="BT21" s="70">
        <v>0</v>
      </c>
      <c r="BU21" s="70">
        <v>0</v>
      </c>
      <c r="BV21" s="70">
        <v>0</v>
      </c>
      <c r="BW21" s="70">
        <v>0</v>
      </c>
      <c r="BX21" s="70">
        <v>0</v>
      </c>
      <c r="BY21" s="70">
        <v>0</v>
      </c>
      <c r="BZ21" s="70">
        <v>0</v>
      </c>
      <c r="CA21" s="74">
        <v>0</v>
      </c>
      <c r="CB21" s="72">
        <v>0</v>
      </c>
      <c r="CC21" s="72">
        <v>0</v>
      </c>
      <c r="CD21" s="72">
        <v>0</v>
      </c>
      <c r="CE21" s="72">
        <v>0</v>
      </c>
      <c r="CF21" s="72">
        <v>0</v>
      </c>
      <c r="CG21" s="74">
        <v>0</v>
      </c>
      <c r="CH21" s="72">
        <v>0</v>
      </c>
      <c r="CI21" s="74">
        <v>0</v>
      </c>
      <c r="CJ21" s="74">
        <v>0</v>
      </c>
      <c r="CK21" s="74">
        <v>0</v>
      </c>
      <c r="CL21" s="72">
        <v>0</v>
      </c>
      <c r="CM21" s="72">
        <v>0</v>
      </c>
      <c r="CN21" s="72">
        <v>0</v>
      </c>
      <c r="CO21" s="72">
        <v>0</v>
      </c>
      <c r="CP21" s="74">
        <v>0</v>
      </c>
      <c r="CQ21" s="72">
        <v>0</v>
      </c>
      <c r="CR21" s="72">
        <v>0</v>
      </c>
      <c r="CS21" s="72">
        <v>0</v>
      </c>
    </row>
    <row r="22" spans="1:97" x14ac:dyDescent="0.25">
      <c r="A22" s="46" t="s">
        <v>80</v>
      </c>
      <c r="B22" s="51">
        <v>0</v>
      </c>
      <c r="C22" s="55">
        <v>0</v>
      </c>
      <c r="D22" s="55">
        <v>0</v>
      </c>
      <c r="E22" s="57">
        <v>0</v>
      </c>
      <c r="F22" s="55">
        <v>0</v>
      </c>
      <c r="G22" s="57">
        <v>0</v>
      </c>
      <c r="H22" s="57">
        <v>0</v>
      </c>
      <c r="I22" s="57">
        <v>0</v>
      </c>
      <c r="J22" s="57">
        <v>0</v>
      </c>
      <c r="K22" s="57">
        <v>0</v>
      </c>
      <c r="L22" s="57">
        <v>0</v>
      </c>
      <c r="M22" s="57">
        <v>0</v>
      </c>
      <c r="N22" s="57">
        <v>0</v>
      </c>
      <c r="O22" s="57">
        <v>0</v>
      </c>
      <c r="P22" s="55">
        <v>0</v>
      </c>
      <c r="Q22" s="55">
        <v>0</v>
      </c>
      <c r="R22" s="55">
        <v>0</v>
      </c>
      <c r="S22" s="57">
        <v>0</v>
      </c>
      <c r="T22" s="57">
        <v>0</v>
      </c>
      <c r="U22" s="67">
        <v>0</v>
      </c>
      <c r="V22" s="67">
        <v>0</v>
      </c>
      <c r="W22" s="67">
        <v>0</v>
      </c>
      <c r="X22" s="67">
        <v>0</v>
      </c>
      <c r="Y22" s="67">
        <v>0</v>
      </c>
      <c r="Z22" s="67">
        <v>0</v>
      </c>
      <c r="AA22" s="67">
        <f>(6+(char1Refine-1)*1.5)%</f>
        <v>0.12</v>
      </c>
      <c r="AB22" s="67">
        <v>0</v>
      </c>
      <c r="AC22" s="67">
        <v>0</v>
      </c>
      <c r="AD22" s="67">
        <v>0</v>
      </c>
      <c r="AE22" s="67">
        <v>0</v>
      </c>
      <c r="AF22" s="67">
        <v>0</v>
      </c>
      <c r="AG22" s="67">
        <v>0</v>
      </c>
      <c r="AH22" s="67">
        <v>0</v>
      </c>
      <c r="AI22" s="67">
        <v>0</v>
      </c>
      <c r="AJ22" s="67">
        <v>0</v>
      </c>
      <c r="AK22" s="67">
        <v>0</v>
      </c>
      <c r="AL22" s="68">
        <v>0</v>
      </c>
      <c r="AM22" s="68">
        <v>0</v>
      </c>
      <c r="AN22" s="68">
        <v>0</v>
      </c>
      <c r="AO22" s="68">
        <v>0</v>
      </c>
      <c r="AP22" s="68">
        <v>0</v>
      </c>
      <c r="AQ22" s="68">
        <v>0</v>
      </c>
      <c r="AR22" s="68">
        <f>(16+(char1Refine-1)*4)%</f>
        <v>0.32</v>
      </c>
      <c r="AS22" s="68">
        <v>0</v>
      </c>
      <c r="AT22" s="68">
        <v>0</v>
      </c>
      <c r="AU22" s="68">
        <v>0</v>
      </c>
      <c r="AV22" s="68">
        <v>0</v>
      </c>
      <c r="AW22" s="68">
        <v>0</v>
      </c>
      <c r="AX22" s="68">
        <v>0</v>
      </c>
      <c r="AY22" s="68">
        <v>0</v>
      </c>
      <c r="AZ22" s="68">
        <v>0</v>
      </c>
      <c r="BA22" s="68">
        <v>0</v>
      </c>
      <c r="BB22" s="68">
        <v>0</v>
      </c>
      <c r="BC22" s="68">
        <v>0</v>
      </c>
      <c r="BD22" s="68">
        <v>0</v>
      </c>
      <c r="BE22" s="68">
        <v>0</v>
      </c>
      <c r="BF22" s="68">
        <v>0</v>
      </c>
      <c r="BG22" s="68">
        <v>0</v>
      </c>
      <c r="BH22" s="70">
        <v>0</v>
      </c>
      <c r="BI22" s="70">
        <v>0</v>
      </c>
      <c r="BJ22" s="70">
        <v>0</v>
      </c>
      <c r="BK22" s="70">
        <v>0</v>
      </c>
      <c r="BL22" s="70">
        <v>0</v>
      </c>
      <c r="BM22" s="70">
        <v>0</v>
      </c>
      <c r="BN22" s="70">
        <v>0</v>
      </c>
      <c r="BO22" s="70">
        <v>0</v>
      </c>
      <c r="BP22" s="70">
        <f>IF(char1WeapToggle, 20+(char1Refine-1)*5,0)%</f>
        <v>0.4</v>
      </c>
      <c r="BQ22" s="70">
        <v>0</v>
      </c>
      <c r="BR22" s="70">
        <v>0</v>
      </c>
      <c r="BS22" s="70">
        <v>0</v>
      </c>
      <c r="BT22" s="70">
        <v>0</v>
      </c>
      <c r="BU22" s="70">
        <v>0</v>
      </c>
      <c r="BV22" s="70">
        <v>0</v>
      </c>
      <c r="BW22" s="70">
        <v>0</v>
      </c>
      <c r="BX22" s="70">
        <v>0</v>
      </c>
      <c r="BY22" s="70">
        <v>0</v>
      </c>
      <c r="BZ22" s="70">
        <v>0</v>
      </c>
      <c r="CA22" s="74">
        <v>0</v>
      </c>
      <c r="CB22" s="72">
        <f>12%+(char1Refine-1)*3%</f>
        <v>0.24</v>
      </c>
      <c r="CC22" s="72">
        <v>0</v>
      </c>
      <c r="CD22" s="72">
        <v>0</v>
      </c>
      <c r="CE22" s="72">
        <v>0</v>
      </c>
      <c r="CF22" s="72">
        <v>0</v>
      </c>
      <c r="CG22" s="74">
        <v>0</v>
      </c>
      <c r="CH22" s="72">
        <v>0</v>
      </c>
      <c r="CI22" s="74">
        <v>0</v>
      </c>
      <c r="CJ22" s="74">
        <v>0</v>
      </c>
      <c r="CK22" s="74">
        <v>0</v>
      </c>
      <c r="CL22" s="72">
        <v>0</v>
      </c>
      <c r="CM22" s="72">
        <v>0</v>
      </c>
      <c r="CN22" s="72">
        <v>0</v>
      </c>
      <c r="CO22" s="72">
        <f>(24+(char1Refine-1)*6)%</f>
        <v>0.48</v>
      </c>
      <c r="CP22" s="74">
        <v>0</v>
      </c>
      <c r="CQ22" s="72">
        <f>IF(char1WeapToggle, 20+(char1Refine-1)*5, 0)%</f>
        <v>0.4</v>
      </c>
      <c r="CR22" s="72">
        <v>0</v>
      </c>
      <c r="CS22" s="72">
        <v>0</v>
      </c>
    </row>
    <row r="23" spans="1:97" x14ac:dyDescent="0.25">
      <c r="A23" s="46" t="s">
        <v>81</v>
      </c>
      <c r="B23" s="51">
        <v>0</v>
      </c>
      <c r="C23" s="55">
        <v>0</v>
      </c>
      <c r="D23" s="55">
        <v>0</v>
      </c>
      <c r="E23" s="57">
        <v>0</v>
      </c>
      <c r="F23" s="55">
        <v>0</v>
      </c>
      <c r="G23" s="57">
        <v>0</v>
      </c>
      <c r="H23" s="57">
        <v>0</v>
      </c>
      <c r="I23" s="57">
        <v>0</v>
      </c>
      <c r="J23" s="57">
        <v>0</v>
      </c>
      <c r="K23" s="57">
        <v>0</v>
      </c>
      <c r="L23" s="57">
        <v>0</v>
      </c>
      <c r="M23" s="57">
        <v>0</v>
      </c>
      <c r="N23" s="57">
        <v>0</v>
      </c>
      <c r="O23" s="57">
        <v>0</v>
      </c>
      <c r="P23" s="55">
        <f>(12+(char1Refine-1)*3)%</f>
        <v>0.24</v>
      </c>
      <c r="Q23" s="55">
        <v>0</v>
      </c>
      <c r="R23" s="55">
        <v>0</v>
      </c>
      <c r="S23" s="57">
        <f>MIN((40+(char1Refine-1)*10)%, char1WeapStacks*(0.12%+(char1Refine-1)*0.03%))</f>
        <v>0</v>
      </c>
      <c r="T23" s="57">
        <v>0</v>
      </c>
      <c r="U23" s="67">
        <v>0</v>
      </c>
      <c r="V23" s="67">
        <v>0</v>
      </c>
      <c r="W23" s="67">
        <v>0</v>
      </c>
      <c r="X23" s="67">
        <v>0</v>
      </c>
      <c r="Y23" s="67">
        <v>0</v>
      </c>
      <c r="Z23" s="67">
        <f>(16+(char1Refine-1)*4)%</f>
        <v>0.32</v>
      </c>
      <c r="AA23" s="67">
        <v>0</v>
      </c>
      <c r="AB23" s="67">
        <v>0</v>
      </c>
      <c r="AC23" s="67">
        <v>0</v>
      </c>
      <c r="AD23" s="67">
        <v>0</v>
      </c>
      <c r="AE23" s="67">
        <v>0</v>
      </c>
      <c r="AF23" s="67">
        <v>0</v>
      </c>
      <c r="AG23" s="67">
        <v>0</v>
      </c>
      <c r="AH23" s="67">
        <v>0</v>
      </c>
      <c r="AI23" s="67">
        <v>0</v>
      </c>
      <c r="AJ23" s="67">
        <v>0</v>
      </c>
      <c r="AK23" s="67">
        <v>0</v>
      </c>
      <c r="AL23" s="68">
        <v>0</v>
      </c>
      <c r="AM23" s="68">
        <v>0</v>
      </c>
      <c r="AN23" s="68">
        <v>0</v>
      </c>
      <c r="AO23" s="68">
        <v>0</v>
      </c>
      <c r="AP23" s="68">
        <v>0</v>
      </c>
      <c r="AQ23" s="68">
        <v>0</v>
      </c>
      <c r="AR23" s="68">
        <v>0</v>
      </c>
      <c r="AS23" s="68">
        <v>0</v>
      </c>
      <c r="AT23" s="68">
        <v>0</v>
      </c>
      <c r="AU23" s="68">
        <v>0</v>
      </c>
      <c r="AV23" s="68">
        <v>0</v>
      </c>
      <c r="AW23" s="68">
        <v>0</v>
      </c>
      <c r="AX23" s="68">
        <v>0</v>
      </c>
      <c r="AY23" s="68">
        <v>0</v>
      </c>
      <c r="AZ23" s="68">
        <v>0</v>
      </c>
      <c r="BA23" s="68">
        <v>0</v>
      </c>
      <c r="BB23" s="68">
        <v>0</v>
      </c>
      <c r="BC23" s="68">
        <v>0</v>
      </c>
      <c r="BD23" s="68">
        <v>0</v>
      </c>
      <c r="BE23" s="68">
        <v>0</v>
      </c>
      <c r="BF23" s="68">
        <v>0</v>
      </c>
      <c r="BG23" s="68">
        <v>0</v>
      </c>
      <c r="BH23" s="70">
        <v>0</v>
      </c>
      <c r="BI23" s="70">
        <v>0</v>
      </c>
      <c r="BJ23" s="70">
        <v>0</v>
      </c>
      <c r="BK23" s="70">
        <v>0</v>
      </c>
      <c r="BL23" s="70">
        <v>0</v>
      </c>
      <c r="BM23" s="70">
        <v>0</v>
      </c>
      <c r="BN23" s="70">
        <v>0</v>
      </c>
      <c r="BO23" s="70">
        <v>0</v>
      </c>
      <c r="BP23" s="70">
        <f>IF(char1WeapToggle, 20+(char1Refine-1)*5,0)%</f>
        <v>0.4</v>
      </c>
      <c r="BQ23" s="70">
        <v>0</v>
      </c>
      <c r="BR23" s="70">
        <v>0</v>
      </c>
      <c r="BS23" s="70">
        <v>0</v>
      </c>
      <c r="BT23" s="70">
        <v>0</v>
      </c>
      <c r="BU23" s="70">
        <v>0</v>
      </c>
      <c r="BV23" s="70">
        <v>0</v>
      </c>
      <c r="BW23" s="70">
        <v>0</v>
      </c>
      <c r="BX23" s="70">
        <v>0</v>
      </c>
      <c r="BY23" s="70">
        <v>0</v>
      </c>
      <c r="BZ23" s="70">
        <v>0</v>
      </c>
      <c r="CA23" s="74">
        <v>0</v>
      </c>
      <c r="CB23" s="72">
        <f>12%+(char1Refine-1)*3%</f>
        <v>0.24</v>
      </c>
      <c r="CC23" s="72">
        <v>0</v>
      </c>
      <c r="CD23" s="72">
        <v>0</v>
      </c>
      <c r="CE23" s="72">
        <v>0</v>
      </c>
      <c r="CF23" s="72">
        <v>0</v>
      </c>
      <c r="CG23" s="74">
        <v>0</v>
      </c>
      <c r="CH23" s="72">
        <v>0</v>
      </c>
      <c r="CI23" s="74">
        <v>0</v>
      </c>
      <c r="CJ23" s="74">
        <v>0</v>
      </c>
      <c r="CK23" s="74">
        <v>0</v>
      </c>
      <c r="CL23" s="72">
        <v>0</v>
      </c>
      <c r="CM23" s="72">
        <v>0</v>
      </c>
      <c r="CN23" s="72">
        <v>0</v>
      </c>
      <c r="CO23" s="72">
        <f>(24+(char1Refine-1)*6)%</f>
        <v>0.48</v>
      </c>
      <c r="CP23" s="74">
        <v>0</v>
      </c>
      <c r="CQ23" s="72">
        <v>0</v>
      </c>
      <c r="CR23" s="72">
        <v>0</v>
      </c>
      <c r="CS23" s="72">
        <v>0</v>
      </c>
    </row>
    <row r="24" spans="1:97" x14ac:dyDescent="0.25">
      <c r="A24" t="s">
        <v>82</v>
      </c>
      <c r="B24" s="51">
        <f>(8+(char1Refine-1)*2)%</f>
        <v>0.16</v>
      </c>
      <c r="C24" s="55">
        <v>0</v>
      </c>
      <c r="D24" s="55">
        <v>0</v>
      </c>
      <c r="E24" s="57">
        <v>0</v>
      </c>
      <c r="F24" s="55">
        <v>0</v>
      </c>
      <c r="G24" s="57">
        <f>char1WeapStacks*(6+(char1Refine-1))%</f>
        <v>0</v>
      </c>
      <c r="H24" s="57">
        <f>IF(char1WeapToggle, 12+(char1Refine-1)*3)%</f>
        <v>0.24</v>
      </c>
      <c r="I24" s="57">
        <v>0</v>
      </c>
      <c r="J24" s="57">
        <v>0</v>
      </c>
      <c r="K24" s="57">
        <v>0</v>
      </c>
      <c r="L24" s="57">
        <v>0</v>
      </c>
      <c r="M24" s="57">
        <f>IF(char1WeapToggle, 20+(char1Refine-1)*4, 0)%</f>
        <v>0.36</v>
      </c>
      <c r="N24" s="57">
        <v>0</v>
      </c>
      <c r="O24" s="57">
        <v>0</v>
      </c>
      <c r="P24" s="55">
        <v>0</v>
      </c>
      <c r="Q24" s="55">
        <v>0</v>
      </c>
      <c r="R24" s="55">
        <v>0</v>
      </c>
      <c r="S24" s="57">
        <v>0</v>
      </c>
      <c r="T24" s="57">
        <v>0</v>
      </c>
      <c r="U24" s="67">
        <v>0</v>
      </c>
      <c r="V24" s="67">
        <v>0</v>
      </c>
      <c r="W24" s="67">
        <f>IF(char1WeapStacks&gt;=7,(12+(char1Refine-1)*3),0)%</f>
        <v>0</v>
      </c>
      <c r="X24" s="67">
        <v>0</v>
      </c>
      <c r="Y24" s="67">
        <v>0</v>
      </c>
      <c r="Z24" s="67">
        <v>0</v>
      </c>
      <c r="AA24" s="67">
        <v>0</v>
      </c>
      <c r="AB24" s="67">
        <v>0</v>
      </c>
      <c r="AC24" s="67">
        <v>0</v>
      </c>
      <c r="AD24" s="67">
        <v>0</v>
      </c>
      <c r="AE24" s="67">
        <v>0</v>
      </c>
      <c r="AF24" s="67">
        <f>IF(char1WeapToggle,(20+(char1Refine-1)*4),0)%</f>
        <v>0.36</v>
      </c>
      <c r="AG24" s="67">
        <v>0</v>
      </c>
      <c r="AH24" s="67">
        <v>0</v>
      </c>
      <c r="AI24" s="67">
        <v>0</v>
      </c>
      <c r="AJ24" s="67">
        <v>0</v>
      </c>
      <c r="AK24" s="67">
        <f>IF(char1WeapToggle,(40+(char1Refine-1)*10),0)%</f>
        <v>0.8</v>
      </c>
      <c r="AL24" s="68">
        <v>0</v>
      </c>
      <c r="AM24" s="68">
        <f>(10+(char1Refine-1)*2.5)%</f>
        <v>0.2</v>
      </c>
      <c r="AN24" s="68">
        <v>0</v>
      </c>
      <c r="AO24" s="68">
        <v>0</v>
      </c>
      <c r="AP24" s="68">
        <v>0</v>
      </c>
      <c r="AQ24" s="68">
        <v>0</v>
      </c>
      <c r="AR24" s="68">
        <v>0</v>
      </c>
      <c r="AS24" s="68">
        <v>0</v>
      </c>
      <c r="AT24" s="68">
        <v>0</v>
      </c>
      <c r="AU24" s="68">
        <f>IF(char1WeapToggle,(12+(char1Refine-1)*3),0)%</f>
        <v>0.24</v>
      </c>
      <c r="AV24" s="68">
        <v>0</v>
      </c>
      <c r="AW24" s="68">
        <v>0</v>
      </c>
      <c r="AX24" s="68">
        <v>0</v>
      </c>
      <c r="AY24" s="68">
        <f>IF(char1WeapToggle,(20+(char1Refine-1)*4),0)%</f>
        <v>0.36</v>
      </c>
      <c r="AZ24" s="68">
        <f>(char1WeapStacks*(6+(char1Refine-1)*1.5))%</f>
        <v>0</v>
      </c>
      <c r="BA24" s="68">
        <v>0</v>
      </c>
      <c r="BB24" s="68">
        <v>0</v>
      </c>
      <c r="BC24" s="68">
        <v>0</v>
      </c>
      <c r="BD24" s="68">
        <v>0</v>
      </c>
      <c r="BE24" s="68">
        <v>0</v>
      </c>
      <c r="BF24" s="68">
        <v>0</v>
      </c>
      <c r="BG24" s="68">
        <v>0</v>
      </c>
      <c r="BH24" s="70">
        <v>0</v>
      </c>
      <c r="BI24" s="70">
        <v>0</v>
      </c>
      <c r="BJ24" s="70">
        <v>0</v>
      </c>
      <c r="BK24" s="70">
        <v>0</v>
      </c>
      <c r="BL24" s="70">
        <v>0</v>
      </c>
      <c r="BM24" s="70">
        <v>0</v>
      </c>
      <c r="BN24" s="70">
        <v>0</v>
      </c>
      <c r="BO24" s="70">
        <v>0</v>
      </c>
      <c r="BP24" s="70">
        <v>0</v>
      </c>
      <c r="BQ24" s="70">
        <v>0</v>
      </c>
      <c r="BR24" s="70">
        <v>0</v>
      </c>
      <c r="BS24" s="70">
        <v>0</v>
      </c>
      <c r="BT24" s="70">
        <v>0</v>
      </c>
      <c r="BU24" s="70">
        <v>0</v>
      </c>
      <c r="BV24" s="70">
        <v>0</v>
      </c>
      <c r="BW24" s="70">
        <f>IF(char1WeapToggle, 12+(char1Refine-1)*3, 0)%</f>
        <v>0.24</v>
      </c>
      <c r="BX24" s="70">
        <v>0</v>
      </c>
      <c r="BY24" s="70">
        <f>IF(char1WeapToggle, 10+(char1Refine-1)*2.5,0)%</f>
        <v>0.2</v>
      </c>
      <c r="BZ24" s="70">
        <v>0</v>
      </c>
      <c r="CA24" s="74">
        <v>0</v>
      </c>
      <c r="CB24" s="72">
        <v>0</v>
      </c>
      <c r="CC24" s="72">
        <v>0</v>
      </c>
      <c r="CD24" s="72">
        <v>0</v>
      </c>
      <c r="CE24" s="72">
        <v>0</v>
      </c>
      <c r="CF24" s="72">
        <v>0</v>
      </c>
      <c r="CG24" s="74">
        <v>0</v>
      </c>
      <c r="CH24" s="72">
        <v>0</v>
      </c>
      <c r="CI24" s="74">
        <v>0</v>
      </c>
      <c r="CJ24" s="74">
        <v>0</v>
      </c>
      <c r="CK24" s="74">
        <v>0</v>
      </c>
      <c r="CL24" s="72">
        <f>IF(char1WeapToggle, 20%+(char1Refine-1)*4%, 0%)</f>
        <v>0.36</v>
      </c>
      <c r="CM24" s="72">
        <v>0</v>
      </c>
      <c r="CN24" s="72">
        <v>0</v>
      </c>
      <c r="CO24" s="72">
        <v>0</v>
      </c>
      <c r="CP24" s="74">
        <v>0</v>
      </c>
      <c r="CQ24" s="72">
        <v>0</v>
      </c>
      <c r="CR24" s="72">
        <v>0</v>
      </c>
      <c r="CS24" s="72">
        <v>0</v>
      </c>
    </row>
    <row r="25" spans="1:97" x14ac:dyDescent="0.25">
      <c r="A25" t="s">
        <v>458</v>
      </c>
      <c r="B25" s="51">
        <v>0</v>
      </c>
      <c r="C25" s="57">
        <f>(20+(char1Refine-1)*5)%</f>
        <v>0.4</v>
      </c>
      <c r="D25" s="55">
        <v>0</v>
      </c>
      <c r="E25" s="57">
        <v>0</v>
      </c>
      <c r="F25" s="55">
        <v>0</v>
      </c>
      <c r="G25" s="57">
        <v>0</v>
      </c>
      <c r="H25" s="57">
        <v>0</v>
      </c>
      <c r="I25" s="57">
        <v>0</v>
      </c>
      <c r="J25" s="57">
        <v>0</v>
      </c>
      <c r="K25" s="57">
        <v>0</v>
      </c>
      <c r="L25" s="57">
        <v>0</v>
      </c>
      <c r="M25" s="57">
        <v>0</v>
      </c>
      <c r="N25" s="57">
        <v>0</v>
      </c>
      <c r="O25" s="57">
        <v>0</v>
      </c>
      <c r="P25" s="55">
        <v>0</v>
      </c>
      <c r="Q25" s="55">
        <v>0</v>
      </c>
      <c r="R25" s="55">
        <v>0</v>
      </c>
      <c r="S25" s="57">
        <v>0</v>
      </c>
      <c r="T25" s="57">
        <v>0</v>
      </c>
      <c r="U25" s="67">
        <v>0</v>
      </c>
      <c r="V25" s="67">
        <v>0</v>
      </c>
      <c r="W25" s="67">
        <v>0</v>
      </c>
      <c r="X25" s="67">
        <f>(20+5*(char1Refine-1))%</f>
        <v>0.4</v>
      </c>
      <c r="Y25" s="67">
        <v>0</v>
      </c>
      <c r="Z25" s="67">
        <v>0</v>
      </c>
      <c r="AA25" s="67">
        <v>0</v>
      </c>
      <c r="AB25" s="67">
        <v>0</v>
      </c>
      <c r="AC25" s="67">
        <v>0</v>
      </c>
      <c r="AD25" s="67">
        <v>0</v>
      </c>
      <c r="AE25" s="67">
        <v>0</v>
      </c>
      <c r="AF25" s="67">
        <v>0</v>
      </c>
      <c r="AG25" s="67">
        <v>0</v>
      </c>
      <c r="AH25" s="67">
        <v>0</v>
      </c>
      <c r="AI25" s="67">
        <v>0</v>
      </c>
      <c r="AJ25" s="67">
        <v>0</v>
      </c>
      <c r="AK25" s="67">
        <v>0</v>
      </c>
      <c r="AL25" s="68">
        <v>0</v>
      </c>
      <c r="AM25" s="68">
        <v>0</v>
      </c>
      <c r="AN25" s="68">
        <v>0</v>
      </c>
      <c r="AO25" s="68">
        <f>(20+5*(char1Refine-1))%</f>
        <v>0.4</v>
      </c>
      <c r="AP25" s="68">
        <v>0</v>
      </c>
      <c r="AQ25" s="68">
        <v>0</v>
      </c>
      <c r="AR25" s="68">
        <v>0</v>
      </c>
      <c r="AS25" s="68">
        <v>0</v>
      </c>
      <c r="AT25" s="68">
        <v>0</v>
      </c>
      <c r="AU25" s="68">
        <v>0</v>
      </c>
      <c r="AV25" s="68">
        <v>0</v>
      </c>
      <c r="AW25" s="68">
        <v>0</v>
      </c>
      <c r="AX25" s="68">
        <v>0</v>
      </c>
      <c r="AY25" s="68">
        <v>0</v>
      </c>
      <c r="AZ25" s="68">
        <v>0</v>
      </c>
      <c r="BA25" s="68">
        <v>0</v>
      </c>
      <c r="BB25" s="68">
        <v>0</v>
      </c>
      <c r="BC25" s="68">
        <v>0</v>
      </c>
      <c r="BD25" s="68">
        <v>0</v>
      </c>
      <c r="BE25" s="68">
        <v>0</v>
      </c>
      <c r="BF25" s="68">
        <v>0</v>
      </c>
      <c r="BG25" s="68">
        <v>0</v>
      </c>
      <c r="BH25" s="70">
        <f>(20+5*(char1Refine-1))%</f>
        <v>0.4</v>
      </c>
      <c r="BI25" s="70">
        <v>0</v>
      </c>
      <c r="BJ25" s="70">
        <v>0</v>
      </c>
      <c r="BK25" s="70">
        <v>0</v>
      </c>
      <c r="BL25" s="70">
        <v>0</v>
      </c>
      <c r="BM25" s="70">
        <v>0</v>
      </c>
      <c r="BN25" s="70">
        <v>0</v>
      </c>
      <c r="BO25" s="70">
        <v>0</v>
      </c>
      <c r="BP25" s="70">
        <v>0</v>
      </c>
      <c r="BQ25" s="70">
        <v>0</v>
      </c>
      <c r="BR25" s="70">
        <v>0</v>
      </c>
      <c r="BS25" s="70">
        <v>0</v>
      </c>
      <c r="BT25" s="70">
        <v>0</v>
      </c>
      <c r="BU25" s="70">
        <v>0</v>
      </c>
      <c r="BV25" s="70">
        <v>0</v>
      </c>
      <c r="BW25" s="70">
        <v>0</v>
      </c>
      <c r="BX25" s="70">
        <v>0</v>
      </c>
      <c r="BY25" s="70">
        <v>0</v>
      </c>
      <c r="BZ25" s="70">
        <v>0</v>
      </c>
      <c r="CA25" s="74">
        <v>0</v>
      </c>
      <c r="CB25" s="72">
        <v>0</v>
      </c>
      <c r="CC25" s="72">
        <v>0</v>
      </c>
      <c r="CD25" s="72">
        <v>0</v>
      </c>
      <c r="CE25" s="72">
        <v>0</v>
      </c>
      <c r="CF25" s="72">
        <v>0</v>
      </c>
      <c r="CG25" s="74">
        <v>0</v>
      </c>
      <c r="CH25" s="72">
        <v>0</v>
      </c>
      <c r="CI25" s="74">
        <v>0</v>
      </c>
      <c r="CJ25" s="74">
        <v>0</v>
      </c>
      <c r="CK25" s="74">
        <v>0</v>
      </c>
      <c r="CL25" s="72">
        <v>0</v>
      </c>
      <c r="CM25" s="72">
        <v>0</v>
      </c>
      <c r="CN25" s="72">
        <v>0</v>
      </c>
      <c r="CO25" s="72">
        <v>0</v>
      </c>
      <c r="CP25" s="74">
        <v>0</v>
      </c>
      <c r="CQ25" s="72">
        <v>0</v>
      </c>
      <c r="CR25" s="72">
        <v>0</v>
      </c>
      <c r="CS25" s="72">
        <v>0</v>
      </c>
    </row>
    <row r="26" spans="1:97" x14ac:dyDescent="0.25">
      <c r="A26" t="s">
        <v>83</v>
      </c>
      <c r="B26" s="51">
        <v>0</v>
      </c>
      <c r="C26" s="57">
        <v>0</v>
      </c>
      <c r="D26" s="55">
        <v>0</v>
      </c>
      <c r="E26" s="57">
        <v>0</v>
      </c>
      <c r="F26" s="55">
        <v>0</v>
      </c>
      <c r="G26" s="57">
        <v>0</v>
      </c>
      <c r="H26" s="57">
        <v>0</v>
      </c>
      <c r="I26" s="57">
        <v>0</v>
      </c>
      <c r="J26" s="57">
        <v>0</v>
      </c>
      <c r="K26" s="57">
        <v>0</v>
      </c>
      <c r="L26" s="57">
        <v>0</v>
      </c>
      <c r="M26" s="57">
        <v>0</v>
      </c>
      <c r="N26" s="57">
        <v>0</v>
      </c>
      <c r="O26" s="57">
        <v>0</v>
      </c>
      <c r="P26" s="55">
        <v>0</v>
      </c>
      <c r="Q26" s="55">
        <v>0</v>
      </c>
      <c r="R26" s="55">
        <v>0</v>
      </c>
      <c r="S26" s="57">
        <v>0</v>
      </c>
      <c r="T26" s="57">
        <v>0</v>
      </c>
      <c r="U26" s="67">
        <v>0</v>
      </c>
      <c r="V26" s="67">
        <v>0</v>
      </c>
      <c r="W26" s="67">
        <v>0</v>
      </c>
      <c r="X26" s="67">
        <v>0</v>
      </c>
      <c r="Y26" s="67">
        <v>0</v>
      </c>
      <c r="Z26" s="67">
        <v>0</v>
      </c>
      <c r="AA26" s="67">
        <v>0</v>
      </c>
      <c r="AB26" s="67">
        <v>0</v>
      </c>
      <c r="AC26" s="67">
        <v>0</v>
      </c>
      <c r="AD26" s="67">
        <v>0</v>
      </c>
      <c r="AE26" s="67">
        <v>0</v>
      </c>
      <c r="AF26" s="67">
        <v>0</v>
      </c>
      <c r="AG26" s="67">
        <v>0</v>
      </c>
      <c r="AH26" s="67">
        <v>0</v>
      </c>
      <c r="AI26" s="67">
        <v>0</v>
      </c>
      <c r="AJ26" s="67">
        <v>0</v>
      </c>
      <c r="AK26" s="67">
        <v>0</v>
      </c>
      <c r="AL26" s="68">
        <v>0</v>
      </c>
      <c r="AM26" s="68">
        <v>0</v>
      </c>
      <c r="AN26" s="68">
        <v>0</v>
      </c>
      <c r="AO26" s="68">
        <v>0</v>
      </c>
      <c r="AP26" s="68">
        <v>0</v>
      </c>
      <c r="AQ26" s="68">
        <v>0</v>
      </c>
      <c r="AR26" s="68">
        <v>0</v>
      </c>
      <c r="AS26" s="68">
        <v>0</v>
      </c>
      <c r="AT26" s="68">
        <v>0</v>
      </c>
      <c r="AU26" s="68">
        <v>0</v>
      </c>
      <c r="AV26" s="68">
        <v>0</v>
      </c>
      <c r="AW26" s="68">
        <v>0</v>
      </c>
      <c r="AX26" s="68">
        <v>0</v>
      </c>
      <c r="AY26" s="68">
        <v>0</v>
      </c>
      <c r="AZ26" s="68">
        <v>0</v>
      </c>
      <c r="BA26" s="68">
        <v>0</v>
      </c>
      <c r="BB26" s="68">
        <v>0</v>
      </c>
      <c r="BC26" s="68">
        <v>0</v>
      </c>
      <c r="BD26" s="68">
        <v>0</v>
      </c>
      <c r="BE26" s="68">
        <v>0</v>
      </c>
      <c r="BF26" s="68">
        <v>0</v>
      </c>
      <c r="BG26" s="68">
        <v>0</v>
      </c>
      <c r="BH26" s="70">
        <v>0</v>
      </c>
      <c r="BI26" s="70">
        <v>0</v>
      </c>
      <c r="BJ26" s="70">
        <v>0</v>
      </c>
      <c r="BK26" s="70">
        <v>0</v>
      </c>
      <c r="BL26" s="70">
        <v>0</v>
      </c>
      <c r="BM26" s="70">
        <v>0</v>
      </c>
      <c r="BN26" s="70">
        <v>0</v>
      </c>
      <c r="BO26" s="70">
        <v>0</v>
      </c>
      <c r="BP26" s="70">
        <v>0</v>
      </c>
      <c r="BQ26" s="70">
        <v>0</v>
      </c>
      <c r="BR26" s="70">
        <v>0</v>
      </c>
      <c r="BS26" s="70">
        <v>0</v>
      </c>
      <c r="BT26" s="70">
        <v>0</v>
      </c>
      <c r="BU26" s="70">
        <v>0</v>
      </c>
      <c r="BV26" s="70">
        <v>0</v>
      </c>
      <c r="BW26" s="70">
        <v>0</v>
      </c>
      <c r="BX26" s="70">
        <v>0</v>
      </c>
      <c r="BY26" s="70">
        <v>0</v>
      </c>
      <c r="BZ26" s="70">
        <v>0</v>
      </c>
      <c r="CA26" s="74">
        <v>0</v>
      </c>
      <c r="CB26" s="72">
        <v>0</v>
      </c>
      <c r="CC26" s="72">
        <v>0</v>
      </c>
      <c r="CD26" s="72">
        <v>0</v>
      </c>
      <c r="CE26" s="72">
        <v>0</v>
      </c>
      <c r="CF26" s="72">
        <v>0</v>
      </c>
      <c r="CG26" s="74">
        <v>0</v>
      </c>
      <c r="CH26" s="72">
        <v>0</v>
      </c>
      <c r="CI26" s="74">
        <v>0</v>
      </c>
      <c r="CJ26" s="74">
        <v>0</v>
      </c>
      <c r="CK26" s="74">
        <v>0</v>
      </c>
      <c r="CL26" s="72">
        <v>0</v>
      </c>
      <c r="CM26" s="72">
        <v>0</v>
      </c>
      <c r="CN26" s="72">
        <v>0</v>
      </c>
      <c r="CO26" s="72">
        <v>0</v>
      </c>
      <c r="CP26" s="74">
        <v>0</v>
      </c>
      <c r="CQ26" s="72">
        <v>0</v>
      </c>
      <c r="CR26" s="72">
        <v>0</v>
      </c>
      <c r="CS26" s="72">
        <v>0</v>
      </c>
    </row>
    <row r="27" spans="1:97" x14ac:dyDescent="0.25">
      <c r="A27" t="s">
        <v>84</v>
      </c>
      <c r="B27" s="51">
        <v>0</v>
      </c>
      <c r="C27" s="57">
        <v>0</v>
      </c>
      <c r="D27" s="55">
        <v>0</v>
      </c>
      <c r="E27" s="57">
        <v>0</v>
      </c>
      <c r="F27" s="55">
        <v>0</v>
      </c>
      <c r="G27" s="57">
        <v>0</v>
      </c>
      <c r="H27" s="57">
        <v>0</v>
      </c>
      <c r="I27" s="57">
        <v>0</v>
      </c>
      <c r="J27" s="57">
        <v>0</v>
      </c>
      <c r="K27" s="57">
        <v>0</v>
      </c>
      <c r="L27" s="57">
        <v>0</v>
      </c>
      <c r="M27" s="57">
        <v>0</v>
      </c>
      <c r="N27" s="57">
        <v>0</v>
      </c>
      <c r="O27" s="57">
        <v>0</v>
      </c>
      <c r="P27" s="55">
        <v>0</v>
      </c>
      <c r="Q27" s="55">
        <v>0</v>
      </c>
      <c r="R27" s="55">
        <v>0</v>
      </c>
      <c r="S27" s="57">
        <v>0</v>
      </c>
      <c r="T27" s="57">
        <v>0</v>
      </c>
      <c r="U27" s="67">
        <v>0</v>
      </c>
      <c r="V27" s="67">
        <v>0</v>
      </c>
      <c r="W27" s="67">
        <v>0</v>
      </c>
      <c r="X27" s="67">
        <v>0</v>
      </c>
      <c r="Y27" s="67">
        <v>0</v>
      </c>
      <c r="Z27" s="67">
        <v>0</v>
      </c>
      <c r="AA27" s="67">
        <v>0</v>
      </c>
      <c r="AB27" s="67">
        <v>0</v>
      </c>
      <c r="AC27" s="67">
        <v>0</v>
      </c>
      <c r="AD27" s="67">
        <v>0</v>
      </c>
      <c r="AE27" s="67">
        <v>0</v>
      </c>
      <c r="AF27" s="67">
        <v>0</v>
      </c>
      <c r="AG27" s="67">
        <v>0</v>
      </c>
      <c r="AH27" s="67">
        <v>0</v>
      </c>
      <c r="AI27" s="67">
        <v>0</v>
      </c>
      <c r="AJ27" s="67">
        <v>0</v>
      </c>
      <c r="AK27" s="67">
        <v>0</v>
      </c>
      <c r="AL27" s="68">
        <v>0</v>
      </c>
      <c r="AM27" s="68">
        <v>0</v>
      </c>
      <c r="AN27" s="68">
        <v>0</v>
      </c>
      <c r="AO27" s="68">
        <v>0</v>
      </c>
      <c r="AP27" s="68">
        <v>0</v>
      </c>
      <c r="AQ27" s="68">
        <v>0</v>
      </c>
      <c r="AR27" s="68">
        <v>0</v>
      </c>
      <c r="AS27" s="68">
        <v>0</v>
      </c>
      <c r="AT27" s="68">
        <v>0</v>
      </c>
      <c r="AU27" s="68">
        <v>0</v>
      </c>
      <c r="AV27" s="68">
        <v>0</v>
      </c>
      <c r="AW27" s="68">
        <v>0</v>
      </c>
      <c r="AX27" s="68">
        <v>0</v>
      </c>
      <c r="AY27" s="68">
        <v>0</v>
      </c>
      <c r="AZ27" s="68">
        <v>0</v>
      </c>
      <c r="BA27" s="68">
        <v>0</v>
      </c>
      <c r="BB27" s="68">
        <v>0</v>
      </c>
      <c r="BC27" s="68">
        <v>0</v>
      </c>
      <c r="BD27" s="68">
        <v>0</v>
      </c>
      <c r="BE27" s="68">
        <v>0</v>
      </c>
      <c r="BF27" s="68">
        <v>0</v>
      </c>
      <c r="BG27" s="68">
        <v>0</v>
      </c>
      <c r="BH27" s="70">
        <v>0</v>
      </c>
      <c r="BI27" s="70">
        <v>0</v>
      </c>
      <c r="BJ27" s="70">
        <v>0</v>
      </c>
      <c r="BK27" s="70">
        <v>0</v>
      </c>
      <c r="BL27" s="70">
        <v>0</v>
      </c>
      <c r="BM27" s="70">
        <v>0</v>
      </c>
      <c r="BN27" s="70">
        <v>0</v>
      </c>
      <c r="BO27" s="70">
        <v>0</v>
      </c>
      <c r="BP27" s="70">
        <v>0</v>
      </c>
      <c r="BQ27" s="70">
        <v>0</v>
      </c>
      <c r="BR27" s="70">
        <v>0</v>
      </c>
      <c r="BS27" s="70">
        <v>0</v>
      </c>
      <c r="BT27" s="70">
        <v>0</v>
      </c>
      <c r="BU27" s="70">
        <v>0</v>
      </c>
      <c r="BV27" s="70">
        <v>0</v>
      </c>
      <c r="BW27" s="70">
        <v>0</v>
      </c>
      <c r="BX27" s="70">
        <v>0</v>
      </c>
      <c r="BY27" s="70">
        <v>0</v>
      </c>
      <c r="BZ27" s="70">
        <v>0</v>
      </c>
      <c r="CA27" s="74">
        <v>0</v>
      </c>
      <c r="CB27" s="72">
        <v>0</v>
      </c>
      <c r="CC27" s="72">
        <v>0</v>
      </c>
      <c r="CD27" s="72">
        <v>0</v>
      </c>
      <c r="CE27" s="72">
        <v>0</v>
      </c>
      <c r="CF27" s="72">
        <v>0</v>
      </c>
      <c r="CG27" s="74">
        <v>0</v>
      </c>
      <c r="CH27" s="72">
        <v>0</v>
      </c>
      <c r="CI27" s="74">
        <v>0</v>
      </c>
      <c r="CJ27" s="74">
        <v>0</v>
      </c>
      <c r="CK27" s="74">
        <v>0</v>
      </c>
      <c r="CL27" s="72">
        <v>0</v>
      </c>
      <c r="CM27" s="72">
        <v>0</v>
      </c>
      <c r="CN27" s="72">
        <v>0</v>
      </c>
      <c r="CO27" s="72">
        <v>0</v>
      </c>
      <c r="CP27" s="74">
        <v>0</v>
      </c>
      <c r="CQ27" s="72">
        <v>0</v>
      </c>
      <c r="CR27" s="72">
        <v>0</v>
      </c>
      <c r="CS27" s="72">
        <v>0</v>
      </c>
    </row>
    <row r="28" spans="1:97" x14ac:dyDescent="0.25">
      <c r="A28" t="s">
        <v>85</v>
      </c>
      <c r="B28" s="51">
        <v>0</v>
      </c>
      <c r="C28" s="57">
        <v>0</v>
      </c>
      <c r="D28" s="55">
        <v>0</v>
      </c>
      <c r="E28" s="57">
        <v>0</v>
      </c>
      <c r="F28" s="55">
        <v>0</v>
      </c>
      <c r="G28" s="57">
        <v>0</v>
      </c>
      <c r="H28" s="57">
        <v>0</v>
      </c>
      <c r="I28" s="57">
        <v>0</v>
      </c>
      <c r="J28" s="57">
        <v>0</v>
      </c>
      <c r="K28" s="57">
        <v>0</v>
      </c>
      <c r="L28" s="57">
        <v>0</v>
      </c>
      <c r="M28" s="57">
        <v>0</v>
      </c>
      <c r="N28" s="57">
        <v>0</v>
      </c>
      <c r="O28" s="57">
        <v>0</v>
      </c>
      <c r="P28" s="55">
        <v>0</v>
      </c>
      <c r="Q28" s="55">
        <v>0</v>
      </c>
      <c r="R28" s="55">
        <v>0</v>
      </c>
      <c r="S28" s="57">
        <v>0</v>
      </c>
      <c r="T28" s="57">
        <v>0</v>
      </c>
      <c r="U28" s="67">
        <v>0</v>
      </c>
      <c r="V28" s="67">
        <v>0</v>
      </c>
      <c r="W28" s="67">
        <v>0</v>
      </c>
      <c r="X28" s="67">
        <v>0</v>
      </c>
      <c r="Y28" s="67">
        <v>0</v>
      </c>
      <c r="Z28" s="67">
        <v>0</v>
      </c>
      <c r="AA28" s="67">
        <v>0</v>
      </c>
      <c r="AB28" s="67">
        <v>0</v>
      </c>
      <c r="AC28" s="67">
        <v>0</v>
      </c>
      <c r="AD28" s="67">
        <v>0</v>
      </c>
      <c r="AE28" s="67">
        <v>0</v>
      </c>
      <c r="AF28" s="67">
        <v>0</v>
      </c>
      <c r="AG28" s="67">
        <v>0</v>
      </c>
      <c r="AH28" s="67">
        <v>0</v>
      </c>
      <c r="AI28" s="67">
        <v>0</v>
      </c>
      <c r="AJ28" s="67">
        <v>0</v>
      </c>
      <c r="AK28" s="67">
        <v>0</v>
      </c>
      <c r="AL28" s="68">
        <v>0</v>
      </c>
      <c r="AM28" s="68">
        <v>0</v>
      </c>
      <c r="AN28" s="68">
        <v>0</v>
      </c>
      <c r="AO28" s="68">
        <v>0</v>
      </c>
      <c r="AP28" s="68">
        <v>0</v>
      </c>
      <c r="AQ28" s="68">
        <v>0</v>
      </c>
      <c r="AR28" s="68">
        <v>0</v>
      </c>
      <c r="AS28" s="68">
        <v>0</v>
      </c>
      <c r="AT28" s="68">
        <v>0</v>
      </c>
      <c r="AU28" s="68">
        <v>0</v>
      </c>
      <c r="AV28" s="68">
        <v>0</v>
      </c>
      <c r="AW28" s="68">
        <v>0</v>
      </c>
      <c r="AX28" s="68">
        <v>0</v>
      </c>
      <c r="AY28" s="68">
        <v>0</v>
      </c>
      <c r="AZ28" s="68">
        <v>0</v>
      </c>
      <c r="BA28" s="68">
        <v>0</v>
      </c>
      <c r="BB28" s="68">
        <v>0</v>
      </c>
      <c r="BC28" s="68">
        <v>0</v>
      </c>
      <c r="BD28" s="68">
        <v>0</v>
      </c>
      <c r="BE28" s="68">
        <v>0</v>
      </c>
      <c r="BF28" s="68">
        <v>0</v>
      </c>
      <c r="BG28" s="68">
        <v>0</v>
      </c>
      <c r="BH28" s="70">
        <v>0</v>
      </c>
      <c r="BI28" s="70">
        <v>0</v>
      </c>
      <c r="BJ28" s="70">
        <v>0</v>
      </c>
      <c r="BK28" s="70">
        <v>0</v>
      </c>
      <c r="BL28" s="70">
        <v>0</v>
      </c>
      <c r="BM28" s="70">
        <v>0</v>
      </c>
      <c r="BN28" s="70">
        <v>0</v>
      </c>
      <c r="BO28" s="70">
        <v>0</v>
      </c>
      <c r="BP28" s="70">
        <v>0</v>
      </c>
      <c r="BQ28" s="70">
        <v>0</v>
      </c>
      <c r="BR28" s="70">
        <v>0</v>
      </c>
      <c r="BS28" s="70">
        <v>0</v>
      </c>
      <c r="BT28" s="70">
        <v>0</v>
      </c>
      <c r="BU28" s="70">
        <v>0</v>
      </c>
      <c r="BV28" s="70">
        <v>0</v>
      </c>
      <c r="BW28" s="70">
        <v>0</v>
      </c>
      <c r="BX28" s="70">
        <v>0</v>
      </c>
      <c r="BY28" s="70">
        <v>0</v>
      </c>
      <c r="BZ28" s="70">
        <v>0</v>
      </c>
      <c r="CA28" s="74">
        <v>0</v>
      </c>
      <c r="CB28" s="72">
        <v>0</v>
      </c>
      <c r="CC28" s="72">
        <v>0</v>
      </c>
      <c r="CD28" s="72">
        <v>0</v>
      </c>
      <c r="CE28" s="72">
        <v>0</v>
      </c>
      <c r="CF28" s="72">
        <v>0</v>
      </c>
      <c r="CG28" s="74">
        <v>0</v>
      </c>
      <c r="CH28" s="72">
        <v>0</v>
      </c>
      <c r="CI28" s="74">
        <v>0</v>
      </c>
      <c r="CJ28" s="74">
        <v>0</v>
      </c>
      <c r="CK28" s="74">
        <v>0</v>
      </c>
      <c r="CL28" s="72">
        <v>0</v>
      </c>
      <c r="CM28" s="72">
        <v>0</v>
      </c>
      <c r="CN28" s="72">
        <v>0</v>
      </c>
      <c r="CO28" s="72">
        <v>0</v>
      </c>
      <c r="CP28" s="74">
        <v>0</v>
      </c>
      <c r="CQ28" s="72">
        <v>0</v>
      </c>
      <c r="CR28" s="72">
        <v>0</v>
      </c>
      <c r="CS28" s="72">
        <v>0</v>
      </c>
    </row>
    <row r="29" spans="1:97" x14ac:dyDescent="0.25">
      <c r="A29" t="s">
        <v>87</v>
      </c>
      <c r="B29" s="51">
        <v>0</v>
      </c>
      <c r="C29" s="57">
        <v>0</v>
      </c>
      <c r="D29" s="55">
        <v>0</v>
      </c>
      <c r="E29" s="57">
        <v>0</v>
      </c>
      <c r="F29" s="55">
        <v>0</v>
      </c>
      <c r="G29" s="57">
        <v>0</v>
      </c>
      <c r="H29" s="57">
        <v>0</v>
      </c>
      <c r="I29" s="57">
        <v>0</v>
      </c>
      <c r="J29" s="57">
        <v>0</v>
      </c>
      <c r="K29" s="57">
        <v>0</v>
      </c>
      <c r="L29" s="57">
        <v>0</v>
      </c>
      <c r="M29" s="57">
        <v>0</v>
      </c>
      <c r="N29" s="57">
        <v>0</v>
      </c>
      <c r="O29" s="57">
        <v>0</v>
      </c>
      <c r="P29" s="55">
        <v>0</v>
      </c>
      <c r="Q29" s="55">
        <v>0</v>
      </c>
      <c r="R29" s="55">
        <v>0</v>
      </c>
      <c r="S29" s="57">
        <v>0</v>
      </c>
      <c r="T29" s="57">
        <v>0</v>
      </c>
      <c r="U29" s="67">
        <v>0</v>
      </c>
      <c r="V29" s="67">
        <v>0</v>
      </c>
      <c r="W29" s="67">
        <v>0</v>
      </c>
      <c r="X29" s="67">
        <v>0</v>
      </c>
      <c r="Y29" s="67">
        <v>0</v>
      </c>
      <c r="Z29" s="67">
        <v>0</v>
      </c>
      <c r="AA29" s="67">
        <v>0</v>
      </c>
      <c r="AB29" s="67">
        <v>0</v>
      </c>
      <c r="AC29" s="67">
        <v>0</v>
      </c>
      <c r="AD29" s="67">
        <v>0</v>
      </c>
      <c r="AE29" s="67">
        <v>0</v>
      </c>
      <c r="AF29" s="67">
        <v>0</v>
      </c>
      <c r="AG29" s="67">
        <v>0</v>
      </c>
      <c r="AH29" s="67">
        <v>0</v>
      </c>
      <c r="AI29" s="67">
        <v>0</v>
      </c>
      <c r="AJ29" s="67">
        <v>0</v>
      </c>
      <c r="AK29" s="67">
        <v>0</v>
      </c>
      <c r="AL29" s="68">
        <v>0</v>
      </c>
      <c r="AM29" s="68">
        <v>0</v>
      </c>
      <c r="AN29" s="68">
        <v>0</v>
      </c>
      <c r="AO29" s="68">
        <v>0</v>
      </c>
      <c r="AP29" s="68">
        <v>0</v>
      </c>
      <c r="AQ29" s="68">
        <v>0</v>
      </c>
      <c r="AR29" s="68">
        <v>0</v>
      </c>
      <c r="AS29" s="68">
        <v>0</v>
      </c>
      <c r="AT29" s="68">
        <v>0</v>
      </c>
      <c r="AU29" s="68">
        <v>0</v>
      </c>
      <c r="AV29" s="68">
        <v>0</v>
      </c>
      <c r="AW29" s="68">
        <v>0</v>
      </c>
      <c r="AX29" s="68">
        <v>0</v>
      </c>
      <c r="AY29" s="68">
        <v>0</v>
      </c>
      <c r="AZ29" s="68">
        <v>0</v>
      </c>
      <c r="BA29" s="68">
        <v>0</v>
      </c>
      <c r="BB29" s="68">
        <v>0</v>
      </c>
      <c r="BC29" s="68">
        <v>0</v>
      </c>
      <c r="BD29" s="68">
        <v>0</v>
      </c>
      <c r="BE29" s="68">
        <v>0</v>
      </c>
      <c r="BF29" s="68">
        <v>0</v>
      </c>
      <c r="BG29" s="68">
        <v>0</v>
      </c>
      <c r="BH29" s="70">
        <v>0</v>
      </c>
      <c r="BI29" s="70">
        <v>0</v>
      </c>
      <c r="BJ29" s="70">
        <v>0</v>
      </c>
      <c r="BK29" s="70">
        <v>0</v>
      </c>
      <c r="BL29" s="70">
        <v>0</v>
      </c>
      <c r="BM29" s="70">
        <v>0</v>
      </c>
      <c r="BN29" s="70">
        <v>0</v>
      </c>
      <c r="BO29" s="70">
        <v>0</v>
      </c>
      <c r="BP29" s="70">
        <v>0</v>
      </c>
      <c r="BQ29" s="70">
        <v>0</v>
      </c>
      <c r="BR29" s="70">
        <v>0</v>
      </c>
      <c r="BS29" s="70">
        <v>0</v>
      </c>
      <c r="BT29" s="70">
        <v>0</v>
      </c>
      <c r="BU29" s="70">
        <v>0</v>
      </c>
      <c r="BV29" s="70">
        <v>0</v>
      </c>
      <c r="BW29" s="70">
        <v>0</v>
      </c>
      <c r="BX29" s="70">
        <v>0</v>
      </c>
      <c r="BY29" s="70">
        <v>0</v>
      </c>
      <c r="BZ29" s="70">
        <v>0</v>
      </c>
      <c r="CA29" s="74">
        <v>0</v>
      </c>
      <c r="CB29" s="72">
        <v>0</v>
      </c>
      <c r="CC29" s="72">
        <v>0</v>
      </c>
      <c r="CD29" s="72">
        <v>0</v>
      </c>
      <c r="CE29" s="72">
        <v>0</v>
      </c>
      <c r="CF29" s="72">
        <v>0</v>
      </c>
      <c r="CG29" s="74">
        <v>0</v>
      </c>
      <c r="CH29" s="72">
        <v>0</v>
      </c>
      <c r="CI29" s="74">
        <v>0</v>
      </c>
      <c r="CJ29" s="74">
        <v>0</v>
      </c>
      <c r="CK29" s="74">
        <v>0</v>
      </c>
      <c r="CL29" s="72">
        <v>0</v>
      </c>
      <c r="CM29" s="72">
        <v>0</v>
      </c>
      <c r="CN29" s="72">
        <v>0</v>
      </c>
      <c r="CO29" s="72">
        <v>0</v>
      </c>
      <c r="CP29" s="74">
        <v>0</v>
      </c>
      <c r="CQ29" s="72">
        <v>0</v>
      </c>
      <c r="CR29" s="72">
        <v>0</v>
      </c>
      <c r="CS29" s="72">
        <v>0</v>
      </c>
    </row>
    <row r="30" spans="1:97" x14ac:dyDescent="0.25">
      <c r="A30" t="s">
        <v>86</v>
      </c>
      <c r="B30" s="51">
        <v>0</v>
      </c>
      <c r="C30" s="57">
        <v>0</v>
      </c>
      <c r="D30" s="55">
        <v>0</v>
      </c>
      <c r="E30" s="57">
        <v>0</v>
      </c>
      <c r="F30" s="55">
        <v>0</v>
      </c>
      <c r="G30" s="57">
        <v>0</v>
      </c>
      <c r="H30" s="57">
        <v>0</v>
      </c>
      <c r="I30" s="57">
        <v>0</v>
      </c>
      <c r="J30" s="57">
        <v>0</v>
      </c>
      <c r="K30" s="57">
        <v>0</v>
      </c>
      <c r="L30" s="57">
        <v>0</v>
      </c>
      <c r="M30" s="57">
        <v>0</v>
      </c>
      <c r="N30" s="57">
        <v>0</v>
      </c>
      <c r="O30" s="57">
        <v>0</v>
      </c>
      <c r="P30" s="55">
        <v>0</v>
      </c>
      <c r="Q30" s="55">
        <v>0</v>
      </c>
      <c r="R30" s="55">
        <v>0</v>
      </c>
      <c r="S30" s="57">
        <v>0</v>
      </c>
      <c r="T30" s="57">
        <v>0</v>
      </c>
      <c r="U30" s="67">
        <v>0</v>
      </c>
      <c r="V30" s="67">
        <v>0</v>
      </c>
      <c r="W30" s="67">
        <v>0</v>
      </c>
      <c r="X30" s="67">
        <v>0</v>
      </c>
      <c r="Y30" s="67">
        <v>0</v>
      </c>
      <c r="Z30" s="67">
        <v>0</v>
      </c>
      <c r="AA30" s="67">
        <v>0</v>
      </c>
      <c r="AB30" s="67">
        <v>0</v>
      </c>
      <c r="AC30" s="67">
        <v>0</v>
      </c>
      <c r="AD30" s="67">
        <v>0</v>
      </c>
      <c r="AE30" s="67">
        <v>0</v>
      </c>
      <c r="AF30" s="67">
        <v>0</v>
      </c>
      <c r="AG30" s="67">
        <v>0</v>
      </c>
      <c r="AH30" s="67">
        <v>0</v>
      </c>
      <c r="AI30" s="67">
        <v>0</v>
      </c>
      <c r="AJ30" s="67">
        <v>0</v>
      </c>
      <c r="AK30" s="67">
        <v>0</v>
      </c>
      <c r="AL30" s="68">
        <v>0</v>
      </c>
      <c r="AM30" s="68">
        <v>0</v>
      </c>
      <c r="AN30" s="68">
        <v>0</v>
      </c>
      <c r="AO30" s="68">
        <v>0</v>
      </c>
      <c r="AP30" s="68">
        <v>0</v>
      </c>
      <c r="AQ30" s="68">
        <v>0</v>
      </c>
      <c r="AR30" s="68">
        <v>0</v>
      </c>
      <c r="AS30" s="68">
        <v>0</v>
      </c>
      <c r="AT30" s="68">
        <v>0</v>
      </c>
      <c r="AU30" s="68">
        <v>0</v>
      </c>
      <c r="AV30" s="68">
        <v>0</v>
      </c>
      <c r="AW30" s="68">
        <v>0</v>
      </c>
      <c r="AX30" s="68">
        <v>0</v>
      </c>
      <c r="AY30" s="68">
        <v>0</v>
      </c>
      <c r="AZ30" s="68">
        <v>0</v>
      </c>
      <c r="BA30" s="68">
        <v>0</v>
      </c>
      <c r="BB30" s="68">
        <v>0</v>
      </c>
      <c r="BC30" s="68">
        <v>0</v>
      </c>
      <c r="BD30" s="68">
        <v>0</v>
      </c>
      <c r="BE30" s="68">
        <v>0</v>
      </c>
      <c r="BF30" s="68">
        <v>0</v>
      </c>
      <c r="BG30" s="68">
        <v>0</v>
      </c>
      <c r="BH30" s="70">
        <v>0</v>
      </c>
      <c r="BI30" s="70">
        <v>0</v>
      </c>
      <c r="BJ30" s="70">
        <v>0</v>
      </c>
      <c r="BK30" s="70">
        <v>0</v>
      </c>
      <c r="BL30" s="70">
        <v>0</v>
      </c>
      <c r="BM30" s="70">
        <v>0</v>
      </c>
      <c r="BN30" s="70">
        <v>0</v>
      </c>
      <c r="BO30" s="70">
        <v>0</v>
      </c>
      <c r="BP30" s="70">
        <v>0</v>
      </c>
      <c r="BQ30" s="70">
        <v>0</v>
      </c>
      <c r="BR30" s="70">
        <v>0</v>
      </c>
      <c r="BS30" s="70">
        <v>0</v>
      </c>
      <c r="BT30" s="70">
        <v>0</v>
      </c>
      <c r="BU30" s="70">
        <v>0</v>
      </c>
      <c r="BV30" s="70">
        <v>0</v>
      </c>
      <c r="BW30" s="70">
        <v>0</v>
      </c>
      <c r="BX30" s="70">
        <v>0</v>
      </c>
      <c r="BY30" s="70">
        <v>0</v>
      </c>
      <c r="BZ30" s="70">
        <v>0</v>
      </c>
      <c r="CA30" s="74">
        <v>0</v>
      </c>
      <c r="CB30" s="72">
        <v>0</v>
      </c>
      <c r="CC30" s="72">
        <v>0</v>
      </c>
      <c r="CD30" s="72">
        <v>0</v>
      </c>
      <c r="CE30" s="72">
        <v>0</v>
      </c>
      <c r="CF30" s="72">
        <v>0</v>
      </c>
      <c r="CG30" s="74">
        <v>0</v>
      </c>
      <c r="CH30" s="72">
        <v>0</v>
      </c>
      <c r="CI30" s="74">
        <v>0</v>
      </c>
      <c r="CJ30" s="74">
        <v>0</v>
      </c>
      <c r="CK30" s="74">
        <v>0</v>
      </c>
      <c r="CL30" s="72">
        <v>0</v>
      </c>
      <c r="CM30" s="72">
        <v>0</v>
      </c>
      <c r="CN30" s="72">
        <v>0</v>
      </c>
      <c r="CO30" s="72">
        <v>0</v>
      </c>
      <c r="CP30" s="74">
        <v>0</v>
      </c>
      <c r="CQ30" s="72">
        <v>0</v>
      </c>
      <c r="CR30" s="72">
        <v>0</v>
      </c>
      <c r="CS30" s="72">
        <v>0</v>
      </c>
    </row>
    <row r="31" spans="1:97" x14ac:dyDescent="0.25">
      <c r="A31" t="s">
        <v>88</v>
      </c>
      <c r="B31" s="51">
        <v>0</v>
      </c>
      <c r="C31" s="57">
        <v>0</v>
      </c>
      <c r="D31" s="55">
        <v>0</v>
      </c>
      <c r="E31" s="57">
        <v>0</v>
      </c>
      <c r="F31" s="55">
        <v>0</v>
      </c>
      <c r="G31" s="57">
        <v>0</v>
      </c>
      <c r="H31" s="57">
        <v>0</v>
      </c>
      <c r="I31" s="57">
        <v>0</v>
      </c>
      <c r="J31" s="57">
        <v>0</v>
      </c>
      <c r="K31" s="57">
        <v>0</v>
      </c>
      <c r="L31" s="57">
        <v>0</v>
      </c>
      <c r="M31" s="57">
        <v>0</v>
      </c>
      <c r="N31" s="57">
        <v>0</v>
      </c>
      <c r="O31" s="57">
        <v>0</v>
      </c>
      <c r="P31" s="55">
        <v>0</v>
      </c>
      <c r="Q31" s="55">
        <v>0</v>
      </c>
      <c r="R31" s="55">
        <v>0</v>
      </c>
      <c r="S31" s="57">
        <v>0</v>
      </c>
      <c r="T31" s="57">
        <v>0</v>
      </c>
      <c r="U31" s="67">
        <v>0</v>
      </c>
      <c r="V31" s="67">
        <v>0</v>
      </c>
      <c r="W31" s="67">
        <v>0</v>
      </c>
      <c r="X31" s="67">
        <v>0</v>
      </c>
      <c r="Y31" s="67">
        <v>0</v>
      </c>
      <c r="Z31" s="67">
        <v>0</v>
      </c>
      <c r="AA31" s="67">
        <v>0</v>
      </c>
      <c r="AB31" s="67">
        <v>0</v>
      </c>
      <c r="AC31" s="67">
        <v>0</v>
      </c>
      <c r="AD31" s="67">
        <v>0</v>
      </c>
      <c r="AE31" s="67">
        <v>0</v>
      </c>
      <c r="AF31" s="67">
        <v>0</v>
      </c>
      <c r="AG31" s="67">
        <v>0</v>
      </c>
      <c r="AH31" s="67">
        <v>0</v>
      </c>
      <c r="AI31" s="67">
        <v>0</v>
      </c>
      <c r="AJ31" s="67">
        <v>0</v>
      </c>
      <c r="AK31" s="67">
        <v>0</v>
      </c>
      <c r="AL31" s="68">
        <v>0</v>
      </c>
      <c r="AM31" s="68">
        <v>0</v>
      </c>
      <c r="AN31" s="68">
        <v>0</v>
      </c>
      <c r="AO31" s="68">
        <v>0</v>
      </c>
      <c r="AP31" s="68">
        <v>0</v>
      </c>
      <c r="AQ31" s="68">
        <v>0</v>
      </c>
      <c r="AR31" s="68">
        <v>0</v>
      </c>
      <c r="AS31" s="68">
        <v>0</v>
      </c>
      <c r="AT31" s="68">
        <v>0</v>
      </c>
      <c r="AU31" s="68">
        <v>0</v>
      </c>
      <c r="AV31" s="68">
        <v>0</v>
      </c>
      <c r="AW31" s="68">
        <v>0</v>
      </c>
      <c r="AX31" s="68">
        <v>0</v>
      </c>
      <c r="AY31" s="68">
        <v>0</v>
      </c>
      <c r="AZ31" s="68">
        <v>0</v>
      </c>
      <c r="BA31" s="68">
        <v>0</v>
      </c>
      <c r="BB31" s="68">
        <v>0</v>
      </c>
      <c r="BC31" s="68">
        <v>0</v>
      </c>
      <c r="BD31" s="68">
        <v>0</v>
      </c>
      <c r="BE31" s="68">
        <v>0</v>
      </c>
      <c r="BF31" s="68">
        <v>0</v>
      </c>
      <c r="BG31" s="68">
        <v>0</v>
      </c>
      <c r="BH31" s="70">
        <v>0</v>
      </c>
      <c r="BI31" s="70">
        <v>0</v>
      </c>
      <c r="BJ31" s="70">
        <v>0</v>
      </c>
      <c r="BK31" s="70">
        <v>0</v>
      </c>
      <c r="BL31" s="70">
        <v>0</v>
      </c>
      <c r="BM31" s="70">
        <v>0</v>
      </c>
      <c r="BN31" s="70">
        <v>0</v>
      </c>
      <c r="BO31" s="70">
        <v>0</v>
      </c>
      <c r="BP31" s="70">
        <v>0</v>
      </c>
      <c r="BQ31" s="70">
        <v>0</v>
      </c>
      <c r="BR31" s="70">
        <v>0</v>
      </c>
      <c r="BS31" s="70">
        <v>0</v>
      </c>
      <c r="BT31" s="70">
        <v>0</v>
      </c>
      <c r="BU31" s="70">
        <v>0</v>
      </c>
      <c r="BV31" s="70">
        <v>0</v>
      </c>
      <c r="BW31" s="70">
        <v>0</v>
      </c>
      <c r="BX31" s="70">
        <v>0</v>
      </c>
      <c r="BY31" s="70">
        <v>0</v>
      </c>
      <c r="BZ31" s="70">
        <v>0</v>
      </c>
      <c r="CA31" s="74">
        <v>0</v>
      </c>
      <c r="CB31" s="72">
        <v>0</v>
      </c>
      <c r="CC31" s="72">
        <v>0</v>
      </c>
      <c r="CD31" s="72">
        <v>0</v>
      </c>
      <c r="CE31" s="72">
        <v>0</v>
      </c>
      <c r="CF31" s="72">
        <v>0</v>
      </c>
      <c r="CG31" s="74">
        <v>0</v>
      </c>
      <c r="CH31" s="72">
        <v>0</v>
      </c>
      <c r="CI31" s="74">
        <v>0</v>
      </c>
      <c r="CJ31" s="74">
        <v>0</v>
      </c>
      <c r="CK31" s="74">
        <v>0</v>
      </c>
      <c r="CL31" s="72">
        <v>0</v>
      </c>
      <c r="CM31" s="72">
        <v>0</v>
      </c>
      <c r="CN31" s="72">
        <v>0</v>
      </c>
      <c r="CO31" s="72">
        <v>0</v>
      </c>
      <c r="CP31" s="74">
        <v>0</v>
      </c>
      <c r="CQ31" s="72">
        <v>0</v>
      </c>
      <c r="CR31" s="72">
        <v>0</v>
      </c>
      <c r="CS31" s="72">
        <v>0</v>
      </c>
    </row>
    <row r="32" spans="1:97" x14ac:dyDescent="0.25">
      <c r="A32" t="s">
        <v>89</v>
      </c>
      <c r="B32" s="51">
        <v>0</v>
      </c>
      <c r="C32" s="57">
        <v>0</v>
      </c>
      <c r="D32" s="55">
        <v>0</v>
      </c>
      <c r="E32" s="57">
        <v>0</v>
      </c>
      <c r="F32" s="55">
        <v>0</v>
      </c>
      <c r="G32" s="57">
        <v>0</v>
      </c>
      <c r="H32" s="57">
        <v>0</v>
      </c>
      <c r="I32" s="57">
        <v>0</v>
      </c>
      <c r="J32" s="57">
        <v>0</v>
      </c>
      <c r="K32" s="57">
        <v>0</v>
      </c>
      <c r="L32" s="57">
        <v>0</v>
      </c>
      <c r="M32" s="57">
        <v>0</v>
      </c>
      <c r="N32" s="57">
        <v>0</v>
      </c>
      <c r="O32" s="57">
        <v>0</v>
      </c>
      <c r="P32" s="55">
        <v>0</v>
      </c>
      <c r="Q32" s="55">
        <v>0</v>
      </c>
      <c r="R32" s="55">
        <v>0</v>
      </c>
      <c r="S32" s="57">
        <v>0</v>
      </c>
      <c r="T32" s="57">
        <v>0</v>
      </c>
      <c r="U32" s="67">
        <v>0</v>
      </c>
      <c r="V32" s="67">
        <v>0</v>
      </c>
      <c r="W32" s="67">
        <v>0</v>
      </c>
      <c r="X32" s="67">
        <v>0</v>
      </c>
      <c r="Y32" s="67">
        <v>0</v>
      </c>
      <c r="Z32" s="67">
        <v>0</v>
      </c>
      <c r="AA32" s="67">
        <v>0</v>
      </c>
      <c r="AB32" s="67">
        <v>0</v>
      </c>
      <c r="AC32" s="67">
        <v>0</v>
      </c>
      <c r="AD32" s="67">
        <v>0</v>
      </c>
      <c r="AE32" s="67">
        <v>0</v>
      </c>
      <c r="AF32" s="67">
        <v>0</v>
      </c>
      <c r="AG32" s="67">
        <v>0</v>
      </c>
      <c r="AH32" s="67">
        <v>0</v>
      </c>
      <c r="AI32" s="67">
        <v>0</v>
      </c>
      <c r="AJ32" s="67">
        <v>0</v>
      </c>
      <c r="AK32" s="67">
        <v>0</v>
      </c>
      <c r="AL32" s="68">
        <v>0</v>
      </c>
      <c r="AM32" s="68">
        <v>0</v>
      </c>
      <c r="AN32" s="68">
        <v>0</v>
      </c>
      <c r="AO32" s="68">
        <v>0</v>
      </c>
      <c r="AP32" s="68">
        <v>0</v>
      </c>
      <c r="AQ32" s="68">
        <v>0</v>
      </c>
      <c r="AR32" s="68">
        <v>0</v>
      </c>
      <c r="AS32" s="68">
        <v>0</v>
      </c>
      <c r="AT32" s="68">
        <v>0</v>
      </c>
      <c r="AU32" s="68">
        <v>0</v>
      </c>
      <c r="AV32" s="68">
        <v>0</v>
      </c>
      <c r="AW32" s="68">
        <v>0</v>
      </c>
      <c r="AX32" s="68">
        <v>0</v>
      </c>
      <c r="AY32" s="68">
        <v>0</v>
      </c>
      <c r="AZ32" s="68">
        <v>0</v>
      </c>
      <c r="BA32" s="68">
        <v>0</v>
      </c>
      <c r="BB32" s="68">
        <v>0</v>
      </c>
      <c r="BC32" s="68">
        <v>0</v>
      </c>
      <c r="BD32" s="68">
        <v>0</v>
      </c>
      <c r="BE32" s="68">
        <v>0</v>
      </c>
      <c r="BF32" s="68">
        <v>0</v>
      </c>
      <c r="BG32" s="68">
        <v>0</v>
      </c>
      <c r="BH32" s="70">
        <v>0</v>
      </c>
      <c r="BI32" s="70">
        <v>0</v>
      </c>
      <c r="BJ32" s="70">
        <v>0</v>
      </c>
      <c r="BK32" s="70">
        <v>0</v>
      </c>
      <c r="BL32" s="70">
        <v>0</v>
      </c>
      <c r="BM32" s="70">
        <v>0</v>
      </c>
      <c r="BN32" s="70">
        <v>0</v>
      </c>
      <c r="BO32" s="70">
        <v>0</v>
      </c>
      <c r="BP32" s="70">
        <v>0</v>
      </c>
      <c r="BQ32" s="70">
        <v>0</v>
      </c>
      <c r="BR32" s="70">
        <v>0</v>
      </c>
      <c r="BS32" s="70">
        <v>0</v>
      </c>
      <c r="BT32" s="70">
        <v>0</v>
      </c>
      <c r="BU32" s="70">
        <v>0</v>
      </c>
      <c r="BV32" s="70">
        <v>0</v>
      </c>
      <c r="BW32" s="70">
        <v>0</v>
      </c>
      <c r="BX32" s="70">
        <v>0</v>
      </c>
      <c r="BY32" s="70">
        <v>0</v>
      </c>
      <c r="BZ32" s="70">
        <v>0</v>
      </c>
      <c r="CA32" s="74">
        <v>0</v>
      </c>
      <c r="CB32" s="72">
        <v>0</v>
      </c>
      <c r="CC32" s="72">
        <v>0</v>
      </c>
      <c r="CD32" s="72">
        <v>0</v>
      </c>
      <c r="CE32" s="72">
        <v>0</v>
      </c>
      <c r="CF32" s="72">
        <v>0</v>
      </c>
      <c r="CG32" s="74">
        <v>0</v>
      </c>
      <c r="CH32" s="72">
        <v>0</v>
      </c>
      <c r="CI32" s="74">
        <v>0</v>
      </c>
      <c r="CJ32" s="74">
        <v>0</v>
      </c>
      <c r="CK32" s="74">
        <v>0</v>
      </c>
      <c r="CL32" s="72">
        <v>0</v>
      </c>
      <c r="CM32" s="72">
        <v>0</v>
      </c>
      <c r="CN32" s="72">
        <v>0</v>
      </c>
      <c r="CO32" s="72">
        <v>0</v>
      </c>
      <c r="CP32" s="74">
        <v>0</v>
      </c>
      <c r="CQ32" s="72">
        <v>0</v>
      </c>
      <c r="CR32" s="72">
        <v>0</v>
      </c>
      <c r="CS32" s="72">
        <v>0</v>
      </c>
    </row>
    <row r="33" spans="1:97" x14ac:dyDescent="0.25">
      <c r="A33" t="s">
        <v>90</v>
      </c>
      <c r="B33" s="51">
        <v>0</v>
      </c>
      <c r="C33" s="57">
        <v>0</v>
      </c>
      <c r="D33" s="55">
        <v>0</v>
      </c>
      <c r="E33" s="57">
        <v>0</v>
      </c>
      <c r="F33" s="55">
        <v>0</v>
      </c>
      <c r="G33" s="57">
        <v>0</v>
      </c>
      <c r="H33" s="57">
        <v>0</v>
      </c>
      <c r="I33" s="57">
        <v>0</v>
      </c>
      <c r="J33" s="57">
        <v>0</v>
      </c>
      <c r="K33" s="57">
        <v>0</v>
      </c>
      <c r="L33" s="57">
        <v>0</v>
      </c>
      <c r="M33" s="57">
        <v>0</v>
      </c>
      <c r="N33" s="57">
        <v>0</v>
      </c>
      <c r="O33" s="57">
        <v>0</v>
      </c>
      <c r="P33" s="55">
        <v>0</v>
      </c>
      <c r="Q33" s="55">
        <v>0</v>
      </c>
      <c r="R33" s="55">
        <v>0</v>
      </c>
      <c r="S33" s="57">
        <v>0</v>
      </c>
      <c r="T33" s="57">
        <v>0</v>
      </c>
      <c r="U33" s="67">
        <v>0</v>
      </c>
      <c r="V33" s="67">
        <v>0</v>
      </c>
      <c r="W33" s="67">
        <v>0</v>
      </c>
      <c r="X33" s="67">
        <v>0</v>
      </c>
      <c r="Y33" s="67">
        <v>0</v>
      </c>
      <c r="Z33" s="67">
        <v>0</v>
      </c>
      <c r="AA33" s="67">
        <v>0</v>
      </c>
      <c r="AB33" s="67">
        <v>0</v>
      </c>
      <c r="AC33" s="67">
        <v>0</v>
      </c>
      <c r="AD33" s="67">
        <v>0</v>
      </c>
      <c r="AE33" s="67">
        <v>0</v>
      </c>
      <c r="AF33" s="67">
        <v>0</v>
      </c>
      <c r="AG33" s="67">
        <v>0</v>
      </c>
      <c r="AH33" s="67">
        <v>0</v>
      </c>
      <c r="AI33" s="67">
        <v>0</v>
      </c>
      <c r="AJ33" s="67">
        <v>0</v>
      </c>
      <c r="AK33" s="67">
        <v>0</v>
      </c>
      <c r="AL33" s="68">
        <v>0</v>
      </c>
      <c r="AM33" s="68">
        <v>0</v>
      </c>
      <c r="AN33" s="68">
        <v>0</v>
      </c>
      <c r="AO33" s="68">
        <v>0</v>
      </c>
      <c r="AP33" s="68">
        <v>0</v>
      </c>
      <c r="AQ33" s="68">
        <v>0</v>
      </c>
      <c r="AR33" s="68">
        <v>0</v>
      </c>
      <c r="AS33" s="68">
        <v>0</v>
      </c>
      <c r="AT33" s="68">
        <v>0</v>
      </c>
      <c r="AU33" s="68">
        <v>0</v>
      </c>
      <c r="AV33" s="68">
        <v>0</v>
      </c>
      <c r="AW33" s="68">
        <v>0</v>
      </c>
      <c r="AX33" s="68">
        <v>0</v>
      </c>
      <c r="AY33" s="68">
        <v>0</v>
      </c>
      <c r="AZ33" s="68">
        <v>0</v>
      </c>
      <c r="BA33" s="68">
        <v>0</v>
      </c>
      <c r="BB33" s="68">
        <v>0</v>
      </c>
      <c r="BC33" s="68">
        <v>0</v>
      </c>
      <c r="BD33" s="68">
        <v>0</v>
      </c>
      <c r="BE33" s="68">
        <v>0</v>
      </c>
      <c r="BF33" s="68">
        <v>0</v>
      </c>
      <c r="BG33" s="68">
        <v>0</v>
      </c>
      <c r="BH33" s="70">
        <v>0</v>
      </c>
      <c r="BI33" s="70">
        <v>0</v>
      </c>
      <c r="BJ33" s="70">
        <v>0</v>
      </c>
      <c r="BK33" s="70">
        <v>0</v>
      </c>
      <c r="BL33" s="70">
        <v>0</v>
      </c>
      <c r="BM33" s="70">
        <v>0</v>
      </c>
      <c r="BN33" s="70">
        <v>0</v>
      </c>
      <c r="BO33" s="70">
        <v>0</v>
      </c>
      <c r="BP33" s="70">
        <v>0</v>
      </c>
      <c r="BQ33" s="70">
        <v>0</v>
      </c>
      <c r="BR33" s="70">
        <v>0</v>
      </c>
      <c r="BS33" s="70">
        <v>0</v>
      </c>
      <c r="BT33" s="70">
        <v>0</v>
      </c>
      <c r="BU33" s="70">
        <v>0</v>
      </c>
      <c r="BV33" s="70">
        <v>0</v>
      </c>
      <c r="BW33" s="70">
        <v>0</v>
      </c>
      <c r="BX33" s="70">
        <v>0</v>
      </c>
      <c r="BY33" s="70">
        <v>0</v>
      </c>
      <c r="BZ33" s="70">
        <v>0</v>
      </c>
      <c r="CA33" s="74">
        <v>0</v>
      </c>
      <c r="CB33" s="72">
        <v>0</v>
      </c>
      <c r="CC33" s="72">
        <v>0</v>
      </c>
      <c r="CD33" s="72">
        <v>0</v>
      </c>
      <c r="CE33" s="72">
        <v>0</v>
      </c>
      <c r="CF33" s="72">
        <v>0</v>
      </c>
      <c r="CG33" s="74">
        <v>0</v>
      </c>
      <c r="CH33" s="72">
        <v>0</v>
      </c>
      <c r="CI33" s="74">
        <v>0</v>
      </c>
      <c r="CJ33" s="74">
        <v>0</v>
      </c>
      <c r="CK33" s="74">
        <v>0</v>
      </c>
      <c r="CL33" s="72">
        <v>0</v>
      </c>
      <c r="CM33" s="72">
        <v>0</v>
      </c>
      <c r="CN33" s="72">
        <v>0</v>
      </c>
      <c r="CO33" s="72">
        <v>0</v>
      </c>
      <c r="CP33" s="74">
        <v>0</v>
      </c>
      <c r="CQ33" s="72">
        <v>0</v>
      </c>
      <c r="CR33" s="72">
        <v>0</v>
      </c>
      <c r="CS33" s="72">
        <v>0</v>
      </c>
    </row>
    <row r="34" spans="1:97" x14ac:dyDescent="0.25">
      <c r="A34" t="s">
        <v>91</v>
      </c>
      <c r="B34" s="51">
        <v>0</v>
      </c>
      <c r="C34" s="51">
        <v>0</v>
      </c>
      <c r="D34" s="51">
        <v>0</v>
      </c>
      <c r="E34" s="51">
        <v>0</v>
      </c>
      <c r="F34" s="51">
        <v>0</v>
      </c>
      <c r="G34" s="51">
        <v>0</v>
      </c>
      <c r="H34" s="51">
        <v>0</v>
      </c>
      <c r="I34" s="51">
        <v>0</v>
      </c>
      <c r="J34" s="51">
        <v>0</v>
      </c>
      <c r="K34" s="51">
        <v>0</v>
      </c>
      <c r="L34" s="51">
        <v>0</v>
      </c>
      <c r="M34" s="51">
        <v>0</v>
      </c>
      <c r="N34" s="51">
        <v>0</v>
      </c>
      <c r="O34" s="51">
        <v>0</v>
      </c>
      <c r="P34" s="51">
        <v>0</v>
      </c>
      <c r="Q34" s="51">
        <v>0</v>
      </c>
      <c r="R34" s="51">
        <v>0</v>
      </c>
      <c r="S34" s="51">
        <v>0</v>
      </c>
      <c r="T34" s="51">
        <v>0</v>
      </c>
      <c r="U34" s="67">
        <v>0</v>
      </c>
      <c r="V34" s="67">
        <v>0</v>
      </c>
      <c r="W34" s="67">
        <v>0</v>
      </c>
      <c r="X34" s="67">
        <v>0</v>
      </c>
      <c r="Y34" s="67">
        <v>0</v>
      </c>
      <c r="Z34" s="67">
        <v>0</v>
      </c>
      <c r="AA34" s="67">
        <v>0</v>
      </c>
      <c r="AB34" s="67">
        <v>0</v>
      </c>
      <c r="AC34" s="67">
        <v>0</v>
      </c>
      <c r="AD34" s="67">
        <v>0</v>
      </c>
      <c r="AE34" s="67">
        <v>0</v>
      </c>
      <c r="AF34" s="67">
        <v>0</v>
      </c>
      <c r="AG34" s="67">
        <v>0</v>
      </c>
      <c r="AH34" s="67">
        <v>0</v>
      </c>
      <c r="AI34" s="67">
        <v>0</v>
      </c>
      <c r="AJ34" s="67">
        <v>0</v>
      </c>
      <c r="AK34" s="67">
        <v>0</v>
      </c>
      <c r="AL34" s="68">
        <v>0</v>
      </c>
      <c r="AM34" s="68">
        <v>0</v>
      </c>
      <c r="AN34" s="68">
        <v>0</v>
      </c>
      <c r="AO34" s="68">
        <v>0</v>
      </c>
      <c r="AP34" s="68">
        <v>0</v>
      </c>
      <c r="AQ34" s="68">
        <v>0</v>
      </c>
      <c r="AR34" s="68">
        <v>0</v>
      </c>
      <c r="AS34" s="68">
        <v>0</v>
      </c>
      <c r="AT34" s="68">
        <v>0</v>
      </c>
      <c r="AU34" s="68">
        <v>0</v>
      </c>
      <c r="AV34" s="68">
        <v>0</v>
      </c>
      <c r="AW34" s="68">
        <v>0</v>
      </c>
      <c r="AX34" s="68">
        <v>0</v>
      </c>
      <c r="AY34" s="68">
        <v>0</v>
      </c>
      <c r="AZ34" s="68">
        <v>0</v>
      </c>
      <c r="BA34" s="68">
        <v>0</v>
      </c>
      <c r="BB34" s="68">
        <v>0</v>
      </c>
      <c r="BC34" s="68">
        <v>0</v>
      </c>
      <c r="BD34" s="68">
        <v>0</v>
      </c>
      <c r="BE34" s="68">
        <v>0</v>
      </c>
      <c r="BF34" s="68">
        <v>0</v>
      </c>
      <c r="BG34" s="68">
        <v>0</v>
      </c>
      <c r="BH34" s="70">
        <v>0</v>
      </c>
      <c r="BI34" s="70">
        <v>0</v>
      </c>
      <c r="BJ34" s="70">
        <v>0</v>
      </c>
      <c r="BK34" s="70">
        <v>0</v>
      </c>
      <c r="BL34" s="70">
        <v>0</v>
      </c>
      <c r="BM34" s="70">
        <v>0</v>
      </c>
      <c r="BN34" s="70">
        <v>0</v>
      </c>
      <c r="BO34" s="70">
        <v>0</v>
      </c>
      <c r="BP34" s="70">
        <v>0</v>
      </c>
      <c r="BQ34" s="70">
        <v>0</v>
      </c>
      <c r="BR34" s="70">
        <v>0</v>
      </c>
      <c r="BS34" s="70">
        <v>0</v>
      </c>
      <c r="BT34" s="70">
        <v>0</v>
      </c>
      <c r="BU34" s="70">
        <v>0</v>
      </c>
      <c r="BV34" s="70">
        <v>0</v>
      </c>
      <c r="BW34" s="70">
        <v>0</v>
      </c>
      <c r="BX34" s="70">
        <v>0</v>
      </c>
      <c r="BY34" s="70">
        <v>0</v>
      </c>
      <c r="BZ34" s="70">
        <v>0</v>
      </c>
      <c r="CA34" s="74">
        <v>0</v>
      </c>
      <c r="CB34" s="72">
        <v>0</v>
      </c>
      <c r="CC34" s="74">
        <v>0</v>
      </c>
      <c r="CD34" s="74">
        <v>0</v>
      </c>
      <c r="CE34" s="74">
        <v>0</v>
      </c>
      <c r="CF34" s="74">
        <v>0</v>
      </c>
      <c r="CG34" s="74">
        <v>0</v>
      </c>
      <c r="CH34" s="74">
        <v>0</v>
      </c>
      <c r="CI34" s="74">
        <v>0</v>
      </c>
      <c r="CJ34" s="74">
        <v>0</v>
      </c>
      <c r="CK34" s="74">
        <v>0</v>
      </c>
      <c r="CL34" s="74">
        <v>0</v>
      </c>
      <c r="CM34" s="74">
        <v>0</v>
      </c>
      <c r="CN34" s="74">
        <v>0</v>
      </c>
      <c r="CO34" s="74">
        <v>0</v>
      </c>
      <c r="CP34" s="74">
        <v>0</v>
      </c>
      <c r="CQ34" s="74">
        <v>0</v>
      </c>
      <c r="CR34" s="74">
        <v>0</v>
      </c>
      <c r="CS34" s="74">
        <v>0</v>
      </c>
    </row>
    <row r="35" spans="1:97" x14ac:dyDescent="0.25">
      <c r="A35" t="s">
        <v>459</v>
      </c>
      <c r="B35" s="51">
        <v>0</v>
      </c>
      <c r="C35" s="57">
        <v>0</v>
      </c>
      <c r="D35" s="55">
        <v>0</v>
      </c>
      <c r="E35" s="57">
        <v>0</v>
      </c>
      <c r="F35" s="55">
        <v>0</v>
      </c>
      <c r="G35" s="57">
        <v>0</v>
      </c>
      <c r="H35" s="57">
        <v>0</v>
      </c>
      <c r="I35" s="57">
        <v>0</v>
      </c>
      <c r="J35" s="57">
        <v>0</v>
      </c>
      <c r="K35" s="57">
        <v>0</v>
      </c>
      <c r="L35" s="57">
        <v>0</v>
      </c>
      <c r="M35" s="57">
        <v>0</v>
      </c>
      <c r="N35" s="57">
        <v>0</v>
      </c>
      <c r="O35" s="57">
        <v>0</v>
      </c>
      <c r="P35" s="55">
        <v>0</v>
      </c>
      <c r="Q35" s="55">
        <v>0</v>
      </c>
      <c r="R35" s="55">
        <v>0</v>
      </c>
      <c r="S35" s="57">
        <v>0</v>
      </c>
      <c r="T35" s="57">
        <v>0</v>
      </c>
      <c r="U35" s="67">
        <v>0</v>
      </c>
      <c r="V35" s="67">
        <v>0</v>
      </c>
      <c r="W35" s="67">
        <v>0</v>
      </c>
      <c r="X35" s="67">
        <v>0</v>
      </c>
      <c r="Y35" s="67">
        <v>0</v>
      </c>
      <c r="Z35" s="67">
        <v>0</v>
      </c>
      <c r="AA35" s="67">
        <v>0</v>
      </c>
      <c r="AB35" s="67">
        <v>0</v>
      </c>
      <c r="AC35" s="67">
        <v>0</v>
      </c>
      <c r="AD35" s="67">
        <v>0</v>
      </c>
      <c r="AE35" s="67">
        <v>0</v>
      </c>
      <c r="AF35" s="67">
        <v>0</v>
      </c>
      <c r="AG35" s="67">
        <v>0</v>
      </c>
      <c r="AH35" s="67">
        <v>0</v>
      </c>
      <c r="AI35" s="67">
        <v>0</v>
      </c>
      <c r="AJ35" s="67">
        <v>0</v>
      </c>
      <c r="AK35" s="67">
        <v>0</v>
      </c>
      <c r="AL35" s="68">
        <v>0</v>
      </c>
      <c r="AM35" s="68">
        <v>0</v>
      </c>
      <c r="AN35" s="68">
        <v>0</v>
      </c>
      <c r="AO35" s="68">
        <v>0</v>
      </c>
      <c r="AP35" s="68">
        <v>0</v>
      </c>
      <c r="AQ35" s="68">
        <v>0</v>
      </c>
      <c r="AR35" s="68">
        <v>0</v>
      </c>
      <c r="AS35" s="68">
        <v>0</v>
      </c>
      <c r="AT35" s="68">
        <v>0</v>
      </c>
      <c r="AU35" s="68">
        <v>0</v>
      </c>
      <c r="AV35" s="68">
        <v>0</v>
      </c>
      <c r="AW35" s="68">
        <v>0</v>
      </c>
      <c r="AX35" s="68">
        <v>0</v>
      </c>
      <c r="AY35" s="68">
        <v>0</v>
      </c>
      <c r="AZ35" s="68">
        <v>0</v>
      </c>
      <c r="BA35" s="68">
        <v>0</v>
      </c>
      <c r="BB35" s="68">
        <v>0</v>
      </c>
      <c r="BC35" s="68">
        <v>0</v>
      </c>
      <c r="BD35" s="68">
        <v>0</v>
      </c>
      <c r="BE35" s="68">
        <v>0</v>
      </c>
      <c r="BF35" s="68">
        <v>0</v>
      </c>
      <c r="BG35" s="68">
        <v>0</v>
      </c>
      <c r="BH35" s="70">
        <v>0</v>
      </c>
      <c r="BI35" s="70">
        <v>0</v>
      </c>
      <c r="BJ35" s="70">
        <v>0</v>
      </c>
      <c r="BK35" s="70">
        <v>0</v>
      </c>
      <c r="BL35" s="70">
        <v>0</v>
      </c>
      <c r="BM35" s="70">
        <v>0</v>
      </c>
      <c r="BN35" s="70">
        <v>0</v>
      </c>
      <c r="BO35" s="70">
        <v>0</v>
      </c>
      <c r="BP35" s="70">
        <v>0</v>
      </c>
      <c r="BQ35" s="70">
        <v>0</v>
      </c>
      <c r="BR35" s="70">
        <v>0</v>
      </c>
      <c r="BS35" s="70">
        <v>0</v>
      </c>
      <c r="BT35" s="70">
        <v>0</v>
      </c>
      <c r="BU35" s="70">
        <v>0</v>
      </c>
      <c r="BV35" s="70">
        <v>0</v>
      </c>
      <c r="BW35" s="70">
        <v>0</v>
      </c>
      <c r="BX35" s="70">
        <v>0</v>
      </c>
      <c r="BY35" s="70">
        <v>0</v>
      </c>
      <c r="BZ35" s="70">
        <v>0</v>
      </c>
      <c r="CA35" s="74">
        <v>0</v>
      </c>
      <c r="CB35" s="72">
        <v>0</v>
      </c>
      <c r="CC35" s="72">
        <v>0</v>
      </c>
      <c r="CD35" s="72">
        <v>0</v>
      </c>
      <c r="CE35" s="72">
        <v>0</v>
      </c>
      <c r="CF35" s="72">
        <v>0</v>
      </c>
      <c r="CG35" s="74">
        <v>0</v>
      </c>
      <c r="CH35" s="72">
        <v>0</v>
      </c>
      <c r="CI35" s="74">
        <v>0</v>
      </c>
      <c r="CJ35" s="74">
        <v>0</v>
      </c>
      <c r="CK35" s="74">
        <v>0</v>
      </c>
      <c r="CL35" s="72">
        <v>0</v>
      </c>
      <c r="CM35" s="72">
        <v>0</v>
      </c>
      <c r="CN35" s="72">
        <v>0</v>
      </c>
      <c r="CO35" s="72">
        <v>0</v>
      </c>
      <c r="CP35" s="74">
        <v>0</v>
      </c>
      <c r="CQ35" s="72">
        <v>0</v>
      </c>
      <c r="CR35" s="72">
        <v>0</v>
      </c>
      <c r="CS35" s="72">
        <v>0</v>
      </c>
    </row>
    <row r="36" spans="1:97" x14ac:dyDescent="0.25">
      <c r="A36" t="s">
        <v>460</v>
      </c>
      <c r="B36" s="51">
        <v>0</v>
      </c>
      <c r="C36" s="57">
        <v>0</v>
      </c>
      <c r="D36" s="55">
        <v>0</v>
      </c>
      <c r="E36" s="57">
        <v>0</v>
      </c>
      <c r="F36" s="55">
        <v>0</v>
      </c>
      <c r="G36" s="57">
        <v>0</v>
      </c>
      <c r="H36" s="57">
        <v>0</v>
      </c>
      <c r="I36" s="57">
        <v>0</v>
      </c>
      <c r="J36" s="57">
        <v>0</v>
      </c>
      <c r="K36" s="57">
        <v>0</v>
      </c>
      <c r="L36" s="57">
        <v>0</v>
      </c>
      <c r="M36" s="57">
        <v>0</v>
      </c>
      <c r="N36" s="57">
        <v>0</v>
      </c>
      <c r="O36" s="57">
        <v>0</v>
      </c>
      <c r="P36" s="55">
        <v>0</v>
      </c>
      <c r="Q36" s="55">
        <v>0</v>
      </c>
      <c r="R36" s="55">
        <v>0</v>
      </c>
      <c r="S36" s="57">
        <v>0</v>
      </c>
      <c r="T36" s="57">
        <v>0</v>
      </c>
      <c r="U36" s="67">
        <v>0</v>
      </c>
      <c r="V36" s="67">
        <v>0</v>
      </c>
      <c r="W36" s="67">
        <v>0</v>
      </c>
      <c r="X36" s="67">
        <v>0</v>
      </c>
      <c r="Y36" s="67">
        <v>0</v>
      </c>
      <c r="Z36" s="67">
        <v>0</v>
      </c>
      <c r="AA36" s="67">
        <v>0</v>
      </c>
      <c r="AB36" s="67">
        <v>0</v>
      </c>
      <c r="AC36" s="67">
        <v>0</v>
      </c>
      <c r="AD36" s="67">
        <v>0</v>
      </c>
      <c r="AE36" s="67">
        <v>0</v>
      </c>
      <c r="AF36" s="67">
        <v>0</v>
      </c>
      <c r="AG36" s="67">
        <v>0</v>
      </c>
      <c r="AH36" s="67">
        <v>0</v>
      </c>
      <c r="AI36" s="67">
        <v>0</v>
      </c>
      <c r="AJ36" s="67">
        <v>0</v>
      </c>
      <c r="AK36" s="67">
        <v>0</v>
      </c>
      <c r="AL36" s="68">
        <v>0</v>
      </c>
      <c r="AM36" s="68">
        <v>0</v>
      </c>
      <c r="AN36" s="68">
        <v>0</v>
      </c>
      <c r="AO36" s="68">
        <v>0</v>
      </c>
      <c r="AP36" s="68">
        <v>0</v>
      </c>
      <c r="AQ36" s="68">
        <v>0</v>
      </c>
      <c r="AR36" s="68">
        <v>0</v>
      </c>
      <c r="AS36" s="68">
        <v>0</v>
      </c>
      <c r="AT36" s="68">
        <v>0</v>
      </c>
      <c r="AU36" s="68">
        <v>0</v>
      </c>
      <c r="AV36" s="68">
        <v>0</v>
      </c>
      <c r="AW36" s="68">
        <v>0</v>
      </c>
      <c r="AX36" s="68">
        <v>0</v>
      </c>
      <c r="AY36" s="68">
        <v>0</v>
      </c>
      <c r="AZ36" s="68">
        <v>0</v>
      </c>
      <c r="BA36" s="68">
        <v>0</v>
      </c>
      <c r="BB36" s="68">
        <v>0</v>
      </c>
      <c r="BC36" s="68">
        <v>0</v>
      </c>
      <c r="BD36" s="68">
        <v>0</v>
      </c>
      <c r="BE36" s="68">
        <v>0</v>
      </c>
      <c r="BF36" s="68">
        <v>0</v>
      </c>
      <c r="BG36" s="68">
        <v>0</v>
      </c>
      <c r="BH36" s="70">
        <v>0</v>
      </c>
      <c r="BI36" s="70">
        <v>0</v>
      </c>
      <c r="BJ36" s="70">
        <v>0</v>
      </c>
      <c r="BK36" s="70">
        <v>0</v>
      </c>
      <c r="BL36" s="70">
        <v>0</v>
      </c>
      <c r="BM36" s="70">
        <v>0</v>
      </c>
      <c r="BN36" s="70">
        <v>0</v>
      </c>
      <c r="BO36" s="70">
        <v>0</v>
      </c>
      <c r="BP36" s="70">
        <v>0</v>
      </c>
      <c r="BQ36" s="70">
        <v>0</v>
      </c>
      <c r="BR36" s="70">
        <v>0</v>
      </c>
      <c r="BS36" s="70">
        <v>0</v>
      </c>
      <c r="BT36" s="70">
        <v>0</v>
      </c>
      <c r="BU36" s="70">
        <v>0</v>
      </c>
      <c r="BV36" s="70">
        <v>0</v>
      </c>
      <c r="BW36" s="70">
        <v>0</v>
      </c>
      <c r="BX36" s="70">
        <v>0</v>
      </c>
      <c r="BY36" s="70">
        <v>0</v>
      </c>
      <c r="BZ36" s="70">
        <v>0</v>
      </c>
      <c r="CA36" s="74">
        <v>0</v>
      </c>
      <c r="CB36" s="72">
        <v>0</v>
      </c>
      <c r="CC36" s="72">
        <v>0</v>
      </c>
      <c r="CD36" s="72">
        <v>0</v>
      </c>
      <c r="CE36" s="72">
        <v>0</v>
      </c>
      <c r="CF36" s="72">
        <v>0</v>
      </c>
      <c r="CG36" s="74">
        <v>0</v>
      </c>
      <c r="CH36" s="72">
        <v>0</v>
      </c>
      <c r="CI36" s="74">
        <v>0</v>
      </c>
      <c r="CJ36" s="74">
        <v>0</v>
      </c>
      <c r="CK36" s="74">
        <v>0</v>
      </c>
      <c r="CL36" s="72">
        <v>0</v>
      </c>
      <c r="CM36" s="72">
        <v>0</v>
      </c>
      <c r="CN36" s="72">
        <v>0</v>
      </c>
      <c r="CO36" s="72">
        <v>0</v>
      </c>
      <c r="CP36" s="74">
        <v>0</v>
      </c>
      <c r="CQ36" s="72">
        <v>0</v>
      </c>
      <c r="CR36" s="72">
        <v>0</v>
      </c>
      <c r="CS36" s="72">
        <v>0</v>
      </c>
    </row>
    <row r="37" spans="1:97" x14ac:dyDescent="0.25">
      <c r="A37" t="s">
        <v>461</v>
      </c>
      <c r="B37" s="51">
        <v>0</v>
      </c>
      <c r="C37" s="57">
        <v>0</v>
      </c>
      <c r="D37" s="55">
        <v>0</v>
      </c>
      <c r="E37" s="57">
        <v>0</v>
      </c>
      <c r="F37" s="55">
        <v>0</v>
      </c>
      <c r="G37" s="57">
        <v>0</v>
      </c>
      <c r="H37" s="57">
        <v>0</v>
      </c>
      <c r="I37" s="57">
        <v>0</v>
      </c>
      <c r="J37" s="57">
        <v>0</v>
      </c>
      <c r="K37" s="57">
        <v>0</v>
      </c>
      <c r="L37" s="57">
        <v>0</v>
      </c>
      <c r="M37" s="57">
        <v>0</v>
      </c>
      <c r="N37" s="57">
        <v>0</v>
      </c>
      <c r="O37" s="57">
        <v>0</v>
      </c>
      <c r="P37" s="55">
        <v>0</v>
      </c>
      <c r="Q37" s="55">
        <v>0</v>
      </c>
      <c r="R37" s="55">
        <v>0</v>
      </c>
      <c r="S37" s="57">
        <v>0</v>
      </c>
      <c r="T37" s="57">
        <v>0</v>
      </c>
      <c r="U37" s="67">
        <v>0</v>
      </c>
      <c r="V37" s="67">
        <v>0</v>
      </c>
      <c r="W37" s="67">
        <v>0</v>
      </c>
      <c r="X37" s="67">
        <v>0</v>
      </c>
      <c r="Y37" s="67">
        <v>0</v>
      </c>
      <c r="Z37" s="67">
        <v>0</v>
      </c>
      <c r="AA37" s="67">
        <v>0</v>
      </c>
      <c r="AB37" s="67">
        <v>0</v>
      </c>
      <c r="AC37" s="67">
        <v>0</v>
      </c>
      <c r="AD37" s="67">
        <v>0</v>
      </c>
      <c r="AE37" s="67">
        <v>0</v>
      </c>
      <c r="AF37" s="67">
        <v>0</v>
      </c>
      <c r="AG37" s="67">
        <v>0</v>
      </c>
      <c r="AH37" s="67">
        <v>0</v>
      </c>
      <c r="AI37" s="67">
        <v>0</v>
      </c>
      <c r="AJ37" s="67">
        <v>0</v>
      </c>
      <c r="AK37" s="67">
        <v>0</v>
      </c>
      <c r="AL37" s="68">
        <v>0</v>
      </c>
      <c r="AM37" s="68">
        <v>0</v>
      </c>
      <c r="AN37" s="68">
        <v>0</v>
      </c>
      <c r="AO37" s="68">
        <v>0</v>
      </c>
      <c r="AP37" s="68">
        <v>0</v>
      </c>
      <c r="AQ37" s="68">
        <v>0</v>
      </c>
      <c r="AR37" s="68">
        <v>0</v>
      </c>
      <c r="AS37" s="68">
        <v>0</v>
      </c>
      <c r="AT37" s="68">
        <v>0</v>
      </c>
      <c r="AU37" s="68">
        <v>0</v>
      </c>
      <c r="AV37" s="68">
        <v>0</v>
      </c>
      <c r="AW37" s="68">
        <v>0</v>
      </c>
      <c r="AX37" s="68">
        <v>0</v>
      </c>
      <c r="AY37" s="68">
        <v>0</v>
      </c>
      <c r="AZ37" s="68">
        <v>0</v>
      </c>
      <c r="BA37" s="68">
        <v>0</v>
      </c>
      <c r="BB37" s="68">
        <v>0</v>
      </c>
      <c r="BC37" s="68">
        <v>0</v>
      </c>
      <c r="BD37" s="68">
        <v>0</v>
      </c>
      <c r="BE37" s="68">
        <v>0</v>
      </c>
      <c r="BF37" s="68">
        <v>0</v>
      </c>
      <c r="BG37" s="68">
        <v>0</v>
      </c>
      <c r="BH37" s="70">
        <v>0</v>
      </c>
      <c r="BI37" s="70">
        <v>0</v>
      </c>
      <c r="BJ37" s="70">
        <v>0</v>
      </c>
      <c r="BK37" s="70">
        <v>0</v>
      </c>
      <c r="BL37" s="70">
        <v>0</v>
      </c>
      <c r="BM37" s="70">
        <v>0</v>
      </c>
      <c r="BN37" s="70">
        <v>0</v>
      </c>
      <c r="BO37" s="70">
        <v>0</v>
      </c>
      <c r="BP37" s="70">
        <v>0</v>
      </c>
      <c r="BQ37" s="70">
        <v>0</v>
      </c>
      <c r="BR37" s="70">
        <v>0</v>
      </c>
      <c r="BS37" s="70">
        <v>0</v>
      </c>
      <c r="BT37" s="70">
        <v>0</v>
      </c>
      <c r="BU37" s="70">
        <v>0</v>
      </c>
      <c r="BV37" s="70">
        <v>0</v>
      </c>
      <c r="BW37" s="70">
        <v>0</v>
      </c>
      <c r="BX37" s="70">
        <v>0</v>
      </c>
      <c r="BY37" s="70">
        <v>0</v>
      </c>
      <c r="BZ37" s="70">
        <v>0</v>
      </c>
      <c r="CA37" s="74">
        <v>0</v>
      </c>
      <c r="CB37" s="72">
        <v>0</v>
      </c>
      <c r="CC37" s="72">
        <v>0</v>
      </c>
      <c r="CD37" s="72">
        <v>0</v>
      </c>
      <c r="CE37" s="72">
        <v>0</v>
      </c>
      <c r="CF37" s="72">
        <v>0</v>
      </c>
      <c r="CG37" s="74">
        <v>0</v>
      </c>
      <c r="CH37" s="72">
        <v>0</v>
      </c>
      <c r="CI37" s="74">
        <v>0</v>
      </c>
      <c r="CJ37" s="74">
        <v>0</v>
      </c>
      <c r="CK37" s="74">
        <v>0</v>
      </c>
      <c r="CL37" s="72">
        <v>0</v>
      </c>
      <c r="CM37" s="72">
        <v>0</v>
      </c>
      <c r="CN37" s="72">
        <v>0</v>
      </c>
      <c r="CO37" s="72">
        <v>0</v>
      </c>
      <c r="CP37" s="74">
        <v>0</v>
      </c>
      <c r="CQ37" s="72">
        <v>0</v>
      </c>
      <c r="CR37" s="72">
        <v>0</v>
      </c>
      <c r="CS37" s="72">
        <v>0</v>
      </c>
    </row>
    <row r="38" spans="1:97" x14ac:dyDescent="0.25">
      <c r="A38" t="s">
        <v>462</v>
      </c>
      <c r="B38" s="51">
        <v>0</v>
      </c>
      <c r="C38" s="57">
        <v>0</v>
      </c>
      <c r="D38" s="55">
        <v>0</v>
      </c>
      <c r="E38" s="57">
        <v>0</v>
      </c>
      <c r="F38" s="55">
        <v>0</v>
      </c>
      <c r="G38" s="57">
        <v>0</v>
      </c>
      <c r="H38" s="57">
        <v>0</v>
      </c>
      <c r="I38" s="57">
        <v>0</v>
      </c>
      <c r="J38" s="57">
        <v>0</v>
      </c>
      <c r="K38" s="57">
        <v>0</v>
      </c>
      <c r="L38" s="57">
        <v>0</v>
      </c>
      <c r="M38" s="57">
        <v>0</v>
      </c>
      <c r="N38" s="57">
        <v>0</v>
      </c>
      <c r="O38" s="57">
        <v>0</v>
      </c>
      <c r="P38" s="55">
        <v>0</v>
      </c>
      <c r="Q38" s="55">
        <v>0</v>
      </c>
      <c r="R38" s="55">
        <v>0</v>
      </c>
      <c r="S38" s="57">
        <v>0</v>
      </c>
      <c r="T38" s="57">
        <v>0</v>
      </c>
      <c r="U38" s="67">
        <v>0</v>
      </c>
      <c r="V38" s="67">
        <v>0</v>
      </c>
      <c r="W38" s="67">
        <v>0</v>
      </c>
      <c r="X38" s="67">
        <v>0</v>
      </c>
      <c r="Y38" s="67">
        <v>0</v>
      </c>
      <c r="Z38" s="67">
        <v>0</v>
      </c>
      <c r="AA38" s="67">
        <v>0</v>
      </c>
      <c r="AB38" s="67">
        <v>0</v>
      </c>
      <c r="AC38" s="67">
        <v>0</v>
      </c>
      <c r="AD38" s="67">
        <v>0</v>
      </c>
      <c r="AE38" s="67">
        <v>0</v>
      </c>
      <c r="AF38" s="67">
        <v>0</v>
      </c>
      <c r="AG38" s="67">
        <v>0</v>
      </c>
      <c r="AH38" s="67">
        <v>0</v>
      </c>
      <c r="AI38" s="67">
        <v>0</v>
      </c>
      <c r="AJ38" s="67">
        <v>0</v>
      </c>
      <c r="AK38" s="67">
        <v>0</v>
      </c>
      <c r="AL38" s="68">
        <v>0</v>
      </c>
      <c r="AM38" s="68">
        <v>0</v>
      </c>
      <c r="AN38" s="68">
        <v>0</v>
      </c>
      <c r="AO38" s="68">
        <v>0</v>
      </c>
      <c r="AP38" s="68">
        <v>0</v>
      </c>
      <c r="AQ38" s="68">
        <v>0</v>
      </c>
      <c r="AR38" s="68">
        <v>0</v>
      </c>
      <c r="AS38" s="68">
        <v>0</v>
      </c>
      <c r="AT38" s="68">
        <v>0</v>
      </c>
      <c r="AU38" s="68">
        <v>0</v>
      </c>
      <c r="AV38" s="68">
        <v>0</v>
      </c>
      <c r="AW38" s="68">
        <v>0</v>
      </c>
      <c r="AX38" s="68">
        <v>0</v>
      </c>
      <c r="AY38" s="68">
        <v>0</v>
      </c>
      <c r="AZ38" s="68">
        <v>0</v>
      </c>
      <c r="BA38" s="68">
        <v>0</v>
      </c>
      <c r="BB38" s="68">
        <v>0</v>
      </c>
      <c r="BC38" s="68">
        <v>0</v>
      </c>
      <c r="BD38" s="68">
        <v>0</v>
      </c>
      <c r="BE38" s="68">
        <v>0</v>
      </c>
      <c r="BF38" s="68">
        <v>0</v>
      </c>
      <c r="BG38" s="68">
        <v>0</v>
      </c>
      <c r="BH38" s="70">
        <v>0</v>
      </c>
      <c r="BI38" s="70">
        <v>0</v>
      </c>
      <c r="BJ38" s="70">
        <v>0</v>
      </c>
      <c r="BK38" s="70">
        <v>0</v>
      </c>
      <c r="BL38" s="70">
        <v>0</v>
      </c>
      <c r="BM38" s="70">
        <v>0</v>
      </c>
      <c r="BN38" s="70">
        <v>0</v>
      </c>
      <c r="BO38" s="70">
        <v>0</v>
      </c>
      <c r="BP38" s="70">
        <v>0</v>
      </c>
      <c r="BQ38" s="70">
        <v>0</v>
      </c>
      <c r="BR38" s="70">
        <v>0</v>
      </c>
      <c r="BS38" s="70">
        <v>0</v>
      </c>
      <c r="BT38" s="70">
        <v>0</v>
      </c>
      <c r="BU38" s="70">
        <v>0</v>
      </c>
      <c r="BV38" s="70">
        <v>0</v>
      </c>
      <c r="BW38" s="70">
        <v>0</v>
      </c>
      <c r="BX38" s="70">
        <v>0</v>
      </c>
      <c r="BY38" s="70">
        <v>0</v>
      </c>
      <c r="BZ38" s="70">
        <v>0</v>
      </c>
      <c r="CA38" s="74">
        <v>0</v>
      </c>
      <c r="CB38" s="72">
        <v>0</v>
      </c>
      <c r="CC38" s="72">
        <v>0</v>
      </c>
      <c r="CD38" s="72">
        <v>0</v>
      </c>
      <c r="CE38" s="72">
        <v>0</v>
      </c>
      <c r="CF38" s="72">
        <v>0</v>
      </c>
      <c r="CG38" s="74">
        <v>0</v>
      </c>
      <c r="CH38" s="72">
        <v>0</v>
      </c>
      <c r="CI38" s="74">
        <v>0</v>
      </c>
      <c r="CJ38" s="74">
        <v>0</v>
      </c>
      <c r="CK38" s="74">
        <v>0</v>
      </c>
      <c r="CL38" s="72">
        <v>0</v>
      </c>
      <c r="CM38" s="72">
        <v>0</v>
      </c>
      <c r="CN38" s="72">
        <v>0</v>
      </c>
      <c r="CO38" s="72">
        <v>0</v>
      </c>
      <c r="CP38" s="74">
        <v>0</v>
      </c>
      <c r="CQ38" s="72">
        <v>0</v>
      </c>
      <c r="CR38" s="72">
        <v>0</v>
      </c>
      <c r="CS38" s="72">
        <v>0</v>
      </c>
    </row>
    <row r="39" spans="1:97" x14ac:dyDescent="0.25">
      <c r="A39" t="s">
        <v>463</v>
      </c>
      <c r="B39" s="51">
        <v>0</v>
      </c>
      <c r="C39" s="57">
        <v>0</v>
      </c>
      <c r="D39" s="55">
        <v>0</v>
      </c>
      <c r="E39" s="57">
        <v>0</v>
      </c>
      <c r="F39" s="55">
        <v>0</v>
      </c>
      <c r="G39" s="57">
        <v>0</v>
      </c>
      <c r="H39" s="57">
        <v>0</v>
      </c>
      <c r="I39" s="57">
        <v>0</v>
      </c>
      <c r="J39" s="57">
        <v>0</v>
      </c>
      <c r="K39" s="57">
        <v>0</v>
      </c>
      <c r="L39" s="57">
        <v>0</v>
      </c>
      <c r="M39" s="57">
        <v>0</v>
      </c>
      <c r="N39" s="57">
        <v>0</v>
      </c>
      <c r="O39" s="57">
        <v>0</v>
      </c>
      <c r="P39" s="55">
        <v>0</v>
      </c>
      <c r="Q39" s="55">
        <v>0</v>
      </c>
      <c r="R39" s="55">
        <v>0</v>
      </c>
      <c r="S39" s="57">
        <v>0</v>
      </c>
      <c r="T39" s="57">
        <v>0</v>
      </c>
      <c r="U39" s="67">
        <v>0</v>
      </c>
      <c r="V39" s="67">
        <v>0</v>
      </c>
      <c r="W39" s="67">
        <v>0</v>
      </c>
      <c r="X39" s="67">
        <v>0</v>
      </c>
      <c r="Y39" s="67">
        <v>0</v>
      </c>
      <c r="Z39" s="67">
        <v>0</v>
      </c>
      <c r="AA39" s="67">
        <v>0</v>
      </c>
      <c r="AB39" s="67">
        <v>0</v>
      </c>
      <c r="AC39" s="67">
        <v>0</v>
      </c>
      <c r="AD39" s="67">
        <v>0</v>
      </c>
      <c r="AE39" s="67">
        <v>0</v>
      </c>
      <c r="AF39" s="67">
        <v>0</v>
      </c>
      <c r="AG39" s="67">
        <v>0</v>
      </c>
      <c r="AH39" s="67">
        <v>0</v>
      </c>
      <c r="AI39" s="67">
        <v>0</v>
      </c>
      <c r="AJ39" s="67">
        <v>0</v>
      </c>
      <c r="AK39" s="67">
        <v>0</v>
      </c>
      <c r="AL39" s="68">
        <v>0</v>
      </c>
      <c r="AM39" s="68">
        <v>0</v>
      </c>
      <c r="AN39" s="68">
        <v>0</v>
      </c>
      <c r="AO39" s="68">
        <v>0</v>
      </c>
      <c r="AP39" s="68">
        <v>0</v>
      </c>
      <c r="AQ39" s="68">
        <v>0</v>
      </c>
      <c r="AR39" s="68">
        <v>0</v>
      </c>
      <c r="AS39" s="68">
        <v>0</v>
      </c>
      <c r="AT39" s="68">
        <v>0</v>
      </c>
      <c r="AU39" s="68">
        <v>0</v>
      </c>
      <c r="AV39" s="68">
        <v>0</v>
      </c>
      <c r="AW39" s="68">
        <v>0</v>
      </c>
      <c r="AX39" s="68">
        <v>0</v>
      </c>
      <c r="AY39" s="68">
        <v>0</v>
      </c>
      <c r="AZ39" s="68">
        <v>0</v>
      </c>
      <c r="BA39" s="68">
        <v>0</v>
      </c>
      <c r="BB39" s="68">
        <v>0</v>
      </c>
      <c r="BC39" s="68">
        <v>0</v>
      </c>
      <c r="BD39" s="68">
        <v>0</v>
      </c>
      <c r="BE39" s="68">
        <v>0</v>
      </c>
      <c r="BF39" s="68">
        <v>0</v>
      </c>
      <c r="BG39" s="68">
        <v>0</v>
      </c>
      <c r="BH39" s="70">
        <v>0</v>
      </c>
      <c r="BI39" s="70">
        <v>0</v>
      </c>
      <c r="BJ39" s="70">
        <v>0</v>
      </c>
      <c r="BK39" s="70">
        <v>0</v>
      </c>
      <c r="BL39" s="70">
        <v>0</v>
      </c>
      <c r="BM39" s="70">
        <v>0</v>
      </c>
      <c r="BN39" s="70">
        <v>0</v>
      </c>
      <c r="BO39" s="70">
        <v>0</v>
      </c>
      <c r="BP39" s="70">
        <v>0</v>
      </c>
      <c r="BQ39" s="70">
        <v>0</v>
      </c>
      <c r="BR39" s="70">
        <v>0</v>
      </c>
      <c r="BS39" s="70">
        <v>0</v>
      </c>
      <c r="BT39" s="70">
        <v>0</v>
      </c>
      <c r="BU39" s="70">
        <v>0</v>
      </c>
      <c r="BV39" s="70">
        <v>0</v>
      </c>
      <c r="BW39" s="70">
        <v>0</v>
      </c>
      <c r="BX39" s="70">
        <v>0</v>
      </c>
      <c r="BY39" s="70">
        <v>0</v>
      </c>
      <c r="BZ39" s="70">
        <v>0</v>
      </c>
      <c r="CA39" s="74">
        <v>0</v>
      </c>
      <c r="CB39" s="72">
        <v>0</v>
      </c>
      <c r="CC39" s="72">
        <v>0</v>
      </c>
      <c r="CD39" s="72">
        <v>0</v>
      </c>
      <c r="CE39" s="72">
        <v>0</v>
      </c>
      <c r="CF39" s="72">
        <v>0</v>
      </c>
      <c r="CG39" s="74">
        <v>0</v>
      </c>
      <c r="CH39" s="72">
        <v>0</v>
      </c>
      <c r="CI39" s="74">
        <v>0</v>
      </c>
      <c r="CJ39" s="74">
        <v>0</v>
      </c>
      <c r="CK39" s="74">
        <v>0</v>
      </c>
      <c r="CL39" s="72">
        <v>0</v>
      </c>
      <c r="CM39" s="72">
        <v>0</v>
      </c>
      <c r="CN39" s="72">
        <v>0</v>
      </c>
      <c r="CO39" s="72">
        <v>0</v>
      </c>
      <c r="CP39" s="74">
        <v>0</v>
      </c>
      <c r="CQ39" s="72">
        <v>0</v>
      </c>
      <c r="CR39" s="72">
        <v>0</v>
      </c>
      <c r="CS39" s="72">
        <v>0</v>
      </c>
    </row>
    <row r="40" spans="1:97" x14ac:dyDescent="0.25">
      <c r="A40" t="s">
        <v>464</v>
      </c>
      <c r="B40" s="51">
        <v>0</v>
      </c>
      <c r="C40" s="57">
        <v>0</v>
      </c>
      <c r="D40" s="55">
        <v>0</v>
      </c>
      <c r="E40" s="57">
        <v>0</v>
      </c>
      <c r="F40" s="55">
        <v>0</v>
      </c>
      <c r="G40" s="57">
        <v>0</v>
      </c>
      <c r="H40" s="57">
        <v>0</v>
      </c>
      <c r="I40" s="57">
        <v>0</v>
      </c>
      <c r="J40" s="57">
        <v>0</v>
      </c>
      <c r="K40" s="57">
        <v>0</v>
      </c>
      <c r="L40" s="57">
        <v>0</v>
      </c>
      <c r="M40" s="57">
        <v>0</v>
      </c>
      <c r="N40" s="57">
        <v>0</v>
      </c>
      <c r="O40" s="57">
        <v>0</v>
      </c>
      <c r="P40" s="55">
        <v>0</v>
      </c>
      <c r="Q40" s="55">
        <v>0</v>
      </c>
      <c r="R40" s="55">
        <v>0</v>
      </c>
      <c r="S40" s="57">
        <v>0</v>
      </c>
      <c r="T40" s="57">
        <v>0</v>
      </c>
      <c r="U40" s="67">
        <v>0</v>
      </c>
      <c r="V40" s="67">
        <v>0</v>
      </c>
      <c r="W40" s="67">
        <v>0</v>
      </c>
      <c r="X40" s="67">
        <v>0</v>
      </c>
      <c r="Y40" s="67">
        <v>0</v>
      </c>
      <c r="Z40" s="67">
        <v>0</v>
      </c>
      <c r="AA40" s="67">
        <v>0</v>
      </c>
      <c r="AB40" s="67">
        <v>0</v>
      </c>
      <c r="AC40" s="67">
        <v>0</v>
      </c>
      <c r="AD40" s="67">
        <v>0</v>
      </c>
      <c r="AE40" s="67">
        <v>0</v>
      </c>
      <c r="AF40" s="67">
        <v>0</v>
      </c>
      <c r="AG40" s="67">
        <v>0</v>
      </c>
      <c r="AH40" s="67">
        <v>0</v>
      </c>
      <c r="AI40" s="67">
        <v>0</v>
      </c>
      <c r="AJ40" s="67">
        <v>0</v>
      </c>
      <c r="AK40" s="67">
        <v>0</v>
      </c>
      <c r="AL40" s="68">
        <v>0</v>
      </c>
      <c r="AM40" s="68">
        <v>0</v>
      </c>
      <c r="AN40" s="68">
        <v>0</v>
      </c>
      <c r="AO40" s="68">
        <v>0</v>
      </c>
      <c r="AP40" s="68">
        <v>0</v>
      </c>
      <c r="AQ40" s="68">
        <v>0</v>
      </c>
      <c r="AR40" s="68">
        <v>0</v>
      </c>
      <c r="AS40" s="68">
        <v>0</v>
      </c>
      <c r="AT40" s="68">
        <v>0</v>
      </c>
      <c r="AU40" s="68">
        <v>0</v>
      </c>
      <c r="AV40" s="68">
        <v>0</v>
      </c>
      <c r="AW40" s="68">
        <v>0</v>
      </c>
      <c r="AX40" s="68">
        <v>0</v>
      </c>
      <c r="AY40" s="68">
        <v>0</v>
      </c>
      <c r="AZ40" s="68">
        <v>0</v>
      </c>
      <c r="BA40" s="68">
        <v>0</v>
      </c>
      <c r="BB40" s="68">
        <v>0</v>
      </c>
      <c r="BC40" s="68">
        <v>0</v>
      </c>
      <c r="BD40" s="68">
        <v>0</v>
      </c>
      <c r="BE40" s="68">
        <v>0</v>
      </c>
      <c r="BF40" s="68">
        <v>0</v>
      </c>
      <c r="BG40" s="68">
        <v>0</v>
      </c>
      <c r="BH40" s="70">
        <v>0</v>
      </c>
      <c r="BI40" s="70">
        <v>0</v>
      </c>
      <c r="BJ40" s="70">
        <v>0</v>
      </c>
      <c r="BK40" s="70">
        <v>0</v>
      </c>
      <c r="BL40" s="70">
        <v>0</v>
      </c>
      <c r="BM40" s="70">
        <v>0</v>
      </c>
      <c r="BN40" s="70">
        <v>0</v>
      </c>
      <c r="BO40" s="70">
        <v>0</v>
      </c>
      <c r="BP40" s="70">
        <v>0</v>
      </c>
      <c r="BQ40" s="70">
        <v>0</v>
      </c>
      <c r="BR40" s="70">
        <v>0</v>
      </c>
      <c r="BS40" s="70">
        <v>0</v>
      </c>
      <c r="BT40" s="70">
        <v>0</v>
      </c>
      <c r="BU40" s="70">
        <v>0</v>
      </c>
      <c r="BV40" s="70">
        <v>0</v>
      </c>
      <c r="BW40" s="70">
        <v>0</v>
      </c>
      <c r="BX40" s="70">
        <v>0</v>
      </c>
      <c r="BY40" s="70">
        <v>0</v>
      </c>
      <c r="BZ40" s="70">
        <v>0</v>
      </c>
      <c r="CA40" s="74">
        <v>0</v>
      </c>
      <c r="CB40" s="72">
        <v>0</v>
      </c>
      <c r="CC40" s="72">
        <v>0</v>
      </c>
      <c r="CD40" s="72">
        <v>0</v>
      </c>
      <c r="CE40" s="72">
        <v>0</v>
      </c>
      <c r="CF40" s="72">
        <v>0</v>
      </c>
      <c r="CG40" s="74">
        <v>0</v>
      </c>
      <c r="CH40" s="72">
        <v>0</v>
      </c>
      <c r="CI40" s="74">
        <v>0</v>
      </c>
      <c r="CJ40" s="74">
        <v>0</v>
      </c>
      <c r="CK40" s="74">
        <v>0</v>
      </c>
      <c r="CL40" s="72">
        <v>0</v>
      </c>
      <c r="CM40" s="72">
        <v>0</v>
      </c>
      <c r="CN40" s="72">
        <v>0</v>
      </c>
      <c r="CO40" s="72">
        <v>0</v>
      </c>
      <c r="CP40" s="74">
        <v>0</v>
      </c>
      <c r="CQ40" s="72">
        <v>0</v>
      </c>
      <c r="CR40" s="72">
        <v>0</v>
      </c>
      <c r="CS40" s="72">
        <v>0</v>
      </c>
    </row>
    <row r="41" spans="1:97" x14ac:dyDescent="0.25">
      <c r="A41" t="s">
        <v>465</v>
      </c>
      <c r="B41" s="51">
        <v>0</v>
      </c>
      <c r="C41" s="57">
        <v>0</v>
      </c>
      <c r="D41" s="55">
        <v>0</v>
      </c>
      <c r="E41" s="57">
        <v>0</v>
      </c>
      <c r="F41" s="55">
        <v>0</v>
      </c>
      <c r="G41" s="57">
        <v>0</v>
      </c>
      <c r="H41" s="57">
        <v>0</v>
      </c>
      <c r="I41" s="57">
        <v>0</v>
      </c>
      <c r="J41" s="57">
        <v>0</v>
      </c>
      <c r="K41" s="57">
        <v>0</v>
      </c>
      <c r="L41" s="57">
        <v>0</v>
      </c>
      <c r="M41" s="57">
        <v>0</v>
      </c>
      <c r="N41" s="57">
        <v>0</v>
      </c>
      <c r="O41" s="57">
        <v>0</v>
      </c>
      <c r="P41" s="55">
        <v>0</v>
      </c>
      <c r="Q41" s="55">
        <v>0</v>
      </c>
      <c r="R41" s="55">
        <v>0</v>
      </c>
      <c r="S41" s="57">
        <v>0</v>
      </c>
      <c r="T41" s="57">
        <v>0</v>
      </c>
      <c r="U41" s="67">
        <v>0</v>
      </c>
      <c r="V41" s="67">
        <v>0</v>
      </c>
      <c r="W41" s="67">
        <v>0</v>
      </c>
      <c r="X41" s="67">
        <v>0</v>
      </c>
      <c r="Y41" s="67">
        <v>0</v>
      </c>
      <c r="Z41" s="67">
        <v>0</v>
      </c>
      <c r="AA41" s="67">
        <v>0</v>
      </c>
      <c r="AB41" s="67">
        <v>0</v>
      </c>
      <c r="AC41" s="67">
        <v>0</v>
      </c>
      <c r="AD41" s="67">
        <v>0</v>
      </c>
      <c r="AE41" s="67">
        <v>0</v>
      </c>
      <c r="AF41" s="67">
        <v>0</v>
      </c>
      <c r="AG41" s="67">
        <v>0</v>
      </c>
      <c r="AH41" s="67">
        <v>0</v>
      </c>
      <c r="AI41" s="67">
        <v>0</v>
      </c>
      <c r="AJ41" s="67">
        <v>0</v>
      </c>
      <c r="AK41" s="67">
        <v>0</v>
      </c>
      <c r="AL41" s="68">
        <v>0</v>
      </c>
      <c r="AM41" s="68">
        <v>0</v>
      </c>
      <c r="AN41" s="68">
        <v>0</v>
      </c>
      <c r="AO41" s="68">
        <v>0</v>
      </c>
      <c r="AP41" s="68">
        <v>0</v>
      </c>
      <c r="AQ41" s="68">
        <v>0</v>
      </c>
      <c r="AR41" s="68">
        <v>0</v>
      </c>
      <c r="AS41" s="68">
        <v>0</v>
      </c>
      <c r="AT41" s="68">
        <v>0</v>
      </c>
      <c r="AU41" s="68">
        <v>0</v>
      </c>
      <c r="AV41" s="68">
        <v>0</v>
      </c>
      <c r="AW41" s="68">
        <v>0</v>
      </c>
      <c r="AX41" s="68">
        <v>0</v>
      </c>
      <c r="AY41" s="68">
        <v>0</v>
      </c>
      <c r="AZ41" s="68">
        <v>0</v>
      </c>
      <c r="BA41" s="68">
        <v>0</v>
      </c>
      <c r="BB41" s="68">
        <v>0</v>
      </c>
      <c r="BC41" s="68">
        <v>0</v>
      </c>
      <c r="BD41" s="68">
        <v>0</v>
      </c>
      <c r="BE41" s="68">
        <v>0</v>
      </c>
      <c r="BF41" s="68">
        <v>0</v>
      </c>
      <c r="BG41" s="68">
        <v>0</v>
      </c>
      <c r="BH41" s="70">
        <v>0</v>
      </c>
      <c r="BI41" s="70">
        <v>0</v>
      </c>
      <c r="BJ41" s="70">
        <v>0</v>
      </c>
      <c r="BK41" s="70">
        <v>0</v>
      </c>
      <c r="BL41" s="70">
        <v>0</v>
      </c>
      <c r="BM41" s="70">
        <v>0</v>
      </c>
      <c r="BN41" s="70">
        <v>0</v>
      </c>
      <c r="BO41" s="70">
        <v>0</v>
      </c>
      <c r="BP41" s="70">
        <v>0</v>
      </c>
      <c r="BQ41" s="70">
        <v>0</v>
      </c>
      <c r="BR41" s="70">
        <v>0</v>
      </c>
      <c r="BS41" s="70">
        <v>0</v>
      </c>
      <c r="BT41" s="70">
        <v>0</v>
      </c>
      <c r="BU41" s="70">
        <v>0</v>
      </c>
      <c r="BV41" s="70">
        <v>0</v>
      </c>
      <c r="BW41" s="70">
        <v>0</v>
      </c>
      <c r="BX41" s="70">
        <v>0</v>
      </c>
      <c r="BY41" s="70">
        <v>0</v>
      </c>
      <c r="BZ41" s="70">
        <v>0</v>
      </c>
      <c r="CA41" s="74">
        <v>0</v>
      </c>
      <c r="CB41" s="74">
        <v>0</v>
      </c>
      <c r="CC41" s="72">
        <v>0</v>
      </c>
      <c r="CD41" s="72">
        <v>0</v>
      </c>
      <c r="CE41" s="72">
        <v>0</v>
      </c>
      <c r="CF41" s="72">
        <v>0</v>
      </c>
      <c r="CG41" s="74">
        <v>0</v>
      </c>
      <c r="CH41" s="72">
        <v>0</v>
      </c>
      <c r="CI41" s="74">
        <v>0</v>
      </c>
      <c r="CJ41" s="74">
        <v>0</v>
      </c>
      <c r="CK41" s="74">
        <v>0</v>
      </c>
      <c r="CL41" s="72">
        <v>0</v>
      </c>
      <c r="CM41" s="72">
        <v>0</v>
      </c>
      <c r="CN41" s="72">
        <v>0</v>
      </c>
      <c r="CO41" s="72">
        <v>0</v>
      </c>
      <c r="CP41" s="74">
        <v>0</v>
      </c>
      <c r="CQ41" s="72">
        <v>0</v>
      </c>
      <c r="CR41" s="72">
        <v>0</v>
      </c>
      <c r="CS41" s="72">
        <v>0</v>
      </c>
    </row>
    <row r="42" spans="1:97" x14ac:dyDescent="0.25">
      <c r="A42" t="s">
        <v>425</v>
      </c>
      <c r="B42" s="51">
        <v>0</v>
      </c>
      <c r="C42" s="51">
        <v>0</v>
      </c>
      <c r="D42" s="51">
        <v>0</v>
      </c>
      <c r="E42" s="51">
        <v>0</v>
      </c>
      <c r="F42" s="51">
        <v>0</v>
      </c>
      <c r="G42" s="51">
        <v>0</v>
      </c>
      <c r="H42" s="51">
        <v>0</v>
      </c>
      <c r="I42" s="51">
        <v>0</v>
      </c>
      <c r="J42" s="51">
        <v>0</v>
      </c>
      <c r="K42" s="51">
        <v>0</v>
      </c>
      <c r="L42" s="51">
        <v>0</v>
      </c>
      <c r="M42" s="51">
        <v>0</v>
      </c>
      <c r="N42" s="51">
        <v>0</v>
      </c>
      <c r="O42" s="51">
        <v>0</v>
      </c>
      <c r="P42" s="51">
        <v>0</v>
      </c>
      <c r="Q42" s="51">
        <v>0</v>
      </c>
      <c r="R42" s="51">
        <v>0</v>
      </c>
      <c r="S42" s="51">
        <v>0</v>
      </c>
      <c r="T42" s="51">
        <v>0</v>
      </c>
      <c r="U42" s="67">
        <v>0</v>
      </c>
      <c r="V42" s="67">
        <v>0</v>
      </c>
      <c r="W42" s="67">
        <v>0</v>
      </c>
      <c r="X42" s="67">
        <v>0</v>
      </c>
      <c r="Y42" s="67">
        <v>0</v>
      </c>
      <c r="Z42" s="67">
        <v>0</v>
      </c>
      <c r="AA42" s="67">
        <v>0</v>
      </c>
      <c r="AB42" s="67">
        <v>0</v>
      </c>
      <c r="AC42" s="67">
        <v>0</v>
      </c>
      <c r="AD42" s="67">
        <v>0</v>
      </c>
      <c r="AE42" s="67">
        <v>0</v>
      </c>
      <c r="AF42" s="67">
        <v>0</v>
      </c>
      <c r="AG42" s="67">
        <v>0</v>
      </c>
      <c r="AH42" s="67">
        <v>0</v>
      </c>
      <c r="AI42" s="67">
        <v>0</v>
      </c>
      <c r="AJ42" s="67">
        <v>0</v>
      </c>
      <c r="AK42" s="67">
        <v>0</v>
      </c>
      <c r="AL42" s="68">
        <v>0</v>
      </c>
      <c r="AM42" s="68">
        <v>0</v>
      </c>
      <c r="AN42" s="68">
        <v>0</v>
      </c>
      <c r="AO42" s="68">
        <v>0</v>
      </c>
      <c r="AP42" s="68">
        <v>0</v>
      </c>
      <c r="AQ42" s="68">
        <v>0</v>
      </c>
      <c r="AR42" s="68">
        <f>6%+(char1Refine-1)*2%</f>
        <v>0.14000000000000001</v>
      </c>
      <c r="AS42" s="68">
        <v>0</v>
      </c>
      <c r="AT42" s="68">
        <v>0</v>
      </c>
      <c r="AU42" s="68">
        <v>0</v>
      </c>
      <c r="AV42" s="68">
        <v>0</v>
      </c>
      <c r="AW42" s="68">
        <v>0</v>
      </c>
      <c r="AX42" s="68">
        <v>0</v>
      </c>
      <c r="AY42" s="68">
        <v>0</v>
      </c>
      <c r="AZ42" s="68">
        <v>0</v>
      </c>
      <c r="BA42" s="68">
        <v>0</v>
      </c>
      <c r="BB42" s="68">
        <v>0</v>
      </c>
      <c r="BC42" s="68">
        <v>0</v>
      </c>
      <c r="BD42" s="68">
        <v>0</v>
      </c>
      <c r="BE42" s="68">
        <v>0</v>
      </c>
      <c r="BF42" s="68">
        <v>0</v>
      </c>
      <c r="BG42" s="68">
        <v>0</v>
      </c>
      <c r="BH42" s="70">
        <v>0</v>
      </c>
      <c r="BI42" s="70">
        <v>0</v>
      </c>
      <c r="BJ42" s="70">
        <v>0</v>
      </c>
      <c r="BK42" s="70">
        <v>0</v>
      </c>
      <c r="BL42" s="70">
        <v>0</v>
      </c>
      <c r="BM42" s="70">
        <v>0</v>
      </c>
      <c r="BN42" s="70">
        <v>0</v>
      </c>
      <c r="BO42" s="70">
        <v>0</v>
      </c>
      <c r="BP42" s="70">
        <v>0</v>
      </c>
      <c r="BQ42" s="70">
        <v>0</v>
      </c>
      <c r="BR42" s="70">
        <v>0</v>
      </c>
      <c r="BS42" s="70">
        <v>0</v>
      </c>
      <c r="BT42" s="70">
        <v>0</v>
      </c>
      <c r="BU42" s="70">
        <v>0</v>
      </c>
      <c r="BV42" s="70">
        <v>0</v>
      </c>
      <c r="BW42" s="70">
        <v>0</v>
      </c>
      <c r="BX42" s="70">
        <v>0</v>
      </c>
      <c r="BY42" s="70">
        <v>0</v>
      </c>
      <c r="BZ42" s="70">
        <v>0</v>
      </c>
      <c r="CA42" s="74">
        <v>0</v>
      </c>
      <c r="CB42" s="74">
        <v>0</v>
      </c>
      <c r="CC42" s="74">
        <v>0</v>
      </c>
      <c r="CD42" s="74">
        <v>0</v>
      </c>
      <c r="CE42" s="74">
        <v>0</v>
      </c>
      <c r="CF42" s="74">
        <v>0</v>
      </c>
      <c r="CG42" s="74">
        <v>0</v>
      </c>
      <c r="CH42" s="74">
        <v>0</v>
      </c>
      <c r="CI42" s="74">
        <v>0</v>
      </c>
      <c r="CJ42" s="74">
        <v>0</v>
      </c>
      <c r="CK42" s="74">
        <v>0</v>
      </c>
      <c r="CL42" s="74">
        <v>0</v>
      </c>
      <c r="CM42" s="74">
        <v>0</v>
      </c>
      <c r="CN42" s="74">
        <v>0</v>
      </c>
      <c r="CO42" s="74">
        <v>0</v>
      </c>
      <c r="CP42" s="74">
        <v>0</v>
      </c>
      <c r="CQ42" s="74">
        <v>0</v>
      </c>
      <c r="CR42" s="74">
        <v>0</v>
      </c>
      <c r="CS42" s="74">
        <v>0</v>
      </c>
    </row>
    <row r="43" spans="1:97" x14ac:dyDescent="0.25">
      <c r="A43" t="s">
        <v>424</v>
      </c>
      <c r="B43" s="51">
        <v>0</v>
      </c>
      <c r="C43" s="51">
        <v>0</v>
      </c>
      <c r="D43" s="51">
        <v>0</v>
      </c>
      <c r="E43" s="51">
        <v>0</v>
      </c>
      <c r="F43" s="51">
        <v>0</v>
      </c>
      <c r="G43" s="51">
        <v>0</v>
      </c>
      <c r="H43" s="51">
        <v>0</v>
      </c>
      <c r="I43" s="51">
        <v>0</v>
      </c>
      <c r="J43" s="51">
        <v>0</v>
      </c>
      <c r="K43" s="51">
        <v>0</v>
      </c>
      <c r="L43" s="51">
        <v>0</v>
      </c>
      <c r="M43" s="51">
        <v>0</v>
      </c>
      <c r="N43" s="51">
        <v>0</v>
      </c>
      <c r="O43" s="51">
        <v>0</v>
      </c>
      <c r="P43" s="51">
        <v>0</v>
      </c>
      <c r="Q43" s="51">
        <v>0</v>
      </c>
      <c r="R43" s="51">
        <v>0</v>
      </c>
      <c r="S43" s="51">
        <v>0</v>
      </c>
      <c r="T43" s="51">
        <v>0</v>
      </c>
      <c r="U43" s="67">
        <v>0</v>
      </c>
      <c r="V43" s="67">
        <v>0</v>
      </c>
      <c r="W43" s="67">
        <v>0</v>
      </c>
      <c r="X43" s="67">
        <v>0</v>
      </c>
      <c r="Y43" s="67">
        <v>0</v>
      </c>
      <c r="Z43" s="67">
        <f>6%+(char1Refine-1)*1.5%</f>
        <v>0.12</v>
      </c>
      <c r="AA43" s="67">
        <v>0</v>
      </c>
      <c r="AB43" s="67">
        <v>0</v>
      </c>
      <c r="AC43" s="67">
        <v>0</v>
      </c>
      <c r="AD43" s="67">
        <v>0</v>
      </c>
      <c r="AE43" s="67">
        <v>0</v>
      </c>
      <c r="AF43" s="67">
        <v>0</v>
      </c>
      <c r="AG43" s="67">
        <v>0</v>
      </c>
      <c r="AH43" s="67">
        <v>0</v>
      </c>
      <c r="AI43" s="67">
        <v>0</v>
      </c>
      <c r="AJ43" s="67">
        <v>0</v>
      </c>
      <c r="AK43" s="67">
        <v>0</v>
      </c>
      <c r="AL43" s="68">
        <v>0</v>
      </c>
      <c r="AM43" s="68">
        <v>0</v>
      </c>
      <c r="AN43" s="68">
        <v>0</v>
      </c>
      <c r="AO43" s="68">
        <v>0</v>
      </c>
      <c r="AP43" s="68">
        <v>0</v>
      </c>
      <c r="AQ43" s="68">
        <v>0</v>
      </c>
      <c r="AR43" s="68">
        <v>0</v>
      </c>
      <c r="AS43" s="68">
        <v>0</v>
      </c>
      <c r="AT43" s="68">
        <v>0</v>
      </c>
      <c r="AU43" s="68">
        <v>0</v>
      </c>
      <c r="AV43" s="68">
        <v>0</v>
      </c>
      <c r="AW43" s="68">
        <v>0</v>
      </c>
      <c r="AX43" s="68">
        <v>0</v>
      </c>
      <c r="AY43" s="68">
        <v>0</v>
      </c>
      <c r="AZ43" s="68">
        <v>0</v>
      </c>
      <c r="BA43" s="68">
        <v>0</v>
      </c>
      <c r="BB43" s="68">
        <v>0</v>
      </c>
      <c r="BC43" s="68">
        <v>0</v>
      </c>
      <c r="BD43" s="68">
        <v>0</v>
      </c>
      <c r="BE43" s="68">
        <v>0</v>
      </c>
      <c r="BF43" s="68">
        <v>0</v>
      </c>
      <c r="BG43" s="68">
        <v>0</v>
      </c>
      <c r="BH43" s="70">
        <v>0</v>
      </c>
      <c r="BI43" s="70">
        <v>0</v>
      </c>
      <c r="BJ43" s="70">
        <v>0</v>
      </c>
      <c r="BK43" s="70">
        <v>0</v>
      </c>
      <c r="BL43" s="70">
        <v>0</v>
      </c>
      <c r="BM43" s="70">
        <v>0</v>
      </c>
      <c r="BN43" s="70">
        <v>0</v>
      </c>
      <c r="BO43" s="70">
        <v>0</v>
      </c>
      <c r="BP43" s="70">
        <v>0</v>
      </c>
      <c r="BQ43" s="70">
        <v>0</v>
      </c>
      <c r="BR43" s="70">
        <v>0</v>
      </c>
      <c r="BS43" s="70">
        <v>0</v>
      </c>
      <c r="BT43" s="70">
        <v>0</v>
      </c>
      <c r="BU43" s="70">
        <v>0</v>
      </c>
      <c r="BV43" s="70">
        <v>0</v>
      </c>
      <c r="BW43" s="70">
        <v>0</v>
      </c>
      <c r="BX43" s="70">
        <v>0</v>
      </c>
      <c r="BY43" s="70">
        <v>0</v>
      </c>
      <c r="BZ43" s="70">
        <v>0</v>
      </c>
      <c r="CA43" s="74">
        <v>0</v>
      </c>
      <c r="CB43" s="74">
        <v>0</v>
      </c>
      <c r="CC43" s="74">
        <v>0</v>
      </c>
      <c r="CD43" s="74">
        <v>0</v>
      </c>
      <c r="CE43" s="74">
        <v>0</v>
      </c>
      <c r="CF43" s="74">
        <v>0</v>
      </c>
      <c r="CG43" s="74">
        <v>0</v>
      </c>
      <c r="CH43" s="74">
        <v>0</v>
      </c>
      <c r="CI43" s="74">
        <v>0</v>
      </c>
      <c r="CJ43" s="74">
        <v>0</v>
      </c>
      <c r="CK43" s="74">
        <v>0</v>
      </c>
      <c r="CL43" s="74">
        <v>0</v>
      </c>
      <c r="CM43" s="74">
        <v>0</v>
      </c>
      <c r="CN43" s="74">
        <v>0</v>
      </c>
      <c r="CO43" s="74">
        <v>0</v>
      </c>
      <c r="CP43" s="74">
        <v>0</v>
      </c>
      <c r="CQ43" s="74">
        <v>0</v>
      </c>
      <c r="CR43" s="74">
        <v>0</v>
      </c>
      <c r="CS43" s="74">
        <v>0</v>
      </c>
    </row>
    <row r="44" spans="1:97" x14ac:dyDescent="0.25">
      <c r="A44" t="s">
        <v>426</v>
      </c>
      <c r="B44" s="51">
        <v>0</v>
      </c>
      <c r="C44" s="51">
        <v>0</v>
      </c>
      <c r="D44" s="51">
        <v>0</v>
      </c>
      <c r="E44" s="51">
        <v>0</v>
      </c>
      <c r="F44" s="51">
        <v>0</v>
      </c>
      <c r="G44" s="51">
        <v>0</v>
      </c>
      <c r="H44" s="51">
        <v>0</v>
      </c>
      <c r="I44" s="51">
        <v>0</v>
      </c>
      <c r="J44" s="51">
        <v>0</v>
      </c>
      <c r="K44" s="51">
        <v>0</v>
      </c>
      <c r="L44" s="51">
        <v>0</v>
      </c>
      <c r="M44" s="51">
        <v>0</v>
      </c>
      <c r="N44" s="51">
        <v>0</v>
      </c>
      <c r="O44" s="51">
        <v>0</v>
      </c>
      <c r="P44" s="51">
        <v>0</v>
      </c>
      <c r="Q44" s="51">
        <v>0</v>
      </c>
      <c r="R44" s="51">
        <v>0</v>
      </c>
      <c r="S44" s="51">
        <v>0</v>
      </c>
      <c r="T44" s="51">
        <v>0</v>
      </c>
      <c r="U44" s="67">
        <v>0</v>
      </c>
      <c r="V44" s="67">
        <v>0</v>
      </c>
      <c r="W44" s="67">
        <v>0</v>
      </c>
      <c r="X44" s="67">
        <v>0</v>
      </c>
      <c r="Y44" s="67">
        <v>0</v>
      </c>
      <c r="Z44" s="67">
        <v>0</v>
      </c>
      <c r="AA44" s="67">
        <v>0</v>
      </c>
      <c r="AB44" s="67">
        <v>0</v>
      </c>
      <c r="AC44" s="67">
        <v>0</v>
      </c>
      <c r="AD44" s="67">
        <v>0</v>
      </c>
      <c r="AE44" s="67">
        <v>0</v>
      </c>
      <c r="AF44" s="67">
        <v>0</v>
      </c>
      <c r="AG44" s="67">
        <v>0</v>
      </c>
      <c r="AH44" s="67">
        <v>0</v>
      </c>
      <c r="AI44" s="67">
        <v>0</v>
      </c>
      <c r="AJ44" s="67">
        <v>0</v>
      </c>
      <c r="AK44" s="67">
        <v>0</v>
      </c>
      <c r="AL44" s="68">
        <v>0</v>
      </c>
      <c r="AM44" s="68">
        <v>0</v>
      </c>
      <c r="AN44" s="68">
        <v>0</v>
      </c>
      <c r="AO44" s="68">
        <v>0</v>
      </c>
      <c r="AP44" s="68">
        <v>0</v>
      </c>
      <c r="AQ44" s="68">
        <v>0</v>
      </c>
      <c r="AR44" s="68">
        <v>0</v>
      </c>
      <c r="AS44" s="68">
        <v>0</v>
      </c>
      <c r="AT44" s="68">
        <v>0</v>
      </c>
      <c r="AU44" s="68">
        <v>0</v>
      </c>
      <c r="AV44" s="68">
        <v>0</v>
      </c>
      <c r="AW44" s="68">
        <v>0</v>
      </c>
      <c r="AX44" s="68">
        <v>0</v>
      </c>
      <c r="AY44" s="68">
        <v>0</v>
      </c>
      <c r="AZ44" s="68">
        <v>0</v>
      </c>
      <c r="BA44" s="68">
        <v>0</v>
      </c>
      <c r="BB44" s="68">
        <v>0</v>
      </c>
      <c r="BC44" s="68">
        <v>0</v>
      </c>
      <c r="BD44" s="68">
        <v>0</v>
      </c>
      <c r="BE44" s="68">
        <v>0</v>
      </c>
      <c r="BF44" s="68">
        <v>0</v>
      </c>
      <c r="BG44" s="68">
        <v>0</v>
      </c>
      <c r="BH44" s="70">
        <v>0</v>
      </c>
      <c r="BI44" s="70">
        <v>0</v>
      </c>
      <c r="BJ44" s="70">
        <v>0</v>
      </c>
      <c r="BK44" s="70">
        <v>0</v>
      </c>
      <c r="BL44" s="70">
        <v>0</v>
      </c>
      <c r="BM44" s="70">
        <v>0</v>
      </c>
      <c r="BN44" s="70">
        <v>0</v>
      </c>
      <c r="BO44" s="70">
        <v>0</v>
      </c>
      <c r="BP44" s="70">
        <v>0</v>
      </c>
      <c r="BQ44" s="70">
        <v>0</v>
      </c>
      <c r="BR44" s="70">
        <v>0</v>
      </c>
      <c r="BS44" s="70">
        <v>0</v>
      </c>
      <c r="BT44" s="70">
        <v>0</v>
      </c>
      <c r="BU44" s="70">
        <v>0</v>
      </c>
      <c r="BV44" s="70">
        <v>0</v>
      </c>
      <c r="BW44" s="70">
        <v>0</v>
      </c>
      <c r="BX44" s="70">
        <v>0</v>
      </c>
      <c r="BY44" s="70">
        <v>0</v>
      </c>
      <c r="BZ44" s="70">
        <v>0</v>
      </c>
      <c r="CA44" s="74">
        <v>0</v>
      </c>
      <c r="CB44" s="74">
        <v>0</v>
      </c>
      <c r="CC44" s="74">
        <v>0</v>
      </c>
      <c r="CD44" s="74">
        <v>0</v>
      </c>
      <c r="CE44" s="74">
        <v>0</v>
      </c>
      <c r="CF44" s="74">
        <v>0</v>
      </c>
      <c r="CG44" s="74">
        <v>0</v>
      </c>
      <c r="CH44" s="74">
        <v>0</v>
      </c>
      <c r="CI44" s="74">
        <v>0</v>
      </c>
      <c r="CJ44" s="74">
        <v>0</v>
      </c>
      <c r="CK44" s="74">
        <v>0</v>
      </c>
      <c r="CL44" s="74">
        <v>0</v>
      </c>
      <c r="CM44" s="74">
        <v>0</v>
      </c>
      <c r="CN44" s="74">
        <v>0</v>
      </c>
      <c r="CO44" s="74">
        <v>0</v>
      </c>
      <c r="CP44" s="74">
        <v>0</v>
      </c>
      <c r="CQ44" s="74">
        <v>0</v>
      </c>
      <c r="CR44" s="74">
        <v>0</v>
      </c>
      <c r="CS44" s="74">
        <v>0</v>
      </c>
    </row>
    <row r="45" spans="1:97" x14ac:dyDescent="0.25">
      <c r="A45" t="s">
        <v>438</v>
      </c>
      <c r="B45" s="51">
        <v>0</v>
      </c>
      <c r="C45" s="51">
        <v>0</v>
      </c>
      <c r="D45" s="51">
        <v>0</v>
      </c>
      <c r="E45" s="51">
        <v>0</v>
      </c>
      <c r="F45" s="51">
        <v>0</v>
      </c>
      <c r="G45" s="51">
        <v>0</v>
      </c>
      <c r="H45" s="51">
        <v>0</v>
      </c>
      <c r="I45" s="51">
        <v>0</v>
      </c>
      <c r="J45" s="51">
        <v>0</v>
      </c>
      <c r="K45" s="51">
        <v>0</v>
      </c>
      <c r="L45" s="51">
        <v>0</v>
      </c>
      <c r="M45" s="51">
        <v>0</v>
      </c>
      <c r="N45" s="51">
        <v>0</v>
      </c>
      <c r="O45" s="51">
        <v>0</v>
      </c>
      <c r="P45" s="51">
        <v>0</v>
      </c>
      <c r="Q45" s="51">
        <v>0</v>
      </c>
      <c r="R45" s="51">
        <v>0</v>
      </c>
      <c r="S45" s="51">
        <v>0</v>
      </c>
      <c r="T45" s="51">
        <v>0</v>
      </c>
      <c r="U45" s="67">
        <v>0</v>
      </c>
      <c r="V45" s="67">
        <v>0</v>
      </c>
      <c r="W45" s="67">
        <v>0</v>
      </c>
      <c r="X45" s="67">
        <v>0</v>
      </c>
      <c r="Y45" s="67">
        <v>0</v>
      </c>
      <c r="Z45" s="67">
        <v>0</v>
      </c>
      <c r="AA45" s="67">
        <v>0</v>
      </c>
      <c r="AB45" s="67">
        <v>0</v>
      </c>
      <c r="AC45" s="67">
        <v>0</v>
      </c>
      <c r="AD45" s="67">
        <v>0</v>
      </c>
      <c r="AE45" s="67">
        <v>0</v>
      </c>
      <c r="AF45" s="67">
        <v>0</v>
      </c>
      <c r="AG45" s="67">
        <v>0</v>
      </c>
      <c r="AH45" s="67">
        <v>0</v>
      </c>
      <c r="AI45" s="67">
        <v>0</v>
      </c>
      <c r="AJ45" s="67">
        <v>0</v>
      </c>
      <c r="AK45" s="67">
        <v>0</v>
      </c>
      <c r="AL45" s="68">
        <v>0</v>
      </c>
      <c r="AM45" s="68">
        <v>0</v>
      </c>
      <c r="AN45" s="68">
        <v>0</v>
      </c>
      <c r="AO45" s="68">
        <v>0</v>
      </c>
      <c r="AP45" s="68">
        <v>0</v>
      </c>
      <c r="AQ45" s="68">
        <v>0</v>
      </c>
      <c r="AR45" s="68">
        <v>0</v>
      </c>
      <c r="AS45" s="68">
        <v>0</v>
      </c>
      <c r="AT45" s="68">
        <v>0</v>
      </c>
      <c r="AU45" s="68">
        <v>0</v>
      </c>
      <c r="AV45" s="68">
        <v>0</v>
      </c>
      <c r="AW45" s="68">
        <v>0</v>
      </c>
      <c r="AX45" s="68">
        <v>0</v>
      </c>
      <c r="AY45" s="68">
        <v>0</v>
      </c>
      <c r="AZ45" s="68">
        <v>0</v>
      </c>
      <c r="BA45" s="68">
        <v>0</v>
      </c>
      <c r="BB45" s="68">
        <v>0</v>
      </c>
      <c r="BC45" s="68">
        <v>0</v>
      </c>
      <c r="BD45" s="68">
        <v>0</v>
      </c>
      <c r="BE45" s="68">
        <v>0</v>
      </c>
      <c r="BF45" s="68">
        <v>0</v>
      </c>
      <c r="BG45" s="68">
        <v>0</v>
      </c>
      <c r="BH45" s="70">
        <v>0</v>
      </c>
      <c r="BI45" s="70">
        <v>0</v>
      </c>
      <c r="BJ45" s="70">
        <v>0</v>
      </c>
      <c r="BK45" s="70">
        <v>0</v>
      </c>
      <c r="BL45" s="70">
        <v>0</v>
      </c>
      <c r="BM45" s="70">
        <v>0</v>
      </c>
      <c r="BN45" s="70">
        <v>0</v>
      </c>
      <c r="BO45" s="70">
        <v>0</v>
      </c>
      <c r="BP45" s="70">
        <v>0</v>
      </c>
      <c r="BQ45" s="70">
        <v>0</v>
      </c>
      <c r="BR45" s="70">
        <v>0</v>
      </c>
      <c r="BS45" s="70">
        <v>0</v>
      </c>
      <c r="BT45" s="70">
        <v>0</v>
      </c>
      <c r="BU45" s="70">
        <v>0</v>
      </c>
      <c r="BV45" s="70">
        <v>0</v>
      </c>
      <c r="BW45" s="70">
        <v>0</v>
      </c>
      <c r="BX45" s="70">
        <v>0</v>
      </c>
      <c r="BY45" s="70">
        <v>0</v>
      </c>
      <c r="BZ45" s="70">
        <v>0</v>
      </c>
      <c r="CA45" s="74">
        <v>0</v>
      </c>
      <c r="CB45" s="74">
        <v>0</v>
      </c>
      <c r="CC45" s="74">
        <v>0</v>
      </c>
      <c r="CD45" s="74">
        <v>0</v>
      </c>
      <c r="CE45" s="74">
        <v>0</v>
      </c>
      <c r="CF45" s="74">
        <v>0</v>
      </c>
      <c r="CG45" s="74">
        <v>0</v>
      </c>
      <c r="CH45" s="74">
        <v>0</v>
      </c>
      <c r="CI45" s="74">
        <v>0</v>
      </c>
      <c r="CJ45" s="74">
        <v>0</v>
      </c>
      <c r="CK45" s="74">
        <v>0</v>
      </c>
      <c r="CL45" s="74">
        <v>0</v>
      </c>
      <c r="CM45" s="74">
        <v>0</v>
      </c>
      <c r="CN45" s="74">
        <v>0</v>
      </c>
      <c r="CO45" s="74">
        <v>0</v>
      </c>
      <c r="CP45" s="74">
        <v>0</v>
      </c>
      <c r="CQ45" s="74">
        <v>0</v>
      </c>
      <c r="CR45" s="74">
        <v>0</v>
      </c>
      <c r="CS45" s="74">
        <v>0</v>
      </c>
    </row>
    <row r="46" spans="1:97" x14ac:dyDescent="0.25">
      <c r="A46" s="46" t="s">
        <v>62</v>
      </c>
      <c r="B46" s="52">
        <v>0</v>
      </c>
      <c r="C46" s="56">
        <v>0</v>
      </c>
      <c r="D46" s="80">
        <v>0</v>
      </c>
      <c r="E46" s="56">
        <v>0</v>
      </c>
      <c r="F46" s="80">
        <v>0</v>
      </c>
      <c r="G46" s="56">
        <v>0</v>
      </c>
      <c r="H46" s="56">
        <v>0</v>
      </c>
      <c r="I46" s="56">
        <v>0</v>
      </c>
      <c r="J46" s="56">
        <v>0</v>
      </c>
      <c r="K46" s="56">
        <v>0</v>
      </c>
      <c r="L46" s="56">
        <v>0</v>
      </c>
      <c r="M46" s="56">
        <v>0</v>
      </c>
      <c r="N46" s="56">
        <v>0</v>
      </c>
      <c r="O46" s="56">
        <v>0</v>
      </c>
      <c r="P46" s="80">
        <v>0</v>
      </c>
      <c r="Q46" s="80">
        <v>0</v>
      </c>
      <c r="R46" s="80">
        <v>0</v>
      </c>
      <c r="S46" s="56">
        <v>0</v>
      </c>
      <c r="T46" s="56">
        <v>0</v>
      </c>
      <c r="U46" s="76">
        <v>0</v>
      </c>
      <c r="V46" s="76">
        <v>0</v>
      </c>
      <c r="W46" s="76">
        <v>0</v>
      </c>
      <c r="X46" s="76">
        <v>0</v>
      </c>
      <c r="Y46" s="76" cm="1">
        <f t="array" ref="Y46">IF(char1WeapToggle,(char1FinalHP*(0.008+(char1Refine-1)*0.002))+(char1FinalHP*(0.01+(char1Refine-1)*0.002)),(char1FinalHP*(0.008+(char1Refine-1)*0.002)))</f>
        <v>628.26152000000002</v>
      </c>
      <c r="Z46" s="76">
        <v>0</v>
      </c>
      <c r="AA46" s="76">
        <v>0</v>
      </c>
      <c r="AB46" s="76">
        <v>0</v>
      </c>
      <c r="AC46" s="76">
        <v>0</v>
      </c>
      <c r="AD46" s="76">
        <v>0</v>
      </c>
      <c r="AE46" s="76">
        <v>0</v>
      </c>
      <c r="AF46" s="76">
        <v>0</v>
      </c>
      <c r="AG46" s="76">
        <v>0</v>
      </c>
      <c r="AH46" s="76">
        <v>0</v>
      </c>
      <c r="AI46" s="76">
        <v>0</v>
      </c>
      <c r="AJ46" s="76">
        <v>0</v>
      </c>
      <c r="AK46" s="76">
        <v>0</v>
      </c>
      <c r="AL46" s="77">
        <f>((1.2+(char1Refine-1)*0.3)/100)*char1FinalHP</f>
        <v>443.47871999999995</v>
      </c>
      <c r="AM46" s="77">
        <v>0</v>
      </c>
      <c r="AN46" s="77">
        <v>0</v>
      </c>
      <c r="AO46" s="77">
        <v>0</v>
      </c>
      <c r="AP46" s="77">
        <v>0</v>
      </c>
      <c r="AQ46" s="77">
        <v>0</v>
      </c>
      <c r="AR46" s="77">
        <v>0</v>
      </c>
      <c r="AS46" s="77">
        <v>0</v>
      </c>
      <c r="AT46" s="77">
        <v>0</v>
      </c>
      <c r="AU46" s="77">
        <v>0</v>
      </c>
      <c r="AV46" s="77">
        <v>0</v>
      </c>
      <c r="AW46" s="77">
        <v>0</v>
      </c>
      <c r="AX46" s="77">
        <v>0</v>
      </c>
      <c r="AY46" s="77">
        <v>0</v>
      </c>
      <c r="AZ46" s="77">
        <v>0</v>
      </c>
      <c r="BA46" s="77">
        <v>0</v>
      </c>
      <c r="BB46" s="77">
        <v>0</v>
      </c>
      <c r="BC46" s="77">
        <v>0</v>
      </c>
      <c r="BD46" s="77">
        <v>0</v>
      </c>
      <c r="BE46" s="77">
        <v>0</v>
      </c>
      <c r="BF46" s="77">
        <v>0</v>
      </c>
      <c r="BG46" s="77">
        <v>0</v>
      </c>
      <c r="BH46" s="65">
        <v>0</v>
      </c>
      <c r="BI46" s="65">
        <v>0</v>
      </c>
      <c r="BJ46" s="65">
        <v>0</v>
      </c>
      <c r="BK46" s="65">
        <v>0</v>
      </c>
      <c r="BL46" s="65">
        <v>0</v>
      </c>
      <c r="BM46" s="65">
        <v>0</v>
      </c>
      <c r="BN46" s="65">
        <v>0</v>
      </c>
      <c r="BO46" s="65">
        <v>0</v>
      </c>
      <c r="BP46" s="65">
        <v>0</v>
      </c>
      <c r="BQ46" s="65">
        <v>0</v>
      </c>
      <c r="BR46" s="65">
        <v>0</v>
      </c>
      <c r="BS46" s="65">
        <v>0</v>
      </c>
      <c r="BT46" s="65">
        <v>0</v>
      </c>
      <c r="BU46" s="65">
        <v>0</v>
      </c>
      <c r="BV46" s="65">
        <v>0</v>
      </c>
      <c r="BW46" s="65">
        <v>0</v>
      </c>
      <c r="BX46" s="65">
        <v>0</v>
      </c>
      <c r="BY46" s="65">
        <v>0</v>
      </c>
      <c r="BZ46" s="65">
        <v>0</v>
      </c>
      <c r="CA46" s="78">
        <v>0</v>
      </c>
      <c r="CB46" s="79">
        <v>0</v>
      </c>
      <c r="CC46" s="78">
        <v>0</v>
      </c>
      <c r="CD46" s="78">
        <v>0</v>
      </c>
      <c r="CE46" s="78">
        <v>0</v>
      </c>
      <c r="CF46" s="78">
        <v>0</v>
      </c>
      <c r="CG46" s="78">
        <v>0</v>
      </c>
      <c r="CH46" s="79">
        <v>0</v>
      </c>
      <c r="CI46" s="78">
        <v>0</v>
      </c>
      <c r="CJ46" s="78">
        <v>0</v>
      </c>
      <c r="CK46" s="78">
        <v>0</v>
      </c>
      <c r="CL46" s="78">
        <v>0</v>
      </c>
      <c r="CM46" s="78">
        <v>0</v>
      </c>
      <c r="CN46" s="79">
        <v>0</v>
      </c>
      <c r="CO46" s="78">
        <v>0</v>
      </c>
      <c r="CP46" s="78">
        <v>0</v>
      </c>
      <c r="CQ46" s="78">
        <v>0</v>
      </c>
      <c r="CR46" s="78">
        <v>0</v>
      </c>
      <c r="CS46" s="79">
        <v>0</v>
      </c>
    </row>
    <row r="47" spans="1:97" x14ac:dyDescent="0.25">
      <c r="A47" s="46" t="s">
        <v>64</v>
      </c>
      <c r="B47" s="52">
        <v>0</v>
      </c>
      <c r="C47" s="56">
        <v>0</v>
      </c>
      <c r="D47" s="80">
        <v>0</v>
      </c>
      <c r="E47" s="56">
        <v>0</v>
      </c>
      <c r="F47" s="80">
        <v>0</v>
      </c>
      <c r="G47" s="56">
        <v>0</v>
      </c>
      <c r="H47" s="56">
        <v>0</v>
      </c>
      <c r="I47" s="56">
        <v>0</v>
      </c>
      <c r="J47" s="56">
        <v>0</v>
      </c>
      <c r="K47" s="56">
        <v>0</v>
      </c>
      <c r="L47" s="56">
        <v>0</v>
      </c>
      <c r="M47" s="56">
        <v>0</v>
      </c>
      <c r="N47" s="56">
        <v>0</v>
      </c>
      <c r="O47" s="56">
        <v>0</v>
      </c>
      <c r="P47" s="80">
        <v>0</v>
      </c>
      <c r="Q47" s="80">
        <v>0</v>
      </c>
      <c r="R47" s="80">
        <v>0</v>
      </c>
      <c r="S47" s="56">
        <v>0</v>
      </c>
      <c r="T47" s="56">
        <v>0</v>
      </c>
      <c r="U47" s="76">
        <v>0</v>
      </c>
      <c r="V47" s="76">
        <v>0</v>
      </c>
      <c r="W47" s="76">
        <v>0</v>
      </c>
      <c r="X47" s="76">
        <v>0</v>
      </c>
      <c r="Y47" s="76">
        <v>0</v>
      </c>
      <c r="Z47" s="76">
        <v>0</v>
      </c>
      <c r="AA47" s="76">
        <v>0</v>
      </c>
      <c r="AB47" s="76">
        <v>0</v>
      </c>
      <c r="AC47" s="76">
        <v>0</v>
      </c>
      <c r="AD47" s="76">
        <v>0</v>
      </c>
      <c r="AE47" s="76">
        <v>0</v>
      </c>
      <c r="AF47" s="76">
        <v>0</v>
      </c>
      <c r="AG47" s="76">
        <v>0</v>
      </c>
      <c r="AH47" s="76">
        <v>0</v>
      </c>
      <c r="AI47" s="76">
        <v>0</v>
      </c>
      <c r="AJ47" s="76">
        <v>0</v>
      </c>
      <c r="AK47" s="76">
        <v>0</v>
      </c>
      <c r="AL47" s="77">
        <v>0</v>
      </c>
      <c r="AM47" s="77">
        <v>0</v>
      </c>
      <c r="AN47" s="77">
        <v>0</v>
      </c>
      <c r="AO47" s="77">
        <v>0</v>
      </c>
      <c r="AP47" s="77">
        <v>0</v>
      </c>
      <c r="AQ47" s="77">
        <v>0</v>
      </c>
      <c r="AR47" s="77">
        <v>0</v>
      </c>
      <c r="AS47" s="77">
        <v>0</v>
      </c>
      <c r="AT47" s="77">
        <v>0</v>
      </c>
      <c r="AU47" s="77">
        <v>0</v>
      </c>
      <c r="AV47" s="77">
        <v>0</v>
      </c>
      <c r="AW47" s="77">
        <v>0</v>
      </c>
      <c r="AX47" s="77">
        <v>0</v>
      </c>
      <c r="AY47" s="77">
        <v>0</v>
      </c>
      <c r="AZ47" s="77">
        <v>0</v>
      </c>
      <c r="BA47" s="77">
        <v>0</v>
      </c>
      <c r="BB47" s="77">
        <v>0</v>
      </c>
      <c r="BC47" s="77">
        <v>0</v>
      </c>
      <c r="BD47" s="77">
        <v>0</v>
      </c>
      <c r="BE47" s="77">
        <v>0</v>
      </c>
      <c r="BF47" s="77">
        <v>0</v>
      </c>
      <c r="BG47" s="77">
        <v>0</v>
      </c>
      <c r="BH47" s="65">
        <v>0</v>
      </c>
      <c r="BI47" s="65">
        <v>0</v>
      </c>
      <c r="BJ47" s="65">
        <v>0</v>
      </c>
      <c r="BK47" s="65">
        <v>0</v>
      </c>
      <c r="BL47" s="65">
        <v>0</v>
      </c>
      <c r="BM47" s="65">
        <v>0</v>
      </c>
      <c r="BN47" s="65">
        <v>0</v>
      </c>
      <c r="BO47" s="65">
        <v>0</v>
      </c>
      <c r="BP47" s="65">
        <v>0</v>
      </c>
      <c r="BQ47" s="65">
        <v>0</v>
      </c>
      <c r="BR47" s="65">
        <v>0</v>
      </c>
      <c r="BS47" s="65">
        <v>0</v>
      </c>
      <c r="BT47" s="65">
        <v>0</v>
      </c>
      <c r="BU47" s="65">
        <v>0</v>
      </c>
      <c r="BV47" s="65">
        <v>0</v>
      </c>
      <c r="BW47" s="65">
        <v>0</v>
      </c>
      <c r="BX47" s="65">
        <v>0</v>
      </c>
      <c r="BY47" s="65">
        <v>0</v>
      </c>
      <c r="BZ47" s="65">
        <v>0</v>
      </c>
      <c r="CA47" s="78">
        <v>0</v>
      </c>
      <c r="CB47" s="79">
        <v>0</v>
      </c>
      <c r="CC47" s="78">
        <v>0</v>
      </c>
      <c r="CD47" s="78">
        <v>0</v>
      </c>
      <c r="CE47" s="78">
        <v>0</v>
      </c>
      <c r="CF47" s="78">
        <v>0</v>
      </c>
      <c r="CG47" s="78">
        <v>0</v>
      </c>
      <c r="CH47" s="79">
        <v>0</v>
      </c>
      <c r="CI47" s="78">
        <v>0</v>
      </c>
      <c r="CJ47" s="78">
        <v>0</v>
      </c>
      <c r="CK47" s="78">
        <v>0</v>
      </c>
      <c r="CL47" s="78">
        <v>0</v>
      </c>
      <c r="CM47" s="78">
        <v>0</v>
      </c>
      <c r="CN47" s="79">
        <v>0</v>
      </c>
      <c r="CO47" s="78">
        <v>0</v>
      </c>
      <c r="CP47" s="78">
        <v>0</v>
      </c>
      <c r="CQ47" s="78">
        <v>0</v>
      </c>
      <c r="CR47" s="78">
        <v>0</v>
      </c>
      <c r="CS47" s="79">
        <v>0</v>
      </c>
    </row>
    <row r="48" spans="1:97" x14ac:dyDescent="0.25">
      <c r="A48" s="46" t="s">
        <v>63</v>
      </c>
      <c r="B48" s="52">
        <v>0</v>
      </c>
      <c r="C48" s="56">
        <v>0</v>
      </c>
      <c r="D48" s="80">
        <v>0</v>
      </c>
      <c r="E48" s="56">
        <v>0</v>
      </c>
      <c r="F48" s="80">
        <v>0</v>
      </c>
      <c r="G48" s="56">
        <v>0</v>
      </c>
      <c r="H48" s="56">
        <v>0</v>
      </c>
      <c r="I48" s="56">
        <v>0</v>
      </c>
      <c r="J48" s="56">
        <v>0</v>
      </c>
      <c r="K48" s="56">
        <v>0</v>
      </c>
      <c r="L48" s="56">
        <v>0</v>
      </c>
      <c r="M48" s="56">
        <v>0</v>
      </c>
      <c r="N48" s="56">
        <v>0</v>
      </c>
      <c r="O48" s="56">
        <v>0</v>
      </c>
      <c r="P48" s="80">
        <v>0</v>
      </c>
      <c r="Q48" s="80">
        <v>0</v>
      </c>
      <c r="R48" s="80">
        <v>0</v>
      </c>
      <c r="S48" s="56">
        <v>0</v>
      </c>
      <c r="T48" s="56">
        <v>0</v>
      </c>
      <c r="U48" s="76">
        <v>0</v>
      </c>
      <c r="V48" s="76">
        <v>0</v>
      </c>
      <c r="W48" s="76">
        <v>0</v>
      </c>
      <c r="X48" s="76">
        <v>0</v>
      </c>
      <c r="Y48" s="76">
        <v>0</v>
      </c>
      <c r="Z48" s="76">
        <v>0</v>
      </c>
      <c r="AA48" s="76">
        <v>0</v>
      </c>
      <c r="AB48" s="76">
        <v>0</v>
      </c>
      <c r="AC48" s="76">
        <v>0</v>
      </c>
      <c r="AD48" s="76">
        <v>0</v>
      </c>
      <c r="AE48" s="76">
        <v>0</v>
      </c>
      <c r="AF48" s="76">
        <v>0</v>
      </c>
      <c r="AG48" s="76">
        <v>0</v>
      </c>
      <c r="AH48" s="76">
        <v>0</v>
      </c>
      <c r="AI48" s="76">
        <v>0</v>
      </c>
      <c r="AJ48" s="76">
        <v>0</v>
      </c>
      <c r="AK48" s="76">
        <v>0</v>
      </c>
      <c r="AL48" s="77">
        <v>0</v>
      </c>
      <c r="AM48" s="77">
        <v>0</v>
      </c>
      <c r="AN48" s="77">
        <v>0</v>
      </c>
      <c r="AO48" s="77">
        <v>0</v>
      </c>
      <c r="AP48" s="77">
        <v>0</v>
      </c>
      <c r="AQ48" s="77">
        <v>0</v>
      </c>
      <c r="AR48" s="77">
        <v>0</v>
      </c>
      <c r="AS48" s="77">
        <v>0</v>
      </c>
      <c r="AT48" s="77">
        <v>0</v>
      </c>
      <c r="AU48" s="77">
        <v>0</v>
      </c>
      <c r="AV48" s="77">
        <v>0</v>
      </c>
      <c r="AW48" s="77">
        <v>0</v>
      </c>
      <c r="AX48" s="77">
        <v>0</v>
      </c>
      <c r="AY48" s="77">
        <v>0</v>
      </c>
      <c r="AZ48" s="77">
        <v>0</v>
      </c>
      <c r="BA48" s="77">
        <v>0</v>
      </c>
      <c r="BB48" s="77">
        <v>0</v>
      </c>
      <c r="BC48" s="77">
        <v>0</v>
      </c>
      <c r="BD48" s="77">
        <v>0</v>
      </c>
      <c r="BE48" s="77">
        <v>0</v>
      </c>
      <c r="BF48" s="77">
        <v>0</v>
      </c>
      <c r="BG48" s="77">
        <v>0</v>
      </c>
      <c r="BH48" s="65">
        <v>0</v>
      </c>
      <c r="BI48" s="65">
        <v>0</v>
      </c>
      <c r="BJ48" s="65">
        <v>0</v>
      </c>
      <c r="BK48" s="65">
        <v>0</v>
      </c>
      <c r="BL48" s="65">
        <v>0</v>
      </c>
      <c r="BM48" s="65">
        <v>0</v>
      </c>
      <c r="BN48" s="65">
        <v>0</v>
      </c>
      <c r="BO48" s="65">
        <v>0</v>
      </c>
      <c r="BP48" s="65">
        <v>0</v>
      </c>
      <c r="BQ48" s="65">
        <v>0</v>
      </c>
      <c r="BR48" s="65">
        <v>0</v>
      </c>
      <c r="BS48" s="65">
        <v>0</v>
      </c>
      <c r="BT48" s="65">
        <v>0</v>
      </c>
      <c r="BU48" s="65">
        <v>0</v>
      </c>
      <c r="BV48" s="65">
        <v>0</v>
      </c>
      <c r="BW48" s="65">
        <v>0</v>
      </c>
      <c r="BX48" s="65">
        <v>0</v>
      </c>
      <c r="BY48" s="65">
        <v>0</v>
      </c>
      <c r="BZ48" s="65">
        <v>0</v>
      </c>
      <c r="CA48" s="78">
        <v>0</v>
      </c>
      <c r="CB48" s="79">
        <v>0</v>
      </c>
      <c r="CC48" s="78">
        <v>0</v>
      </c>
      <c r="CD48" s="78">
        <v>0</v>
      </c>
      <c r="CE48" s="78">
        <v>0</v>
      </c>
      <c r="CF48" s="78">
        <v>0</v>
      </c>
      <c r="CG48" s="78">
        <v>0</v>
      </c>
      <c r="CH48" s="79">
        <v>0</v>
      </c>
      <c r="CI48" s="78">
        <v>0</v>
      </c>
      <c r="CJ48" s="78">
        <v>0</v>
      </c>
      <c r="CK48" s="78">
        <v>0</v>
      </c>
      <c r="CL48" s="78">
        <v>0</v>
      </c>
      <c r="CM48" s="78">
        <v>0</v>
      </c>
      <c r="CN48" s="79">
        <v>0</v>
      </c>
      <c r="CO48" s="78">
        <v>0</v>
      </c>
      <c r="CP48" s="78">
        <v>0</v>
      </c>
      <c r="CQ48" s="78">
        <v>0</v>
      </c>
      <c r="CR48" s="78">
        <v>0</v>
      </c>
      <c r="CS48" s="79">
        <v>0</v>
      </c>
    </row>
    <row r="49" spans="1:97" x14ac:dyDescent="0.25">
      <c r="A49" s="46" t="s">
        <v>727</v>
      </c>
      <c r="B49" s="134" t="b">
        <v>1</v>
      </c>
      <c r="C49" s="134" t="b">
        <v>0</v>
      </c>
      <c r="D49" s="134" t="b">
        <v>1</v>
      </c>
      <c r="E49" s="134" t="b">
        <v>0</v>
      </c>
      <c r="F49" s="134" t="b">
        <v>0</v>
      </c>
      <c r="G49" s="134" t="b">
        <v>0</v>
      </c>
      <c r="H49" s="134" t="b">
        <v>0</v>
      </c>
      <c r="I49" s="134" t="b">
        <v>0</v>
      </c>
      <c r="J49" s="134" t="b">
        <v>0</v>
      </c>
      <c r="K49" s="134" t="b">
        <v>0</v>
      </c>
      <c r="L49" s="134" t="b">
        <v>1</v>
      </c>
      <c r="M49" s="134" t="b">
        <v>0</v>
      </c>
      <c r="N49" s="134" t="b">
        <v>0</v>
      </c>
      <c r="O49" s="134" t="b">
        <v>1</v>
      </c>
      <c r="P49" s="134" t="b">
        <v>1</v>
      </c>
      <c r="Q49" s="134" t="b">
        <v>0</v>
      </c>
      <c r="R49" s="134" t="b">
        <v>0</v>
      </c>
      <c r="S49" s="134" t="b">
        <v>0</v>
      </c>
      <c r="T49" s="134" t="b">
        <v>0</v>
      </c>
      <c r="U49" s="139" t="b">
        <v>1</v>
      </c>
      <c r="V49" s="139" t="b">
        <v>0</v>
      </c>
      <c r="W49" s="139" t="b">
        <v>0</v>
      </c>
      <c r="X49" s="139" t="b">
        <v>0</v>
      </c>
      <c r="Y49" s="139" t="b">
        <v>0</v>
      </c>
      <c r="Z49" s="139" t="b">
        <v>0</v>
      </c>
      <c r="AA49" s="139" t="b">
        <v>0</v>
      </c>
      <c r="AB49" s="139" t="b">
        <v>1</v>
      </c>
      <c r="AC49" s="139" t="b">
        <v>0</v>
      </c>
      <c r="AD49" s="139" t="b">
        <v>0</v>
      </c>
      <c r="AE49" s="139" t="b">
        <v>0</v>
      </c>
      <c r="AF49" s="139" t="b">
        <v>0</v>
      </c>
      <c r="AG49" s="139" t="b">
        <v>0</v>
      </c>
      <c r="AH49" s="139" t="b">
        <v>1</v>
      </c>
      <c r="AI49" s="139" t="b">
        <v>0</v>
      </c>
      <c r="AJ49" s="139" t="b">
        <v>0</v>
      </c>
      <c r="AK49" s="139" t="b">
        <v>0</v>
      </c>
      <c r="AL49" s="140" t="b">
        <v>0</v>
      </c>
      <c r="AM49" s="140" t="b">
        <v>0</v>
      </c>
      <c r="AN49" s="140" t="b">
        <v>0</v>
      </c>
      <c r="AO49" s="140" t="b">
        <v>0</v>
      </c>
      <c r="AP49" s="140" t="b">
        <v>1</v>
      </c>
      <c r="AQ49" s="140" t="b">
        <v>1</v>
      </c>
      <c r="AR49" s="140" t="b">
        <v>0</v>
      </c>
      <c r="AS49" s="140" t="b">
        <v>1</v>
      </c>
      <c r="AT49" s="140" t="b">
        <v>0</v>
      </c>
      <c r="AU49" s="140" t="b">
        <v>0</v>
      </c>
      <c r="AV49" s="140" t="b">
        <v>0</v>
      </c>
      <c r="AW49" s="140" t="b">
        <v>0</v>
      </c>
      <c r="AX49" s="140" t="b">
        <v>0</v>
      </c>
      <c r="AY49" s="140" t="b">
        <v>0</v>
      </c>
      <c r="AZ49" s="140" t="b">
        <v>0</v>
      </c>
      <c r="BA49" s="140" t="b">
        <v>0</v>
      </c>
      <c r="BB49" s="140" t="b">
        <v>0</v>
      </c>
      <c r="BC49" s="140" t="b">
        <v>0</v>
      </c>
      <c r="BD49" s="140" t="b">
        <v>1</v>
      </c>
      <c r="BE49" s="140" t="b">
        <v>0</v>
      </c>
      <c r="BF49" s="140" t="b">
        <v>0</v>
      </c>
      <c r="BG49" s="140" t="b">
        <v>0</v>
      </c>
      <c r="BH49" s="142" t="b">
        <v>0</v>
      </c>
      <c r="BI49" s="142" t="b">
        <v>1</v>
      </c>
      <c r="BJ49" s="142" t="b">
        <v>0</v>
      </c>
      <c r="BK49" s="142" t="b">
        <v>1</v>
      </c>
      <c r="BL49" s="142" t="b">
        <v>1</v>
      </c>
      <c r="BM49" s="142" t="b">
        <v>1</v>
      </c>
      <c r="BN49" s="142" t="b">
        <v>0</v>
      </c>
      <c r="BO49" s="142" t="b">
        <v>0</v>
      </c>
      <c r="BP49" s="142" t="b">
        <v>0</v>
      </c>
      <c r="BQ49" s="142" t="b">
        <v>0</v>
      </c>
      <c r="BR49" s="142" t="b">
        <v>0</v>
      </c>
      <c r="BS49" s="142" t="b">
        <v>0</v>
      </c>
      <c r="BT49" s="142" t="b">
        <v>0</v>
      </c>
      <c r="BU49" s="142" t="b">
        <v>0</v>
      </c>
      <c r="BV49" s="142" t="b">
        <v>0</v>
      </c>
      <c r="BW49" s="142" t="b">
        <v>0</v>
      </c>
      <c r="BX49" s="142" t="b">
        <v>0</v>
      </c>
      <c r="BY49" s="142" t="b">
        <v>0</v>
      </c>
      <c r="BZ49" s="142" t="b">
        <v>0</v>
      </c>
      <c r="CA49" s="144" t="b">
        <v>0</v>
      </c>
      <c r="CB49" s="78" t="b">
        <v>0</v>
      </c>
      <c r="CC49" s="144" t="b">
        <v>0</v>
      </c>
      <c r="CD49" s="144" t="b">
        <v>0</v>
      </c>
      <c r="CE49" s="144" t="b">
        <v>0</v>
      </c>
      <c r="CF49" s="144" t="b">
        <v>0</v>
      </c>
      <c r="CG49" s="144" t="b">
        <v>0</v>
      </c>
      <c r="CH49" s="144" t="b">
        <v>0</v>
      </c>
      <c r="CI49" s="144" t="b">
        <v>0</v>
      </c>
      <c r="CJ49" s="144" t="b">
        <v>0</v>
      </c>
      <c r="CK49" s="144" t="b">
        <v>0</v>
      </c>
      <c r="CL49" s="144" t="b">
        <v>0</v>
      </c>
      <c r="CM49" s="144" t="b">
        <v>0</v>
      </c>
      <c r="CN49" s="144" t="b">
        <v>0</v>
      </c>
      <c r="CO49" s="144" t="b">
        <v>0</v>
      </c>
      <c r="CP49" s="144" t="b">
        <v>0</v>
      </c>
      <c r="CQ49" s="144" t="b">
        <v>0</v>
      </c>
      <c r="CR49" s="144" t="b">
        <v>0</v>
      </c>
      <c r="CS49" s="144" t="b">
        <v>0</v>
      </c>
    </row>
    <row r="50" spans="1:97" x14ac:dyDescent="0.25">
      <c r="A50" s="46" t="s">
        <v>728</v>
      </c>
      <c r="B50" s="134" t="b">
        <v>0</v>
      </c>
      <c r="C50" s="134" t="b">
        <v>0</v>
      </c>
      <c r="D50" s="134" t="b">
        <v>1</v>
      </c>
      <c r="E50" s="134" t="b">
        <v>0</v>
      </c>
      <c r="F50" s="134" t="b">
        <v>0</v>
      </c>
      <c r="G50" s="134" t="b">
        <v>0</v>
      </c>
      <c r="H50" s="134" t="b">
        <v>0</v>
      </c>
      <c r="I50" s="134" t="b">
        <v>0</v>
      </c>
      <c r="J50" s="134" t="b">
        <v>0</v>
      </c>
      <c r="K50" s="134" t="b">
        <v>0</v>
      </c>
      <c r="L50" s="134" t="b">
        <v>1</v>
      </c>
      <c r="M50" s="134" t="b">
        <v>0</v>
      </c>
      <c r="N50" s="134" t="b">
        <v>0</v>
      </c>
      <c r="O50" s="134" t="b">
        <v>0</v>
      </c>
      <c r="P50" s="134" t="b">
        <v>0</v>
      </c>
      <c r="Q50" s="134" t="b">
        <v>0</v>
      </c>
      <c r="R50" s="134" t="b">
        <v>0</v>
      </c>
      <c r="S50" s="134" t="b">
        <v>0</v>
      </c>
      <c r="T50" s="134" t="b">
        <v>0</v>
      </c>
      <c r="U50" s="139" t="b">
        <v>0</v>
      </c>
      <c r="V50" s="139" t="b">
        <v>0</v>
      </c>
      <c r="W50" s="139" t="b">
        <v>0</v>
      </c>
      <c r="X50" s="139" t="b">
        <v>0</v>
      </c>
      <c r="Y50" s="139" t="b">
        <v>0</v>
      </c>
      <c r="Z50" s="139" t="b">
        <v>0</v>
      </c>
      <c r="AA50" s="139" t="b">
        <v>0</v>
      </c>
      <c r="AB50" s="139" t="b">
        <v>1</v>
      </c>
      <c r="AC50" s="139" t="b">
        <v>0</v>
      </c>
      <c r="AD50" s="139" t="b">
        <v>0</v>
      </c>
      <c r="AE50" s="139" t="b">
        <v>0</v>
      </c>
      <c r="AF50" s="139" t="b">
        <v>0</v>
      </c>
      <c r="AG50" s="139" t="b">
        <v>0</v>
      </c>
      <c r="AH50" s="139" t="b">
        <v>0</v>
      </c>
      <c r="AI50" s="139" t="b">
        <v>0</v>
      </c>
      <c r="AJ50" s="139" t="b">
        <v>0</v>
      </c>
      <c r="AK50" s="139" t="b">
        <v>0</v>
      </c>
      <c r="AL50" s="140" t="b">
        <v>0</v>
      </c>
      <c r="AM50" s="140" t="b">
        <v>0</v>
      </c>
      <c r="AN50" s="140" t="b">
        <v>0</v>
      </c>
      <c r="AO50" s="140" t="b">
        <v>0</v>
      </c>
      <c r="AP50" s="140" t="b">
        <v>0</v>
      </c>
      <c r="AQ50" s="140" t="b">
        <v>0</v>
      </c>
      <c r="AR50" s="140" t="b">
        <v>0</v>
      </c>
      <c r="AS50" s="140" t="b">
        <v>0</v>
      </c>
      <c r="AT50" s="140" t="b">
        <v>0</v>
      </c>
      <c r="AU50" s="140" t="b">
        <v>0</v>
      </c>
      <c r="AV50" s="140" t="b">
        <v>0</v>
      </c>
      <c r="AW50" s="140" t="b">
        <v>0</v>
      </c>
      <c r="AX50" s="140" t="b">
        <v>0</v>
      </c>
      <c r="AY50" s="140" t="b">
        <v>0</v>
      </c>
      <c r="AZ50" s="140" t="b">
        <v>0</v>
      </c>
      <c r="BA50" s="140" t="b">
        <v>0</v>
      </c>
      <c r="BB50" s="140" t="b">
        <v>0</v>
      </c>
      <c r="BC50" s="140" t="b">
        <v>0</v>
      </c>
      <c r="BD50" s="140" t="b">
        <v>0</v>
      </c>
      <c r="BE50" s="140" t="b">
        <v>0</v>
      </c>
      <c r="BF50" s="140" t="b">
        <v>0</v>
      </c>
      <c r="BG50" s="140" t="b">
        <v>0</v>
      </c>
      <c r="BH50" s="142" t="b">
        <v>0</v>
      </c>
      <c r="BI50" s="142" t="b">
        <v>0</v>
      </c>
      <c r="BJ50" s="142" t="b">
        <v>0</v>
      </c>
      <c r="BK50" s="142" t="b">
        <v>0</v>
      </c>
      <c r="BL50" s="142" t="b">
        <v>1</v>
      </c>
      <c r="BM50" s="142" t="b">
        <v>0</v>
      </c>
      <c r="BN50" s="142" t="b">
        <v>0</v>
      </c>
      <c r="BO50" s="142" t="b">
        <v>0</v>
      </c>
      <c r="BP50" s="142" t="b">
        <v>0</v>
      </c>
      <c r="BQ50" s="142" t="b">
        <v>0</v>
      </c>
      <c r="BR50" s="142" t="b">
        <v>0</v>
      </c>
      <c r="BS50" s="142" t="b">
        <v>0</v>
      </c>
      <c r="BT50" s="142" t="b">
        <v>0</v>
      </c>
      <c r="BU50" s="142" t="b">
        <v>0</v>
      </c>
      <c r="BV50" s="142" t="b">
        <v>0</v>
      </c>
      <c r="BW50" s="142" t="b">
        <v>0</v>
      </c>
      <c r="BX50" s="142" t="b">
        <v>0</v>
      </c>
      <c r="BY50" s="142" t="b">
        <v>0</v>
      </c>
      <c r="BZ50" s="142" t="b">
        <v>0</v>
      </c>
      <c r="CA50" s="144" t="b">
        <v>0</v>
      </c>
      <c r="CB50" s="78" t="b">
        <v>0</v>
      </c>
      <c r="CC50" s="144" t="b">
        <v>0</v>
      </c>
      <c r="CD50" s="144" t="b">
        <v>0</v>
      </c>
      <c r="CE50" s="144" t="b">
        <v>0</v>
      </c>
      <c r="CF50" s="144" t="b">
        <v>0</v>
      </c>
      <c r="CG50" s="144" t="b">
        <v>0</v>
      </c>
      <c r="CH50" s="144" t="b">
        <v>0</v>
      </c>
      <c r="CI50" s="144" t="b">
        <v>0</v>
      </c>
      <c r="CJ50" s="144" t="b">
        <v>0</v>
      </c>
      <c r="CK50" s="144" t="b">
        <v>0</v>
      </c>
      <c r="CL50" s="144" t="b">
        <v>0</v>
      </c>
      <c r="CM50" s="144" t="b">
        <v>0</v>
      </c>
      <c r="CN50" s="144" t="b">
        <v>0</v>
      </c>
      <c r="CO50" s="144" t="b">
        <v>0</v>
      </c>
      <c r="CP50" s="144" t="b">
        <v>0</v>
      </c>
      <c r="CQ50" s="144" t="b">
        <v>0</v>
      </c>
      <c r="CR50" s="144" t="b">
        <v>0</v>
      </c>
      <c r="CS50" s="144" t="b">
        <v>0</v>
      </c>
    </row>
    <row r="51" spans="1:97" x14ac:dyDescent="0.25">
      <c r="A51" s="46" t="s">
        <v>729</v>
      </c>
      <c r="B51" s="134" t="b">
        <v>0</v>
      </c>
      <c r="C51" s="134" t="b">
        <v>0</v>
      </c>
      <c r="D51" s="134" t="b">
        <v>0</v>
      </c>
      <c r="E51" s="134" t="b">
        <v>0</v>
      </c>
      <c r="F51" s="134" t="b">
        <v>0</v>
      </c>
      <c r="G51" s="134" t="b">
        <v>0</v>
      </c>
      <c r="H51" s="134" t="b">
        <v>0</v>
      </c>
      <c r="I51" s="134" t="b">
        <v>0</v>
      </c>
      <c r="J51" s="134" t="b">
        <v>0</v>
      </c>
      <c r="K51" s="134" t="b">
        <v>0</v>
      </c>
      <c r="L51" s="134" t="b">
        <v>0</v>
      </c>
      <c r="M51" s="134" t="b">
        <v>0</v>
      </c>
      <c r="N51" s="134" t="b">
        <v>0</v>
      </c>
      <c r="O51" s="134" t="b">
        <v>0</v>
      </c>
      <c r="P51" s="134" t="b">
        <v>0</v>
      </c>
      <c r="Q51" s="134" t="b">
        <v>0</v>
      </c>
      <c r="R51" s="134" t="b">
        <v>0</v>
      </c>
      <c r="S51" s="134" t="b">
        <v>0</v>
      </c>
      <c r="T51" s="134" t="b">
        <v>0</v>
      </c>
      <c r="U51" s="139" t="b">
        <v>0</v>
      </c>
      <c r="V51" s="139" t="b">
        <v>0</v>
      </c>
      <c r="W51" s="139" t="b">
        <v>0</v>
      </c>
      <c r="X51" s="139" t="b">
        <v>0</v>
      </c>
      <c r="Y51" s="139" t="b">
        <v>0</v>
      </c>
      <c r="Z51" s="139" t="b">
        <v>0</v>
      </c>
      <c r="AA51" s="139" t="b">
        <v>0</v>
      </c>
      <c r="AB51" s="139" t="b">
        <v>0</v>
      </c>
      <c r="AC51" s="139" t="b">
        <v>0</v>
      </c>
      <c r="AD51" s="139" t="b">
        <v>0</v>
      </c>
      <c r="AE51" s="139" t="b">
        <v>0</v>
      </c>
      <c r="AF51" s="139" t="b">
        <v>0</v>
      </c>
      <c r="AG51" s="139" t="b">
        <v>0</v>
      </c>
      <c r="AH51" s="139" t="b">
        <v>0</v>
      </c>
      <c r="AI51" s="139" t="b">
        <v>0</v>
      </c>
      <c r="AJ51" s="139" t="b">
        <v>0</v>
      </c>
      <c r="AK51" s="139" t="b">
        <v>0</v>
      </c>
      <c r="AL51" s="140" t="b">
        <v>0</v>
      </c>
      <c r="AM51" s="140" t="b">
        <v>0</v>
      </c>
      <c r="AN51" s="140" t="b">
        <v>0</v>
      </c>
      <c r="AO51" s="140" t="b">
        <v>0</v>
      </c>
      <c r="AP51" s="140" t="b">
        <v>0</v>
      </c>
      <c r="AQ51" s="140" t="b">
        <v>0</v>
      </c>
      <c r="AR51" s="140" t="b">
        <v>0</v>
      </c>
      <c r="AS51" s="140" t="b">
        <v>0</v>
      </c>
      <c r="AT51" s="140" t="b">
        <v>0</v>
      </c>
      <c r="AU51" s="140" t="b">
        <v>0</v>
      </c>
      <c r="AV51" s="140" t="b">
        <v>0</v>
      </c>
      <c r="AW51" s="140" t="b">
        <v>0</v>
      </c>
      <c r="AX51" s="140" t="b">
        <v>0</v>
      </c>
      <c r="AY51" s="140" t="b">
        <v>0</v>
      </c>
      <c r="AZ51" s="140" t="b">
        <v>0</v>
      </c>
      <c r="BA51" s="140" t="b">
        <v>0</v>
      </c>
      <c r="BB51" s="140" t="b">
        <v>0</v>
      </c>
      <c r="BC51" s="140" t="b">
        <v>0</v>
      </c>
      <c r="BD51" s="140" t="b">
        <v>0</v>
      </c>
      <c r="BE51" s="140" t="b">
        <v>0</v>
      </c>
      <c r="BF51" s="140" t="b">
        <v>0</v>
      </c>
      <c r="BG51" s="140" t="b">
        <v>0</v>
      </c>
      <c r="BH51" s="142" t="b">
        <v>0</v>
      </c>
      <c r="BI51" s="142" t="b">
        <v>0</v>
      </c>
      <c r="BJ51" s="142" t="b">
        <v>0</v>
      </c>
      <c r="BK51" s="142" t="b">
        <v>0</v>
      </c>
      <c r="BL51" s="142" t="b">
        <v>0</v>
      </c>
      <c r="BM51" s="142" t="b">
        <v>0</v>
      </c>
      <c r="BN51" s="142" t="b">
        <v>0</v>
      </c>
      <c r="BO51" s="142" t="b">
        <v>0</v>
      </c>
      <c r="BP51" s="142" t="b">
        <v>0</v>
      </c>
      <c r="BQ51" s="142" t="b">
        <v>0</v>
      </c>
      <c r="BR51" s="142" t="b">
        <v>0</v>
      </c>
      <c r="BS51" s="142" t="b">
        <v>0</v>
      </c>
      <c r="BT51" s="142" t="b">
        <v>0</v>
      </c>
      <c r="BU51" s="142" t="b">
        <v>0</v>
      </c>
      <c r="BV51" s="142" t="b">
        <v>0</v>
      </c>
      <c r="BW51" s="142" t="b">
        <v>0</v>
      </c>
      <c r="BX51" s="142" t="b">
        <v>0</v>
      </c>
      <c r="BY51" s="142" t="b">
        <v>0</v>
      </c>
      <c r="BZ51" s="142" t="b">
        <v>0</v>
      </c>
      <c r="CA51" s="144" t="b">
        <v>0</v>
      </c>
      <c r="CB51" s="78" t="b">
        <v>0</v>
      </c>
      <c r="CC51" s="144" t="b">
        <v>0</v>
      </c>
      <c r="CD51" s="144" t="b">
        <v>0</v>
      </c>
      <c r="CE51" s="144" t="b">
        <v>0</v>
      </c>
      <c r="CF51" s="144" t="b">
        <v>0</v>
      </c>
      <c r="CG51" s="144" t="b">
        <v>0</v>
      </c>
      <c r="CH51" s="144" t="b">
        <v>0</v>
      </c>
      <c r="CI51" s="144" t="b">
        <v>0</v>
      </c>
      <c r="CJ51" s="144" t="b">
        <v>0</v>
      </c>
      <c r="CK51" s="144" t="b">
        <v>0</v>
      </c>
      <c r="CL51" s="144" t="b">
        <v>0</v>
      </c>
      <c r="CM51" s="144" t="b">
        <v>0</v>
      </c>
      <c r="CN51" s="144" t="b">
        <v>0</v>
      </c>
      <c r="CO51" s="144" t="b">
        <v>0</v>
      </c>
      <c r="CP51" s="144" t="b">
        <v>0</v>
      </c>
      <c r="CQ51" s="144" t="b">
        <v>0</v>
      </c>
      <c r="CR51" s="144" t="b">
        <v>0</v>
      </c>
      <c r="CS51" s="144" t="b">
        <v>0</v>
      </c>
    </row>
    <row r="52" spans="1:97" x14ac:dyDescent="0.25">
      <c r="A52" s="46" t="s">
        <v>730</v>
      </c>
      <c r="B52" s="134" t="s">
        <v>705</v>
      </c>
      <c r="C52" s="134"/>
      <c r="D52" s="134" t="s">
        <v>706</v>
      </c>
      <c r="E52" s="134"/>
      <c r="F52" s="135"/>
      <c r="G52" s="134"/>
      <c r="H52" s="134"/>
      <c r="I52" s="136"/>
      <c r="J52" s="134"/>
      <c r="K52" s="137"/>
      <c r="L52" s="134" t="s">
        <v>707</v>
      </c>
      <c r="M52" s="134"/>
      <c r="N52" s="137"/>
      <c r="O52" s="137" t="s">
        <v>708</v>
      </c>
      <c r="P52" s="134" t="s">
        <v>709</v>
      </c>
      <c r="Q52" s="135"/>
      <c r="R52" s="135"/>
      <c r="S52" s="135"/>
      <c r="T52" s="137"/>
      <c r="U52" s="138" t="s">
        <v>710</v>
      </c>
      <c r="V52" s="139"/>
      <c r="W52" s="138"/>
      <c r="X52" s="138"/>
      <c r="Y52" s="138"/>
      <c r="Z52" s="139"/>
      <c r="AA52" s="139"/>
      <c r="AB52" s="138" t="s">
        <v>711</v>
      </c>
      <c r="AC52" s="138"/>
      <c r="AD52" s="138"/>
      <c r="AE52" s="138"/>
      <c r="AF52" s="138"/>
      <c r="AG52" s="138"/>
      <c r="AH52" s="138" t="s">
        <v>712</v>
      </c>
      <c r="AI52" s="138"/>
      <c r="AJ52" s="138"/>
      <c r="AK52" s="138"/>
      <c r="AL52" s="75"/>
      <c r="AM52" s="140"/>
      <c r="AN52" s="140"/>
      <c r="AO52" s="75"/>
      <c r="AP52" s="75" t="s">
        <v>713</v>
      </c>
      <c r="AQ52" s="75" t="s">
        <v>714</v>
      </c>
      <c r="AR52" s="75"/>
      <c r="AS52" s="75" t="s">
        <v>715</v>
      </c>
      <c r="AT52" s="75"/>
      <c r="AU52" s="75"/>
      <c r="AV52" s="75"/>
      <c r="AW52" s="75"/>
      <c r="AX52" s="75"/>
      <c r="AY52" s="75"/>
      <c r="AZ52" s="75"/>
      <c r="BA52" s="75"/>
      <c r="BB52" s="75"/>
      <c r="BC52" s="140"/>
      <c r="BD52" s="75" t="s">
        <v>716</v>
      </c>
      <c r="BE52" s="75"/>
      <c r="BF52" s="140"/>
      <c r="BG52" s="75"/>
      <c r="BH52" s="141"/>
      <c r="BI52" s="141" t="s">
        <v>717</v>
      </c>
      <c r="BJ52" s="141"/>
      <c r="BK52" s="142" t="s">
        <v>718</v>
      </c>
      <c r="BL52" s="141" t="s">
        <v>719</v>
      </c>
      <c r="BM52" s="141" t="s">
        <v>720</v>
      </c>
      <c r="BN52" s="141"/>
      <c r="BO52" s="141"/>
      <c r="BP52" s="141"/>
      <c r="BQ52" s="141"/>
      <c r="BR52" s="141"/>
      <c r="BS52" s="141"/>
      <c r="BT52" s="141"/>
      <c r="BU52" s="141"/>
      <c r="BV52" s="141"/>
      <c r="BW52" s="142"/>
      <c r="BX52" s="142"/>
      <c r="BY52" s="142"/>
      <c r="BZ52" s="141"/>
      <c r="CA52" s="143"/>
      <c r="CB52" s="78"/>
      <c r="CC52" s="143" t="s">
        <v>721</v>
      </c>
      <c r="CD52" s="143"/>
      <c r="CE52" s="143"/>
      <c r="CF52" s="143" t="s">
        <v>722</v>
      </c>
      <c r="CG52" s="143"/>
      <c r="CH52" s="143"/>
      <c r="CI52" s="143"/>
      <c r="CJ52" s="143"/>
      <c r="CK52" s="143"/>
      <c r="CL52" s="143"/>
      <c r="CM52" s="143"/>
      <c r="CN52" s="143"/>
      <c r="CO52" s="143"/>
      <c r="CP52" s="143"/>
      <c r="CQ52" s="143"/>
      <c r="CR52" s="143"/>
      <c r="CS52" s="143"/>
    </row>
    <row r="53" spans="1:97" x14ac:dyDescent="0.25">
      <c r="A53" s="46" t="s">
        <v>731</v>
      </c>
      <c r="B53" s="134" t="s">
        <v>249</v>
      </c>
      <c r="C53" s="134"/>
      <c r="D53" s="134" t="s">
        <v>6</v>
      </c>
      <c r="E53" s="134"/>
      <c r="F53" s="135"/>
      <c r="G53" s="134"/>
      <c r="H53" s="134"/>
      <c r="I53" s="136"/>
      <c r="J53" s="134"/>
      <c r="K53" s="137"/>
      <c r="L53" s="134" t="s">
        <v>249</v>
      </c>
      <c r="M53" s="134"/>
      <c r="N53" s="137"/>
      <c r="O53" s="137" t="s">
        <v>249</v>
      </c>
      <c r="P53" s="134" t="s">
        <v>249</v>
      </c>
      <c r="Q53" s="135"/>
      <c r="R53" s="135"/>
      <c r="S53" s="135"/>
      <c r="T53" s="137"/>
      <c r="U53" s="138" t="s">
        <v>249</v>
      </c>
      <c r="V53" s="139"/>
      <c r="W53" s="138"/>
      <c r="X53" s="138"/>
      <c r="Y53" s="138"/>
      <c r="Z53" s="139"/>
      <c r="AA53" s="139"/>
      <c r="AB53" s="138" t="s">
        <v>249</v>
      </c>
      <c r="AC53" s="138"/>
      <c r="AD53" s="138"/>
      <c r="AE53" s="138"/>
      <c r="AF53" s="138"/>
      <c r="AG53" s="138"/>
      <c r="AH53" s="138" t="s">
        <v>249</v>
      </c>
      <c r="AI53" s="138"/>
      <c r="AJ53" s="138"/>
      <c r="AK53" s="138"/>
      <c r="AL53" s="75"/>
      <c r="AM53" s="140"/>
      <c r="AN53" s="140"/>
      <c r="AO53" s="75"/>
      <c r="AP53" s="75" t="s">
        <v>249</v>
      </c>
      <c r="AQ53" s="75" t="s">
        <v>249</v>
      </c>
      <c r="AR53" s="75"/>
      <c r="AS53" s="75" t="s">
        <v>249</v>
      </c>
      <c r="AT53" s="75"/>
      <c r="AU53" s="75"/>
      <c r="AV53" s="75"/>
      <c r="AW53" s="75"/>
      <c r="AX53" s="75"/>
      <c r="AY53" s="75"/>
      <c r="AZ53" s="75"/>
      <c r="BA53" s="75"/>
      <c r="BB53" s="75"/>
      <c r="BC53" s="140"/>
      <c r="BD53" s="75" t="s">
        <v>19</v>
      </c>
      <c r="BE53" s="75"/>
      <c r="BF53" s="140"/>
      <c r="BG53" s="75"/>
      <c r="BH53" s="141"/>
      <c r="BI53" s="141" t="s">
        <v>249</v>
      </c>
      <c r="BJ53" s="141"/>
      <c r="BK53" s="142" t="s">
        <v>6</v>
      </c>
      <c r="BL53" s="141" t="s">
        <v>249</v>
      </c>
      <c r="BM53" s="141" t="s">
        <v>249</v>
      </c>
      <c r="BN53" s="141"/>
      <c r="BO53" s="141"/>
      <c r="BP53" s="141"/>
      <c r="BQ53" s="141"/>
      <c r="BR53" s="141"/>
      <c r="BS53" s="141"/>
      <c r="BT53" s="141"/>
      <c r="BU53" s="141"/>
      <c r="BV53" s="141"/>
      <c r="BW53" s="142"/>
      <c r="BX53" s="142"/>
      <c r="BY53" s="142"/>
      <c r="BZ53" s="141"/>
      <c r="CA53" s="143"/>
      <c r="CB53" s="78"/>
      <c r="CC53" s="143" t="s">
        <v>249</v>
      </c>
      <c r="CD53" s="143"/>
      <c r="CE53" s="143"/>
      <c r="CF53" s="143" t="s">
        <v>249</v>
      </c>
      <c r="CG53" s="143"/>
      <c r="CH53" s="143"/>
      <c r="CI53" s="143"/>
      <c r="CJ53" s="143"/>
      <c r="CK53" s="143"/>
      <c r="CL53" s="143"/>
      <c r="CM53" s="143"/>
      <c r="CN53" s="143"/>
      <c r="CO53" s="143"/>
      <c r="CP53" s="143"/>
      <c r="CQ53" s="143"/>
      <c r="CR53" s="143"/>
      <c r="CS53" s="143"/>
    </row>
    <row r="54" spans="1:97" x14ac:dyDescent="0.25">
      <c r="A54" s="46" t="s">
        <v>732</v>
      </c>
      <c r="B54" s="134" t="s">
        <v>127</v>
      </c>
      <c r="C54" s="134"/>
      <c r="D54" s="134" t="s">
        <v>130</v>
      </c>
      <c r="E54" s="134"/>
      <c r="F54" s="135"/>
      <c r="G54" s="134"/>
      <c r="H54" s="134"/>
      <c r="I54" s="136"/>
      <c r="J54" s="134"/>
      <c r="K54" s="137"/>
      <c r="L54" s="134" t="s">
        <v>127</v>
      </c>
      <c r="M54" s="134"/>
      <c r="N54" s="137"/>
      <c r="O54" s="137" t="s">
        <v>127</v>
      </c>
      <c r="P54" s="134" t="s">
        <v>127</v>
      </c>
      <c r="Q54" s="135"/>
      <c r="R54" s="135"/>
      <c r="S54" s="135"/>
      <c r="T54" s="137"/>
      <c r="U54" s="138" t="s">
        <v>127</v>
      </c>
      <c r="V54" s="139"/>
      <c r="W54" s="138"/>
      <c r="X54" s="138"/>
      <c r="Y54" s="138"/>
      <c r="Z54" s="139"/>
      <c r="AA54" s="139"/>
      <c r="AB54" s="138" t="s">
        <v>127</v>
      </c>
      <c r="AC54" s="138"/>
      <c r="AD54" s="138"/>
      <c r="AE54" s="138"/>
      <c r="AF54" s="138"/>
      <c r="AG54" s="138"/>
      <c r="AH54" s="138" t="s">
        <v>127</v>
      </c>
      <c r="AI54" s="138"/>
      <c r="AJ54" s="138"/>
      <c r="AK54" s="138"/>
      <c r="AL54" s="75"/>
      <c r="AM54" s="140"/>
      <c r="AN54" s="140"/>
      <c r="AO54" s="75"/>
      <c r="AP54" s="75" t="s">
        <v>127</v>
      </c>
      <c r="AQ54" s="75" t="s">
        <v>127</v>
      </c>
      <c r="AR54" s="75"/>
      <c r="AS54" s="75" t="s">
        <v>127</v>
      </c>
      <c r="AT54" s="75"/>
      <c r="AU54" s="75"/>
      <c r="AV54" s="75"/>
      <c r="AW54" s="75"/>
      <c r="AX54" s="75"/>
      <c r="AY54" s="75"/>
      <c r="AZ54" s="75"/>
      <c r="BA54" s="75"/>
      <c r="BB54" s="75"/>
      <c r="BC54" s="140"/>
      <c r="BD54" s="75" t="s">
        <v>130</v>
      </c>
      <c r="BE54" s="75"/>
      <c r="BF54" s="140"/>
      <c r="BG54" s="75"/>
      <c r="BH54" s="141"/>
      <c r="BI54" s="141" t="s">
        <v>127</v>
      </c>
      <c r="BJ54" s="141"/>
      <c r="BK54" s="142" t="s">
        <v>226</v>
      </c>
      <c r="BL54" s="141" t="s">
        <v>127</v>
      </c>
      <c r="BM54" s="141" t="s">
        <v>127</v>
      </c>
      <c r="BN54" s="141"/>
      <c r="BO54" s="141"/>
      <c r="BP54" s="141"/>
      <c r="BQ54" s="141"/>
      <c r="BR54" s="141"/>
      <c r="BS54" s="141"/>
      <c r="BT54" s="141"/>
      <c r="BU54" s="141"/>
      <c r="BV54" s="141"/>
      <c r="BW54" s="142"/>
      <c r="BX54" s="142"/>
      <c r="BY54" s="142"/>
      <c r="BZ54" s="141"/>
      <c r="CA54" s="143"/>
      <c r="CB54" s="78"/>
      <c r="CC54" s="143" t="s">
        <v>127</v>
      </c>
      <c r="CD54" s="143"/>
      <c r="CE54" s="143"/>
      <c r="CF54" s="143" t="s">
        <v>127</v>
      </c>
      <c r="CG54" s="143"/>
      <c r="CH54" s="143"/>
      <c r="CI54" s="143"/>
      <c r="CJ54" s="143"/>
      <c r="CK54" s="143"/>
      <c r="CL54" s="143"/>
      <c r="CM54" s="143"/>
      <c r="CN54" s="143"/>
      <c r="CO54" s="143"/>
      <c r="CP54" s="143"/>
      <c r="CQ54" s="143"/>
      <c r="CR54" s="143"/>
      <c r="CS54" s="143"/>
    </row>
    <row r="55" spans="1:97" x14ac:dyDescent="0.25">
      <c r="A55" s="46" t="s">
        <v>733</v>
      </c>
      <c r="B55" s="136">
        <f>80%+(char1Refine-1)*20%</f>
        <v>1.6</v>
      </c>
      <c r="C55" s="134"/>
      <c r="D55" s="145">
        <f>40%+(char1Refine-1)*10%</f>
        <v>0.8</v>
      </c>
      <c r="E55" s="134"/>
      <c r="F55" s="135"/>
      <c r="G55" s="134"/>
      <c r="H55" s="134"/>
      <c r="I55" s="136"/>
      <c r="J55" s="134"/>
      <c r="K55" s="137"/>
      <c r="L55" s="145">
        <f>80%+(char1Refine-1)*15%</f>
        <v>1.4</v>
      </c>
      <c r="M55" s="134"/>
      <c r="N55" s="137"/>
      <c r="O55" s="145">
        <f>240%+(char1Refine-1)*60%</f>
        <v>4.8</v>
      </c>
      <c r="P55" s="136">
        <f>100%+(char1Refine-1)*25%</f>
        <v>2</v>
      </c>
      <c r="Q55" s="135"/>
      <c r="R55" s="135"/>
      <c r="S55" s="135"/>
      <c r="T55" s="137"/>
      <c r="U55" s="138">
        <f>40%+(char1Refine-1)*15%</f>
        <v>1</v>
      </c>
      <c r="V55" s="139"/>
      <c r="W55" s="138"/>
      <c r="X55" s="138"/>
      <c r="Y55" s="138"/>
      <c r="Z55" s="139"/>
      <c r="AA55" s="139"/>
      <c r="AB55" s="138">
        <f>60%+(char1Refine-1)*15%</f>
        <v>1.2</v>
      </c>
      <c r="AC55" s="138"/>
      <c r="AD55" s="138"/>
      <c r="AE55" s="138"/>
      <c r="AF55" s="138"/>
      <c r="AG55" s="138"/>
      <c r="AH55" s="138">
        <f>20%+(char1Refine-1)*5%</f>
        <v>0.4</v>
      </c>
      <c r="AI55" s="138"/>
      <c r="AJ55" s="138"/>
      <c r="AK55" s="138"/>
      <c r="AL55" s="75"/>
      <c r="AM55" s="140"/>
      <c r="AN55" s="140"/>
      <c r="AO55" s="75"/>
      <c r="AP55" s="75">
        <f>20%+(char1Refine-1)*5%</f>
        <v>0.4</v>
      </c>
      <c r="AQ55" s="75">
        <f>200%+(char1Refine-1)*30%</f>
        <v>3.2</v>
      </c>
      <c r="AR55" s="75"/>
      <c r="AS55" s="75">
        <f>100%+(char1Refine-1)*25%</f>
        <v>2</v>
      </c>
      <c r="AT55" s="75"/>
      <c r="AU55" s="75"/>
      <c r="AV55" s="75"/>
      <c r="AW55" s="75"/>
      <c r="AX55" s="75"/>
      <c r="AY55" s="75"/>
      <c r="AZ55" s="75"/>
      <c r="BA55" s="75"/>
      <c r="BB55" s="75"/>
      <c r="BC55" s="140"/>
      <c r="BD55" s="75">
        <f>40%+(char1Refine-1)*10%</f>
        <v>0.8</v>
      </c>
      <c r="BE55" s="75"/>
      <c r="BF55" s="140"/>
      <c r="BG55" s="75"/>
      <c r="BH55" s="141"/>
      <c r="BI55" s="141">
        <f>160%+(char1Refine-1)*40%</f>
        <v>3.2</v>
      </c>
      <c r="BJ55" s="141"/>
      <c r="BK55" s="141">
        <f>1%+(char1Refine-1)*0.5%</f>
        <v>0.03</v>
      </c>
      <c r="BL55" s="141">
        <f>60%+(char1Refine-1)*15%</f>
        <v>1.2</v>
      </c>
      <c r="BM55" s="141">
        <f>240%+(char1Refine-1)*30%</f>
        <v>3.5999999999999996</v>
      </c>
      <c r="BN55" s="141"/>
      <c r="BO55" s="141"/>
      <c r="BP55" s="141"/>
      <c r="BQ55" s="141"/>
      <c r="BR55" s="141"/>
      <c r="BS55" s="141"/>
      <c r="BT55" s="141"/>
      <c r="BU55" s="141"/>
      <c r="BV55" s="141"/>
      <c r="BW55" s="142"/>
      <c r="BX55" s="142"/>
      <c r="BY55" s="142"/>
      <c r="BZ55" s="141"/>
      <c r="CA55" s="143"/>
      <c r="CB55" s="78"/>
      <c r="CC55" s="146">
        <v>1.25</v>
      </c>
      <c r="CD55" s="143"/>
      <c r="CE55" s="143"/>
      <c r="CF55" s="147">
        <f>40%+(char1Refine-1)*10%</f>
        <v>0.8</v>
      </c>
      <c r="CG55" s="143"/>
      <c r="CH55" s="143"/>
      <c r="CI55" s="143"/>
      <c r="CJ55" s="143"/>
      <c r="CK55" s="143"/>
      <c r="CL55" s="143"/>
      <c r="CM55" s="143"/>
      <c r="CN55" s="143"/>
      <c r="CO55" s="143"/>
      <c r="CP55" s="143"/>
      <c r="CQ55" s="143"/>
      <c r="CR55" s="143"/>
      <c r="CS55" s="143"/>
    </row>
    <row r="56" spans="1:97" x14ac:dyDescent="0.25">
      <c r="A56" s="46" t="s">
        <v>734</v>
      </c>
      <c r="B56" s="134" t="s">
        <v>723</v>
      </c>
      <c r="C56" s="134"/>
      <c r="D56" s="134" t="str">
        <f>char1NAElement</f>
        <v>Electro</v>
      </c>
      <c r="E56" s="134"/>
      <c r="F56" s="135"/>
      <c r="G56" s="134"/>
      <c r="H56" s="134"/>
      <c r="I56" s="136"/>
      <c r="J56" s="134"/>
      <c r="K56" s="137"/>
      <c r="L56" s="134" t="s">
        <v>723</v>
      </c>
      <c r="M56" s="134"/>
      <c r="N56" s="137"/>
      <c r="O56" s="137" t="s">
        <v>723</v>
      </c>
      <c r="P56" s="134" t="s">
        <v>723</v>
      </c>
      <c r="Q56" s="135"/>
      <c r="R56" s="135"/>
      <c r="S56" s="135"/>
      <c r="T56" s="137"/>
      <c r="U56" s="138" t="s">
        <v>723</v>
      </c>
      <c r="V56" s="139"/>
      <c r="W56" s="138"/>
      <c r="X56" s="138"/>
      <c r="Y56" s="138"/>
      <c r="Z56" s="139"/>
      <c r="AA56" s="139"/>
      <c r="AB56" s="138" t="s">
        <v>723</v>
      </c>
      <c r="AC56" s="138"/>
      <c r="AD56" s="138"/>
      <c r="AE56" s="138"/>
      <c r="AF56" s="138"/>
      <c r="AG56" s="138"/>
      <c r="AH56" s="138"/>
      <c r="AI56" s="138"/>
      <c r="AJ56" s="138"/>
      <c r="AK56" s="138"/>
      <c r="AL56" s="75"/>
      <c r="AM56" s="140"/>
      <c r="AN56" s="140"/>
      <c r="AO56" s="75"/>
      <c r="AP56" s="75" t="s">
        <v>723</v>
      </c>
      <c r="AQ56" s="75" t="s">
        <v>723</v>
      </c>
      <c r="AR56" s="75"/>
      <c r="AS56" s="75" t="s">
        <v>723</v>
      </c>
      <c r="AT56" s="75"/>
      <c r="AU56" s="75"/>
      <c r="AV56" s="75"/>
      <c r="AW56" s="75"/>
      <c r="AX56" s="75"/>
      <c r="AY56" s="75"/>
      <c r="AZ56" s="75"/>
      <c r="BA56" s="75"/>
      <c r="BB56" s="75"/>
      <c r="BC56" s="140"/>
      <c r="BD56" s="75" t="str">
        <f>char1SkillElement</f>
        <v>Electro</v>
      </c>
      <c r="BE56" s="75"/>
      <c r="BF56" s="140"/>
      <c r="BG56" s="75"/>
      <c r="BH56" s="141"/>
      <c r="BI56" s="141" t="s">
        <v>723</v>
      </c>
      <c r="BJ56" s="141"/>
      <c r="BK56" s="142" t="str">
        <f>char1NAElement</f>
        <v>Electro</v>
      </c>
      <c r="BL56" s="141" t="s">
        <v>723</v>
      </c>
      <c r="BM56" s="141" t="s">
        <v>723</v>
      </c>
      <c r="BN56" s="141"/>
      <c r="BO56" s="141"/>
      <c r="BP56" s="141"/>
      <c r="BQ56" s="141"/>
      <c r="BR56" s="141"/>
      <c r="BS56" s="141"/>
      <c r="BT56" s="141"/>
      <c r="BU56" s="141"/>
      <c r="BV56" s="141"/>
      <c r="BW56" s="142"/>
      <c r="BX56" s="142"/>
      <c r="BY56" s="142"/>
      <c r="BZ56" s="141"/>
      <c r="CA56" s="143"/>
      <c r="CB56" s="78"/>
      <c r="CC56" s="143" t="s">
        <v>723</v>
      </c>
      <c r="CD56" s="143"/>
      <c r="CE56" s="143"/>
      <c r="CF56" s="143" t="s">
        <v>723</v>
      </c>
      <c r="CG56" s="143"/>
      <c r="CH56" s="143"/>
      <c r="CI56" s="143"/>
      <c r="CJ56" s="143"/>
      <c r="CK56" s="143"/>
      <c r="CL56" s="143"/>
      <c r="CM56" s="143"/>
      <c r="CN56" s="143"/>
      <c r="CO56" s="143"/>
      <c r="CP56" s="143"/>
      <c r="CQ56" s="143"/>
      <c r="CR56" s="143"/>
      <c r="CS56" s="143"/>
    </row>
    <row r="57" spans="1:97" x14ac:dyDescent="0.25">
      <c r="A57" s="46" t="s">
        <v>735</v>
      </c>
      <c r="B57" s="134"/>
      <c r="C57" s="134"/>
      <c r="D57" s="134" t="s">
        <v>724</v>
      </c>
      <c r="E57" s="134"/>
      <c r="F57" s="135"/>
      <c r="G57" s="134"/>
      <c r="H57" s="134"/>
      <c r="I57" s="136"/>
      <c r="J57" s="134"/>
      <c r="K57" s="137"/>
      <c r="L57" s="134" t="s">
        <v>725</v>
      </c>
      <c r="M57" s="134"/>
      <c r="N57" s="137"/>
      <c r="O57" s="137"/>
      <c r="P57" s="134"/>
      <c r="Q57" s="135"/>
      <c r="R57" s="135"/>
      <c r="S57" s="135"/>
      <c r="T57" s="137"/>
      <c r="U57" s="138"/>
      <c r="V57" s="139"/>
      <c r="W57" s="138"/>
      <c r="X57" s="138"/>
      <c r="Y57" s="138"/>
      <c r="Z57" s="139"/>
      <c r="AA57" s="139"/>
      <c r="AB57" s="138" t="s">
        <v>726</v>
      </c>
      <c r="AC57" s="138"/>
      <c r="AD57" s="138"/>
      <c r="AE57" s="138"/>
      <c r="AF57" s="138"/>
      <c r="AG57" s="138"/>
      <c r="AH57" s="138"/>
      <c r="AI57" s="138"/>
      <c r="AJ57" s="138"/>
      <c r="AK57" s="138"/>
      <c r="AL57" s="75"/>
      <c r="AM57" s="140"/>
      <c r="AN57" s="140"/>
      <c r="AO57" s="75"/>
      <c r="AP57" s="75"/>
      <c r="AQ57" s="75"/>
      <c r="AR57" s="75"/>
      <c r="AS57" s="75"/>
      <c r="AT57" s="75"/>
      <c r="AU57" s="75"/>
      <c r="AV57" s="75"/>
      <c r="AW57" s="75"/>
      <c r="AX57" s="75"/>
      <c r="AY57" s="75"/>
      <c r="AZ57" s="75"/>
      <c r="BA57" s="75"/>
      <c r="BB57" s="75"/>
      <c r="BC57" s="140"/>
      <c r="BD57" s="75"/>
      <c r="BE57" s="75"/>
      <c r="BF57" s="140"/>
      <c r="BG57" s="75"/>
      <c r="BH57" s="141"/>
      <c r="BI57" s="141"/>
      <c r="BJ57" s="141"/>
      <c r="BK57" s="142"/>
      <c r="BL57" s="141" t="s">
        <v>726</v>
      </c>
      <c r="BM57" s="141"/>
      <c r="BN57" s="141"/>
      <c r="BO57" s="141"/>
      <c r="BP57" s="141"/>
      <c r="BQ57" s="141"/>
      <c r="BR57" s="141"/>
      <c r="BS57" s="141"/>
      <c r="BT57" s="141"/>
      <c r="BU57" s="141"/>
      <c r="BV57" s="141"/>
      <c r="BW57" s="142"/>
      <c r="BX57" s="142"/>
      <c r="BY57" s="142"/>
      <c r="BZ57" s="141"/>
      <c r="CA57" s="143"/>
      <c r="CB57" s="78"/>
      <c r="CC57" s="143"/>
      <c r="CD57" s="143"/>
      <c r="CE57" s="143"/>
      <c r="CF57" s="143"/>
      <c r="CG57" s="143"/>
      <c r="CH57" s="143"/>
      <c r="CI57" s="143"/>
      <c r="CJ57" s="143"/>
      <c r="CK57" s="143"/>
      <c r="CL57" s="143"/>
      <c r="CM57" s="143"/>
      <c r="CN57" s="143"/>
      <c r="CO57" s="143"/>
      <c r="CP57" s="143"/>
      <c r="CQ57" s="143"/>
      <c r="CR57" s="143"/>
      <c r="CS57" s="143"/>
    </row>
    <row r="58" spans="1:97" x14ac:dyDescent="0.25">
      <c r="A58" s="46" t="s">
        <v>736</v>
      </c>
      <c r="B58" s="134"/>
      <c r="C58" s="134"/>
      <c r="D58" s="134" t="s">
        <v>5</v>
      </c>
      <c r="E58" s="134"/>
      <c r="F58" s="135"/>
      <c r="G58" s="134"/>
      <c r="H58" s="134"/>
      <c r="I58" s="136"/>
      <c r="J58" s="134"/>
      <c r="K58" s="137"/>
      <c r="L58" s="134" t="s">
        <v>249</v>
      </c>
      <c r="M58" s="134"/>
      <c r="N58" s="137"/>
      <c r="O58" s="137"/>
      <c r="P58" s="134"/>
      <c r="Q58" s="135"/>
      <c r="R58" s="135"/>
      <c r="S58" s="135"/>
      <c r="T58" s="137"/>
      <c r="U58" s="138"/>
      <c r="V58" s="139"/>
      <c r="W58" s="138"/>
      <c r="X58" s="138"/>
      <c r="Y58" s="138"/>
      <c r="Z58" s="139"/>
      <c r="AA58" s="139"/>
      <c r="AB58" s="138" t="s">
        <v>249</v>
      </c>
      <c r="AC58" s="138"/>
      <c r="AD58" s="138"/>
      <c r="AE58" s="138"/>
      <c r="AF58" s="138"/>
      <c r="AG58" s="138"/>
      <c r="AH58" s="138"/>
      <c r="AI58" s="138"/>
      <c r="AJ58" s="138"/>
      <c r="AK58" s="138"/>
      <c r="AL58" s="75"/>
      <c r="AM58" s="140"/>
      <c r="AN58" s="140"/>
      <c r="AO58" s="75"/>
      <c r="AP58" s="75"/>
      <c r="AQ58" s="75"/>
      <c r="AR58" s="75"/>
      <c r="AS58" s="75"/>
      <c r="AT58" s="75"/>
      <c r="AU58" s="75"/>
      <c r="AV58" s="75"/>
      <c r="AW58" s="75"/>
      <c r="AX58" s="75"/>
      <c r="AY58" s="75"/>
      <c r="AZ58" s="75"/>
      <c r="BA58" s="75"/>
      <c r="BB58" s="75"/>
      <c r="BC58" s="140"/>
      <c r="BD58" s="75"/>
      <c r="BE58" s="75"/>
      <c r="BF58" s="140"/>
      <c r="BG58" s="75"/>
      <c r="BH58" s="141"/>
      <c r="BI58" s="141"/>
      <c r="BJ58" s="141"/>
      <c r="BK58" s="142"/>
      <c r="BL58" s="141" t="s">
        <v>249</v>
      </c>
      <c r="BM58" s="141"/>
      <c r="BN58" s="141"/>
      <c r="BO58" s="141"/>
      <c r="BP58" s="141"/>
      <c r="BQ58" s="141"/>
      <c r="BR58" s="141"/>
      <c r="BS58" s="141"/>
      <c r="BT58" s="141"/>
      <c r="BU58" s="141"/>
      <c r="BV58" s="141"/>
      <c r="BW58" s="142"/>
      <c r="BX58" s="142"/>
      <c r="BY58" s="142"/>
      <c r="BZ58" s="141"/>
      <c r="CA58" s="143"/>
      <c r="CB58" s="78"/>
      <c r="CC58" s="143"/>
      <c r="CD58" s="143"/>
      <c r="CE58" s="143"/>
      <c r="CF58" s="143"/>
      <c r="CG58" s="143"/>
      <c r="CH58" s="143"/>
      <c r="CI58" s="143"/>
      <c r="CJ58" s="143"/>
      <c r="CK58" s="143"/>
      <c r="CL58" s="143"/>
      <c r="CM58" s="143"/>
      <c r="CN58" s="143"/>
      <c r="CO58" s="143"/>
      <c r="CP58" s="143"/>
      <c r="CQ58" s="143"/>
      <c r="CR58" s="143"/>
      <c r="CS58" s="143"/>
    </row>
    <row r="59" spans="1:97" x14ac:dyDescent="0.25">
      <c r="A59" s="46" t="s">
        <v>737</v>
      </c>
      <c r="B59" s="134"/>
      <c r="C59" s="134"/>
      <c r="D59" s="134" t="s">
        <v>130</v>
      </c>
      <c r="E59" s="134"/>
      <c r="F59" s="135"/>
      <c r="G59" s="134"/>
      <c r="H59" s="134"/>
      <c r="I59" s="136"/>
      <c r="J59" s="134"/>
      <c r="K59" s="137"/>
      <c r="L59" s="134" t="s">
        <v>127</v>
      </c>
      <c r="M59" s="134"/>
      <c r="N59" s="137"/>
      <c r="O59" s="137"/>
      <c r="P59" s="134"/>
      <c r="Q59" s="135"/>
      <c r="R59" s="135"/>
      <c r="S59" s="135"/>
      <c r="T59" s="137"/>
      <c r="U59" s="138"/>
      <c r="V59" s="139"/>
      <c r="W59" s="138"/>
      <c r="X59" s="138"/>
      <c r="Y59" s="138"/>
      <c r="Z59" s="139"/>
      <c r="AA59" s="139"/>
      <c r="AB59" s="138" t="s">
        <v>127</v>
      </c>
      <c r="AC59" s="138"/>
      <c r="AD59" s="138"/>
      <c r="AE59" s="138"/>
      <c r="AF59" s="138"/>
      <c r="AG59" s="138"/>
      <c r="AH59" s="138"/>
      <c r="AI59" s="138"/>
      <c r="AJ59" s="138"/>
      <c r="AK59" s="138"/>
      <c r="AL59" s="75"/>
      <c r="AM59" s="140"/>
      <c r="AN59" s="140"/>
      <c r="AO59" s="75"/>
      <c r="AP59" s="75"/>
      <c r="AQ59" s="75"/>
      <c r="AR59" s="75"/>
      <c r="AS59" s="75"/>
      <c r="AT59" s="75"/>
      <c r="AU59" s="75"/>
      <c r="AV59" s="75"/>
      <c r="AW59" s="75"/>
      <c r="AX59" s="75"/>
      <c r="AY59" s="75"/>
      <c r="AZ59" s="75"/>
      <c r="BA59" s="75"/>
      <c r="BB59" s="75"/>
      <c r="BC59" s="140"/>
      <c r="BD59" s="75"/>
      <c r="BE59" s="75"/>
      <c r="BF59" s="140"/>
      <c r="BG59" s="75"/>
      <c r="BH59" s="141"/>
      <c r="BI59" s="141"/>
      <c r="BJ59" s="141"/>
      <c r="BK59" s="142"/>
      <c r="BL59" s="141" t="s">
        <v>127</v>
      </c>
      <c r="BM59" s="141"/>
      <c r="BN59" s="141"/>
      <c r="BO59" s="141"/>
      <c r="BP59" s="141"/>
      <c r="BQ59" s="141"/>
      <c r="BR59" s="141"/>
      <c r="BS59" s="141"/>
      <c r="BT59" s="141"/>
      <c r="BU59" s="141"/>
      <c r="BV59" s="141"/>
      <c r="BW59" s="142"/>
      <c r="BX59" s="142"/>
      <c r="BY59" s="142"/>
      <c r="BZ59" s="141"/>
      <c r="CA59" s="143"/>
      <c r="CB59" s="78"/>
      <c r="CC59" s="143"/>
      <c r="CD59" s="143"/>
      <c r="CE59" s="143"/>
      <c r="CF59" s="143"/>
      <c r="CG59" s="143"/>
      <c r="CH59" s="143"/>
      <c r="CI59" s="143"/>
      <c r="CJ59" s="143"/>
      <c r="CK59" s="143"/>
      <c r="CL59" s="143"/>
      <c r="CM59" s="143"/>
      <c r="CN59" s="143"/>
      <c r="CO59" s="143"/>
      <c r="CP59" s="143"/>
      <c r="CQ59" s="143"/>
      <c r="CR59" s="143"/>
      <c r="CS59" s="143"/>
    </row>
    <row r="60" spans="1:97" x14ac:dyDescent="0.25">
      <c r="A60" s="46" t="s">
        <v>738</v>
      </c>
      <c r="B60" s="134"/>
      <c r="C60" s="134"/>
      <c r="D60" s="148">
        <f>0.4+(char1Refine-1)*0.1</f>
        <v>0.8</v>
      </c>
      <c r="E60" s="134"/>
      <c r="F60" s="135"/>
      <c r="G60" s="134"/>
      <c r="H60" s="134"/>
      <c r="I60" s="136"/>
      <c r="J60" s="134"/>
      <c r="K60" s="137"/>
      <c r="L60" s="145">
        <f>200%+(char1Refine-1)*40%</f>
        <v>3.6</v>
      </c>
      <c r="M60" s="134"/>
      <c r="N60" s="137"/>
      <c r="O60" s="137"/>
      <c r="P60" s="134"/>
      <c r="Q60" s="135"/>
      <c r="R60" s="135"/>
      <c r="S60" s="135"/>
      <c r="T60" s="137"/>
      <c r="U60" s="138"/>
      <c r="V60" s="139"/>
      <c r="W60" s="138"/>
      <c r="X60" s="138"/>
      <c r="Y60" s="138"/>
      <c r="Z60" s="139"/>
      <c r="AA60" s="139"/>
      <c r="AB60" s="138">
        <f>200%+(char1Refine-1)*40%</f>
        <v>3.6</v>
      </c>
      <c r="AC60" s="138"/>
      <c r="AD60" s="138"/>
      <c r="AE60" s="138"/>
      <c r="AF60" s="138"/>
      <c r="AG60" s="138"/>
      <c r="AH60" s="138"/>
      <c r="AI60" s="138"/>
      <c r="AJ60" s="138"/>
      <c r="AK60" s="138"/>
      <c r="AL60" s="75"/>
      <c r="AM60" s="140"/>
      <c r="AN60" s="140"/>
      <c r="AO60" s="75"/>
      <c r="AP60" s="75"/>
      <c r="AQ60" s="75"/>
      <c r="AR60" s="75"/>
      <c r="AS60" s="75"/>
      <c r="AT60" s="75"/>
      <c r="AU60" s="75"/>
      <c r="AV60" s="75"/>
      <c r="AW60" s="75"/>
      <c r="AX60" s="75"/>
      <c r="AY60" s="75"/>
      <c r="AZ60" s="75"/>
      <c r="BA60" s="75"/>
      <c r="BB60" s="75"/>
      <c r="BC60" s="140"/>
      <c r="BD60" s="75"/>
      <c r="BE60" s="75"/>
      <c r="BF60" s="140"/>
      <c r="BG60" s="75"/>
      <c r="BH60" s="141"/>
      <c r="BI60" s="141"/>
      <c r="BJ60" s="141"/>
      <c r="BK60" s="142"/>
      <c r="BL60" s="141">
        <f>200%+(char1Refine-1)*40%</f>
        <v>3.6</v>
      </c>
      <c r="BM60" s="141"/>
      <c r="BN60" s="141"/>
      <c r="BO60" s="141"/>
      <c r="BP60" s="141"/>
      <c r="BQ60" s="141"/>
      <c r="BR60" s="141"/>
      <c r="BS60" s="141"/>
      <c r="BT60" s="141"/>
      <c r="BU60" s="141"/>
      <c r="BV60" s="141"/>
      <c r="BW60" s="142"/>
      <c r="BX60" s="142"/>
      <c r="BY60" s="142"/>
      <c r="BZ60" s="141"/>
      <c r="CA60" s="143"/>
      <c r="CB60" s="78"/>
      <c r="CC60" s="143"/>
      <c r="CD60" s="143"/>
      <c r="CE60" s="143"/>
      <c r="CF60" s="143"/>
      <c r="CG60" s="143"/>
      <c r="CH60" s="143"/>
      <c r="CI60" s="143"/>
      <c r="CJ60" s="143"/>
      <c r="CK60" s="143"/>
      <c r="CL60" s="143"/>
      <c r="CM60" s="143"/>
      <c r="CN60" s="143"/>
      <c r="CO60" s="143"/>
      <c r="CP60" s="143"/>
      <c r="CQ60" s="143"/>
      <c r="CR60" s="143"/>
      <c r="CS60" s="143"/>
    </row>
    <row r="61" spans="1:97" x14ac:dyDescent="0.25">
      <c r="A61" s="46" t="s">
        <v>739</v>
      </c>
      <c r="B61" s="134"/>
      <c r="C61" s="134"/>
      <c r="D61" s="148" t="str">
        <f>char1CAElement</f>
        <v>Electro</v>
      </c>
      <c r="E61" s="134"/>
      <c r="F61" s="135"/>
      <c r="G61" s="134"/>
      <c r="H61" s="134"/>
      <c r="I61" s="136"/>
      <c r="J61" s="134"/>
      <c r="K61" s="137"/>
      <c r="L61" s="134" t="s">
        <v>723</v>
      </c>
      <c r="M61" s="134"/>
      <c r="N61" s="137"/>
      <c r="O61" s="137"/>
      <c r="P61" s="134"/>
      <c r="Q61" s="135"/>
      <c r="R61" s="135"/>
      <c r="S61" s="135"/>
      <c r="T61" s="137"/>
      <c r="U61" s="138"/>
      <c r="V61" s="139"/>
      <c r="W61" s="138"/>
      <c r="X61" s="138"/>
      <c r="Y61" s="138"/>
      <c r="Z61" s="139"/>
      <c r="AA61" s="139"/>
      <c r="AB61" s="138" t="s">
        <v>723</v>
      </c>
      <c r="AC61" s="138"/>
      <c r="AD61" s="138"/>
      <c r="AE61" s="138"/>
      <c r="AF61" s="138"/>
      <c r="AG61" s="138"/>
      <c r="AH61" s="138"/>
      <c r="AI61" s="138"/>
      <c r="AJ61" s="138"/>
      <c r="AK61" s="138"/>
      <c r="AL61" s="75"/>
      <c r="AM61" s="140"/>
      <c r="AN61" s="140"/>
      <c r="AO61" s="75"/>
      <c r="AP61" s="75"/>
      <c r="AQ61" s="75"/>
      <c r="AR61" s="75"/>
      <c r="AS61" s="75"/>
      <c r="AT61" s="75"/>
      <c r="AU61" s="75"/>
      <c r="AV61" s="75"/>
      <c r="AW61" s="75"/>
      <c r="AX61" s="75"/>
      <c r="AY61" s="75"/>
      <c r="AZ61" s="75"/>
      <c r="BA61" s="75"/>
      <c r="BB61" s="75"/>
      <c r="BC61" s="140"/>
      <c r="BD61" s="75"/>
      <c r="BE61" s="75"/>
      <c r="BF61" s="140"/>
      <c r="BG61" s="75"/>
      <c r="BH61" s="141"/>
      <c r="BI61" s="141"/>
      <c r="BJ61" s="141"/>
      <c r="BK61" s="142"/>
      <c r="BL61" s="141" t="s">
        <v>723</v>
      </c>
      <c r="BM61" s="141"/>
      <c r="BN61" s="141"/>
      <c r="BO61" s="141"/>
      <c r="BP61" s="141"/>
      <c r="BQ61" s="141"/>
      <c r="BR61" s="141"/>
      <c r="BS61" s="141"/>
      <c r="BT61" s="141"/>
      <c r="BU61" s="141"/>
      <c r="BV61" s="141"/>
      <c r="BW61" s="142"/>
      <c r="BX61" s="142"/>
      <c r="BY61" s="142"/>
      <c r="BZ61" s="141"/>
      <c r="CA61" s="143"/>
      <c r="CB61" s="78"/>
      <c r="CC61" s="143"/>
      <c r="CD61" s="143"/>
      <c r="CE61" s="143"/>
      <c r="CF61" s="143"/>
      <c r="CG61" s="143"/>
      <c r="CH61" s="143"/>
      <c r="CI61" s="143"/>
      <c r="CJ61" s="143"/>
      <c r="CK61" s="143"/>
      <c r="CL61" s="143"/>
      <c r="CM61" s="143"/>
      <c r="CN61" s="143"/>
      <c r="CO61" s="143"/>
      <c r="CP61" s="143"/>
      <c r="CQ61" s="143"/>
      <c r="CR61" s="143"/>
      <c r="CS61" s="143"/>
    </row>
    <row r="62" spans="1:97" x14ac:dyDescent="0.25">
      <c r="A62" s="46" t="s">
        <v>740</v>
      </c>
      <c r="B62" s="134"/>
      <c r="C62" s="134"/>
      <c r="D62" s="134"/>
      <c r="E62" s="134"/>
      <c r="F62" s="135"/>
      <c r="G62" s="134"/>
      <c r="H62" s="134"/>
      <c r="I62" s="136"/>
      <c r="J62" s="134"/>
      <c r="K62" s="137"/>
      <c r="L62" s="134"/>
      <c r="M62" s="134"/>
      <c r="N62" s="137"/>
      <c r="O62" s="137"/>
      <c r="P62" s="134"/>
      <c r="Q62" s="135"/>
      <c r="R62" s="135"/>
      <c r="S62" s="135"/>
      <c r="T62" s="137"/>
      <c r="U62" s="138"/>
      <c r="V62" s="139"/>
      <c r="W62" s="138"/>
      <c r="X62" s="138"/>
      <c r="Y62" s="138"/>
      <c r="Z62" s="139"/>
      <c r="AA62" s="139"/>
      <c r="AB62" s="138"/>
      <c r="AC62" s="138"/>
      <c r="AD62" s="138"/>
      <c r="AE62" s="138"/>
      <c r="AF62" s="138"/>
      <c r="AG62" s="138"/>
      <c r="AH62" s="138"/>
      <c r="AI62" s="138"/>
      <c r="AJ62" s="138"/>
      <c r="AK62" s="138"/>
      <c r="AL62" s="75"/>
      <c r="AM62" s="140"/>
      <c r="AN62" s="140"/>
      <c r="AO62" s="75"/>
      <c r="AP62" s="75"/>
      <c r="AQ62" s="75"/>
      <c r="AR62" s="75"/>
      <c r="AS62" s="75"/>
      <c r="AT62" s="75"/>
      <c r="AU62" s="75"/>
      <c r="AV62" s="75"/>
      <c r="AW62" s="75"/>
      <c r="AX62" s="75"/>
      <c r="AY62" s="75"/>
      <c r="AZ62" s="75"/>
      <c r="BA62" s="75"/>
      <c r="BB62" s="75"/>
      <c r="BC62" s="140"/>
      <c r="BD62" s="75"/>
      <c r="BE62" s="75"/>
      <c r="BF62" s="140"/>
      <c r="BG62" s="75"/>
      <c r="BH62" s="141"/>
      <c r="BI62" s="141"/>
      <c r="BJ62" s="141"/>
      <c r="BK62" s="142"/>
      <c r="BL62" s="141"/>
      <c r="BM62" s="141"/>
      <c r="BN62" s="141"/>
      <c r="BO62" s="141"/>
      <c r="BP62" s="141"/>
      <c r="BQ62" s="141"/>
      <c r="BR62" s="141"/>
      <c r="BS62" s="141"/>
      <c r="BT62" s="141"/>
      <c r="BU62" s="141"/>
      <c r="BV62" s="141"/>
      <c r="BW62" s="142"/>
      <c r="BX62" s="142"/>
      <c r="BY62" s="142"/>
      <c r="BZ62" s="141"/>
      <c r="CA62" s="143"/>
      <c r="CB62" s="78"/>
      <c r="CC62" s="143"/>
      <c r="CD62" s="143"/>
      <c r="CE62" s="143"/>
      <c r="CF62" s="143"/>
      <c r="CG62" s="143"/>
      <c r="CH62" s="143"/>
      <c r="CI62" s="143"/>
      <c r="CJ62" s="143"/>
      <c r="CK62" s="143"/>
      <c r="CL62" s="143"/>
      <c r="CM62" s="143"/>
      <c r="CN62" s="143"/>
      <c r="CO62" s="143"/>
      <c r="CP62" s="143"/>
      <c r="CQ62" s="143"/>
      <c r="CR62" s="143"/>
      <c r="CS62" s="143"/>
    </row>
    <row r="63" spans="1:97" x14ac:dyDescent="0.25">
      <c r="A63" s="46" t="s">
        <v>741</v>
      </c>
      <c r="B63" s="134"/>
      <c r="C63" s="134"/>
      <c r="D63" s="134"/>
      <c r="E63" s="134"/>
      <c r="F63" s="135"/>
      <c r="G63" s="134"/>
      <c r="H63" s="134"/>
      <c r="I63" s="136"/>
      <c r="J63" s="134"/>
      <c r="K63" s="137"/>
      <c r="L63" s="134"/>
      <c r="M63" s="134"/>
      <c r="N63" s="137"/>
      <c r="O63" s="137"/>
      <c r="P63" s="134"/>
      <c r="Q63" s="135"/>
      <c r="R63" s="135"/>
      <c r="S63" s="135"/>
      <c r="T63" s="137"/>
      <c r="U63" s="138"/>
      <c r="V63" s="139"/>
      <c r="W63" s="138"/>
      <c r="X63" s="138"/>
      <c r="Y63" s="138"/>
      <c r="Z63" s="139"/>
      <c r="AA63" s="139"/>
      <c r="AB63" s="138"/>
      <c r="AC63" s="138"/>
      <c r="AD63" s="138"/>
      <c r="AE63" s="138"/>
      <c r="AF63" s="138"/>
      <c r="AG63" s="138"/>
      <c r="AH63" s="138"/>
      <c r="AI63" s="138"/>
      <c r="AJ63" s="138"/>
      <c r="AK63" s="138"/>
      <c r="AL63" s="75"/>
      <c r="AM63" s="140"/>
      <c r="AN63" s="140"/>
      <c r="AO63" s="75"/>
      <c r="AP63" s="75"/>
      <c r="AQ63" s="75"/>
      <c r="AR63" s="75"/>
      <c r="AS63" s="75"/>
      <c r="AT63" s="75"/>
      <c r="AU63" s="75"/>
      <c r="AV63" s="75"/>
      <c r="AW63" s="75"/>
      <c r="AX63" s="75"/>
      <c r="AY63" s="75"/>
      <c r="AZ63" s="75"/>
      <c r="BA63" s="75"/>
      <c r="BB63" s="75"/>
      <c r="BC63" s="140"/>
      <c r="BD63" s="75"/>
      <c r="BE63" s="75"/>
      <c r="BF63" s="140"/>
      <c r="BG63" s="75"/>
      <c r="BH63" s="141"/>
      <c r="BI63" s="141"/>
      <c r="BJ63" s="141"/>
      <c r="BK63" s="142"/>
      <c r="BL63" s="141"/>
      <c r="BM63" s="141"/>
      <c r="BN63" s="141"/>
      <c r="BO63" s="141"/>
      <c r="BP63" s="141"/>
      <c r="BQ63" s="141"/>
      <c r="BR63" s="141"/>
      <c r="BS63" s="141"/>
      <c r="BT63" s="141"/>
      <c r="BU63" s="141"/>
      <c r="BV63" s="141"/>
      <c r="BW63" s="142"/>
      <c r="BX63" s="142"/>
      <c r="BY63" s="142"/>
      <c r="BZ63" s="141"/>
      <c r="CA63" s="143"/>
      <c r="CB63" s="78"/>
      <c r="CC63" s="143"/>
      <c r="CD63" s="143"/>
      <c r="CE63" s="143"/>
      <c r="CF63" s="143"/>
      <c r="CG63" s="143"/>
      <c r="CH63" s="143"/>
      <c r="CI63" s="143"/>
      <c r="CJ63" s="143"/>
      <c r="CK63" s="143"/>
      <c r="CL63" s="143"/>
      <c r="CM63" s="143"/>
      <c r="CN63" s="143"/>
      <c r="CO63" s="143"/>
      <c r="CP63" s="143"/>
      <c r="CQ63" s="143"/>
      <c r="CR63" s="143"/>
      <c r="CS63" s="143"/>
    </row>
    <row r="64" spans="1:97" x14ac:dyDescent="0.25">
      <c r="A64" s="46" t="s">
        <v>742</v>
      </c>
      <c r="B64" s="134"/>
      <c r="C64" s="134"/>
      <c r="D64" s="134"/>
      <c r="E64" s="134"/>
      <c r="F64" s="135"/>
      <c r="G64" s="134"/>
      <c r="H64" s="134"/>
      <c r="I64" s="136"/>
      <c r="J64" s="134"/>
      <c r="K64" s="137"/>
      <c r="L64" s="134"/>
      <c r="M64" s="134"/>
      <c r="N64" s="137"/>
      <c r="O64" s="137"/>
      <c r="P64" s="134"/>
      <c r="Q64" s="135"/>
      <c r="R64" s="135"/>
      <c r="S64" s="135"/>
      <c r="T64" s="137"/>
      <c r="U64" s="138"/>
      <c r="V64" s="139"/>
      <c r="W64" s="138"/>
      <c r="X64" s="138"/>
      <c r="Y64" s="138"/>
      <c r="Z64" s="139"/>
      <c r="AA64" s="139"/>
      <c r="AB64" s="138"/>
      <c r="AC64" s="138"/>
      <c r="AD64" s="138"/>
      <c r="AE64" s="138"/>
      <c r="AF64" s="138"/>
      <c r="AG64" s="138"/>
      <c r="AH64" s="138"/>
      <c r="AI64" s="138"/>
      <c r="AJ64" s="138"/>
      <c r="AK64" s="138"/>
      <c r="AL64" s="75"/>
      <c r="AM64" s="140"/>
      <c r="AN64" s="140"/>
      <c r="AO64" s="75"/>
      <c r="AP64" s="75"/>
      <c r="AQ64" s="75"/>
      <c r="AR64" s="75"/>
      <c r="AS64" s="75"/>
      <c r="AT64" s="75"/>
      <c r="AU64" s="75"/>
      <c r="AV64" s="75"/>
      <c r="AW64" s="75"/>
      <c r="AX64" s="75"/>
      <c r="AY64" s="75"/>
      <c r="AZ64" s="75"/>
      <c r="BA64" s="75"/>
      <c r="BB64" s="75"/>
      <c r="BC64" s="140"/>
      <c r="BD64" s="75"/>
      <c r="BE64" s="75"/>
      <c r="BF64" s="140"/>
      <c r="BG64" s="75"/>
      <c r="BH64" s="141"/>
      <c r="BI64" s="141"/>
      <c r="BJ64" s="141"/>
      <c r="BK64" s="142"/>
      <c r="BL64" s="141"/>
      <c r="BM64" s="141"/>
      <c r="BN64" s="141"/>
      <c r="BO64" s="141"/>
      <c r="BP64" s="141"/>
      <c r="BQ64" s="141"/>
      <c r="BR64" s="141"/>
      <c r="BS64" s="141"/>
      <c r="BT64" s="141"/>
      <c r="BU64" s="141"/>
      <c r="BV64" s="141"/>
      <c r="BW64" s="142"/>
      <c r="BX64" s="142"/>
      <c r="BY64" s="142"/>
      <c r="BZ64" s="141"/>
      <c r="CA64" s="143"/>
      <c r="CB64" s="78"/>
      <c r="CC64" s="143"/>
      <c r="CD64" s="143"/>
      <c r="CE64" s="143"/>
      <c r="CF64" s="143"/>
      <c r="CG64" s="143"/>
      <c r="CH64" s="143"/>
      <c r="CI64" s="143"/>
      <c r="CJ64" s="143"/>
      <c r="CK64" s="143"/>
      <c r="CL64" s="143"/>
      <c r="CM64" s="143"/>
      <c r="CN64" s="143"/>
      <c r="CO64" s="143"/>
      <c r="CP64" s="143"/>
      <c r="CQ64" s="143"/>
      <c r="CR64" s="143"/>
      <c r="CS64" s="143"/>
    </row>
    <row r="65" spans="1:97" x14ac:dyDescent="0.25">
      <c r="A65" s="46" t="s">
        <v>743</v>
      </c>
      <c r="B65" s="134"/>
      <c r="C65" s="134"/>
      <c r="D65" s="134"/>
      <c r="E65" s="134"/>
      <c r="F65" s="135"/>
      <c r="G65" s="134"/>
      <c r="H65" s="134"/>
      <c r="I65" s="136"/>
      <c r="J65" s="134"/>
      <c r="K65" s="137"/>
      <c r="L65" s="134"/>
      <c r="M65" s="134"/>
      <c r="N65" s="137"/>
      <c r="O65" s="137"/>
      <c r="P65" s="134"/>
      <c r="Q65" s="135"/>
      <c r="R65" s="135"/>
      <c r="S65" s="135"/>
      <c r="T65" s="137"/>
      <c r="U65" s="138"/>
      <c r="V65" s="139"/>
      <c r="W65" s="138"/>
      <c r="X65" s="138"/>
      <c r="Y65" s="138"/>
      <c r="Z65" s="139"/>
      <c r="AA65" s="139"/>
      <c r="AB65" s="138"/>
      <c r="AC65" s="138"/>
      <c r="AD65" s="138"/>
      <c r="AE65" s="138"/>
      <c r="AF65" s="138"/>
      <c r="AG65" s="138"/>
      <c r="AH65" s="138"/>
      <c r="AI65" s="138"/>
      <c r="AJ65" s="138"/>
      <c r="AK65" s="138"/>
      <c r="AL65" s="75"/>
      <c r="AM65" s="140"/>
      <c r="AN65" s="140"/>
      <c r="AO65" s="75"/>
      <c r="AP65" s="75"/>
      <c r="AQ65" s="75"/>
      <c r="AR65" s="75"/>
      <c r="AS65" s="75"/>
      <c r="AT65" s="75"/>
      <c r="AU65" s="75"/>
      <c r="AV65" s="75"/>
      <c r="AW65" s="75"/>
      <c r="AX65" s="75"/>
      <c r="AY65" s="75"/>
      <c r="AZ65" s="75"/>
      <c r="BA65" s="75"/>
      <c r="BB65" s="75"/>
      <c r="BC65" s="140"/>
      <c r="BD65" s="75"/>
      <c r="BE65" s="75"/>
      <c r="BF65" s="140"/>
      <c r="BG65" s="75"/>
      <c r="BH65" s="141"/>
      <c r="BI65" s="141"/>
      <c r="BJ65" s="141"/>
      <c r="BK65" s="142"/>
      <c r="BL65" s="141"/>
      <c r="BM65" s="141"/>
      <c r="BN65" s="141"/>
      <c r="BO65" s="141"/>
      <c r="BP65" s="141"/>
      <c r="BQ65" s="141"/>
      <c r="BR65" s="141"/>
      <c r="BS65" s="141"/>
      <c r="BT65" s="141"/>
      <c r="BU65" s="141"/>
      <c r="BV65" s="141"/>
      <c r="BW65" s="142"/>
      <c r="BX65" s="142"/>
      <c r="BY65" s="142"/>
      <c r="BZ65" s="141"/>
      <c r="CA65" s="143"/>
      <c r="CB65" s="78"/>
      <c r="CC65" s="143"/>
      <c r="CD65" s="143"/>
      <c r="CE65" s="143"/>
      <c r="CF65" s="143"/>
      <c r="CG65" s="143"/>
      <c r="CH65" s="143"/>
      <c r="CI65" s="143"/>
      <c r="CJ65" s="143"/>
      <c r="CK65" s="143"/>
      <c r="CL65" s="143"/>
      <c r="CM65" s="143"/>
      <c r="CN65" s="143"/>
      <c r="CO65" s="143"/>
      <c r="CP65" s="143"/>
      <c r="CQ65" s="143"/>
      <c r="CR65" s="143"/>
      <c r="CS65" s="143"/>
    </row>
    <row r="66" spans="1:97" x14ac:dyDescent="0.25">
      <c r="A66" s="46" t="s">
        <v>744</v>
      </c>
      <c r="B66" s="134"/>
      <c r="C66" s="134"/>
      <c r="D66" s="134"/>
      <c r="E66" s="134"/>
      <c r="F66" s="135"/>
      <c r="G66" s="134"/>
      <c r="H66" s="134"/>
      <c r="I66" s="136"/>
      <c r="J66" s="134"/>
      <c r="K66" s="137"/>
      <c r="L66" s="134"/>
      <c r="M66" s="134"/>
      <c r="N66" s="137"/>
      <c r="O66" s="137"/>
      <c r="P66" s="134"/>
      <c r="Q66" s="135"/>
      <c r="R66" s="135"/>
      <c r="S66" s="135"/>
      <c r="T66" s="137"/>
      <c r="U66" s="138"/>
      <c r="V66" s="139"/>
      <c r="W66" s="138"/>
      <c r="X66" s="138"/>
      <c r="Y66" s="138"/>
      <c r="Z66" s="139"/>
      <c r="AA66" s="139"/>
      <c r="AB66" s="138"/>
      <c r="AC66" s="138"/>
      <c r="AD66" s="138"/>
      <c r="AE66" s="138"/>
      <c r="AF66" s="138"/>
      <c r="AG66" s="138"/>
      <c r="AH66" s="138"/>
      <c r="AI66" s="138"/>
      <c r="AJ66" s="138"/>
      <c r="AK66" s="138"/>
      <c r="AL66" s="75"/>
      <c r="AM66" s="140"/>
      <c r="AN66" s="140"/>
      <c r="AO66" s="75"/>
      <c r="AP66" s="75"/>
      <c r="AQ66" s="75"/>
      <c r="AR66" s="75"/>
      <c r="AS66" s="75"/>
      <c r="AT66" s="75"/>
      <c r="AU66" s="75"/>
      <c r="AV66" s="75"/>
      <c r="AW66" s="75"/>
      <c r="AX66" s="75"/>
      <c r="AY66" s="75"/>
      <c r="AZ66" s="75"/>
      <c r="BA66" s="75"/>
      <c r="BB66" s="75"/>
      <c r="BC66" s="140"/>
      <c r="BD66" s="75"/>
      <c r="BE66" s="75"/>
      <c r="BF66" s="140"/>
      <c r="BG66" s="75"/>
      <c r="BH66" s="141"/>
      <c r="BI66" s="141"/>
      <c r="BJ66" s="141"/>
      <c r="BK66" s="142"/>
      <c r="BL66" s="141"/>
      <c r="BM66" s="141"/>
      <c r="BN66" s="141"/>
      <c r="BO66" s="141"/>
      <c r="BP66" s="141"/>
      <c r="BQ66" s="141"/>
      <c r="BR66" s="141"/>
      <c r="BS66" s="141"/>
      <c r="BT66" s="141"/>
      <c r="BU66" s="141"/>
      <c r="BV66" s="141"/>
      <c r="BW66" s="142"/>
      <c r="BX66" s="142"/>
      <c r="BY66" s="142"/>
      <c r="BZ66" s="141"/>
      <c r="CA66" s="143"/>
      <c r="CB66" s="144"/>
      <c r="CC66" s="143"/>
      <c r="CD66" s="143"/>
      <c r="CE66" s="143"/>
      <c r="CF66" s="143"/>
      <c r="CG66" s="143"/>
      <c r="CH66" s="143"/>
      <c r="CI66" s="143"/>
      <c r="CJ66" s="143"/>
      <c r="CK66" s="143"/>
      <c r="CL66" s="143"/>
      <c r="CM66" s="143"/>
      <c r="CN66" s="143"/>
      <c r="CO66" s="143"/>
      <c r="CP66" s="143"/>
      <c r="CQ66" s="143"/>
      <c r="CR66" s="143"/>
      <c r="CS66" s="143"/>
    </row>
    <row r="68" spans="1:97" x14ac:dyDescent="0.25">
      <c r="A68" s="46" t="s">
        <v>745</v>
      </c>
      <c r="B68" s="155" t="s">
        <v>466</v>
      </c>
      <c r="C68" s="156" t="s">
        <v>467</v>
      </c>
      <c r="D68" s="156" t="s">
        <v>468</v>
      </c>
      <c r="E68" s="156" t="s">
        <v>469</v>
      </c>
      <c r="F68" s="156" t="s">
        <v>470</v>
      </c>
      <c r="G68" s="156" t="s">
        <v>471</v>
      </c>
      <c r="H68" s="156" t="s">
        <v>472</v>
      </c>
      <c r="I68" s="156" t="s">
        <v>473</v>
      </c>
      <c r="J68" s="156" t="s">
        <v>474</v>
      </c>
      <c r="K68" s="156" t="s">
        <v>475</v>
      </c>
      <c r="L68" s="156" t="s">
        <v>476</v>
      </c>
      <c r="M68" s="156" t="s">
        <v>477</v>
      </c>
      <c r="N68" s="156" t="s">
        <v>478</v>
      </c>
      <c r="O68" s="156" t="s">
        <v>479</v>
      </c>
      <c r="P68" s="156" t="s">
        <v>480</v>
      </c>
      <c r="Q68" s="156" t="s">
        <v>481</v>
      </c>
      <c r="R68" s="156" t="s">
        <v>482</v>
      </c>
      <c r="S68" s="156" t="s">
        <v>483</v>
      </c>
      <c r="T68" s="156" t="s">
        <v>484</v>
      </c>
      <c r="U68" s="157" t="s">
        <v>485</v>
      </c>
      <c r="V68" s="157" t="s">
        <v>486</v>
      </c>
      <c r="W68" s="157" t="s">
        <v>487</v>
      </c>
      <c r="X68" s="157" t="s">
        <v>488</v>
      </c>
      <c r="Y68" s="157" t="s">
        <v>489</v>
      </c>
      <c r="Z68" s="157" t="s">
        <v>490</v>
      </c>
      <c r="AA68" s="157" t="s">
        <v>491</v>
      </c>
      <c r="AB68" s="157" t="s">
        <v>492</v>
      </c>
      <c r="AC68" s="157" t="s">
        <v>493</v>
      </c>
      <c r="AD68" s="157" t="s">
        <v>494</v>
      </c>
      <c r="AE68" s="157" t="s">
        <v>495</v>
      </c>
      <c r="AF68" s="157" t="s">
        <v>496</v>
      </c>
      <c r="AG68" s="157" t="s">
        <v>497</v>
      </c>
      <c r="AH68" s="157" t="s">
        <v>498</v>
      </c>
      <c r="AI68" s="157" t="s">
        <v>499</v>
      </c>
      <c r="AJ68" s="157" t="s">
        <v>500</v>
      </c>
      <c r="AK68" s="157" t="s">
        <v>501</v>
      </c>
      <c r="AL68" s="158" t="s">
        <v>502</v>
      </c>
      <c r="AM68" s="158" t="s">
        <v>503</v>
      </c>
      <c r="AN68" s="158" t="s">
        <v>504</v>
      </c>
      <c r="AO68" s="158" t="s">
        <v>505</v>
      </c>
      <c r="AP68" s="158" t="s">
        <v>506</v>
      </c>
      <c r="AQ68" s="158" t="s">
        <v>507</v>
      </c>
      <c r="AR68" s="158" t="s">
        <v>508</v>
      </c>
      <c r="AS68" s="158" t="s">
        <v>509</v>
      </c>
      <c r="AT68" s="158" t="s">
        <v>510</v>
      </c>
      <c r="AU68" s="158" t="s">
        <v>511</v>
      </c>
      <c r="AV68" s="158" t="s">
        <v>512</v>
      </c>
      <c r="AW68" s="158" t="s">
        <v>513</v>
      </c>
      <c r="AX68" s="158" t="s">
        <v>514</v>
      </c>
      <c r="AY68" s="158" t="s">
        <v>515</v>
      </c>
      <c r="AZ68" s="158" t="s">
        <v>516</v>
      </c>
      <c r="BA68" s="158" t="s">
        <v>517</v>
      </c>
      <c r="BB68" s="158" t="s">
        <v>518</v>
      </c>
      <c r="BC68" s="158" t="s">
        <v>519</v>
      </c>
      <c r="BD68" s="158" t="s">
        <v>520</v>
      </c>
      <c r="BE68" s="158" t="s">
        <v>521</v>
      </c>
      <c r="BF68" s="158" t="s">
        <v>522</v>
      </c>
      <c r="BG68" s="158" t="s">
        <v>523</v>
      </c>
      <c r="BH68" s="159" t="s">
        <v>524</v>
      </c>
      <c r="BI68" s="159" t="s">
        <v>525</v>
      </c>
      <c r="BJ68" s="159" t="s">
        <v>526</v>
      </c>
      <c r="BK68" s="159" t="s">
        <v>527</v>
      </c>
      <c r="BL68" s="159" t="s">
        <v>528</v>
      </c>
      <c r="BM68" s="159" t="s">
        <v>529</v>
      </c>
      <c r="BN68" s="159" t="s">
        <v>530</v>
      </c>
      <c r="BO68" s="159" t="s">
        <v>531</v>
      </c>
      <c r="BP68" s="159" t="s">
        <v>532</v>
      </c>
      <c r="BQ68" s="159" t="s">
        <v>533</v>
      </c>
      <c r="BR68" s="159" t="s">
        <v>534</v>
      </c>
      <c r="BS68" s="159" t="s">
        <v>535</v>
      </c>
      <c r="BT68" s="159" t="s">
        <v>536</v>
      </c>
      <c r="BU68" s="159" t="s">
        <v>537</v>
      </c>
      <c r="BV68" s="159" t="s">
        <v>538</v>
      </c>
      <c r="BW68" s="159" t="s">
        <v>539</v>
      </c>
      <c r="BX68" s="159" t="s">
        <v>540</v>
      </c>
      <c r="BY68" s="159" t="s">
        <v>541</v>
      </c>
      <c r="BZ68" s="159" t="s">
        <v>542</v>
      </c>
      <c r="CA68" s="160" t="s">
        <v>543</v>
      </c>
      <c r="CB68" s="61" t="s">
        <v>544</v>
      </c>
      <c r="CC68" s="160" t="s">
        <v>545</v>
      </c>
      <c r="CD68" s="160" t="s">
        <v>546</v>
      </c>
      <c r="CE68" s="160" t="s">
        <v>547</v>
      </c>
      <c r="CF68" s="160" t="s">
        <v>548</v>
      </c>
      <c r="CG68" s="160" t="s">
        <v>549</v>
      </c>
      <c r="CH68" s="160" t="s">
        <v>550</v>
      </c>
      <c r="CI68" s="160" t="s">
        <v>551</v>
      </c>
      <c r="CJ68" s="160" t="s">
        <v>552</v>
      </c>
      <c r="CK68" s="160" t="s">
        <v>553</v>
      </c>
      <c r="CL68" s="160" t="s">
        <v>554</v>
      </c>
      <c r="CM68" s="160" t="s">
        <v>555</v>
      </c>
      <c r="CN68" s="160" t="s">
        <v>556</v>
      </c>
      <c r="CO68" s="160" t="s">
        <v>557</v>
      </c>
      <c r="CP68" s="160" t="s">
        <v>558</v>
      </c>
      <c r="CQ68" s="160" t="s">
        <v>559</v>
      </c>
      <c r="CR68" s="160" t="s">
        <v>560</v>
      </c>
      <c r="CS68" s="160" t="s">
        <v>561</v>
      </c>
    </row>
    <row r="69" spans="1:97" x14ac:dyDescent="0.25">
      <c r="A69" t="s">
        <v>411</v>
      </c>
      <c r="B69" s="161">
        <v>674</v>
      </c>
      <c r="C69" s="162">
        <v>608</v>
      </c>
      <c r="D69" s="162">
        <v>608</v>
      </c>
      <c r="E69" s="162">
        <v>608</v>
      </c>
      <c r="F69" s="162">
        <v>741</v>
      </c>
      <c r="G69" s="162">
        <v>510</v>
      </c>
      <c r="H69" s="162">
        <v>510</v>
      </c>
      <c r="I69" s="162">
        <v>565</v>
      </c>
      <c r="J69" s="162">
        <v>510</v>
      </c>
      <c r="K69" s="162">
        <v>454</v>
      </c>
      <c r="L69" s="162">
        <v>565</v>
      </c>
      <c r="M69" s="162">
        <v>510</v>
      </c>
      <c r="N69" s="162">
        <v>510</v>
      </c>
      <c r="O69" s="162">
        <v>565</v>
      </c>
      <c r="P69" s="162">
        <v>454</v>
      </c>
      <c r="Q69" s="162">
        <v>510</v>
      </c>
      <c r="R69" s="162">
        <v>565</v>
      </c>
      <c r="S69" s="162">
        <v>510</v>
      </c>
      <c r="T69" s="162">
        <v>510</v>
      </c>
      <c r="U69" s="163">
        <v>674</v>
      </c>
      <c r="V69" s="163">
        <v>608</v>
      </c>
      <c r="W69" s="163">
        <v>674</v>
      </c>
      <c r="X69" s="163">
        <v>608</v>
      </c>
      <c r="Y69" s="163">
        <v>608</v>
      </c>
      <c r="Z69" s="163">
        <v>510</v>
      </c>
      <c r="AA69" s="163">
        <v>565</v>
      </c>
      <c r="AB69" s="163">
        <v>454</v>
      </c>
      <c r="AC69" s="163">
        <v>565</v>
      </c>
      <c r="AD69" s="163">
        <v>510</v>
      </c>
      <c r="AE69" s="163">
        <v>565</v>
      </c>
      <c r="AF69" s="163">
        <v>454</v>
      </c>
      <c r="AG69" s="163">
        <v>454</v>
      </c>
      <c r="AH69" s="163">
        <v>565</v>
      </c>
      <c r="AI69" s="163">
        <v>510</v>
      </c>
      <c r="AJ69" s="163">
        <v>401</v>
      </c>
      <c r="AK69" s="163">
        <v>354</v>
      </c>
      <c r="AL69" s="164">
        <v>542</v>
      </c>
      <c r="AM69" s="164">
        <v>608</v>
      </c>
      <c r="AN69" s="164">
        <v>674</v>
      </c>
      <c r="AO69" s="164">
        <v>608</v>
      </c>
      <c r="AP69" s="164">
        <v>608</v>
      </c>
      <c r="AQ69" s="164">
        <v>674</v>
      </c>
      <c r="AR69" s="164">
        <v>510</v>
      </c>
      <c r="AS69" s="164">
        <v>510</v>
      </c>
      <c r="AT69" s="164">
        <v>510</v>
      </c>
      <c r="AU69" s="164">
        <v>620</v>
      </c>
      <c r="AV69" s="164">
        <v>454</v>
      </c>
      <c r="AW69" s="164">
        <v>510</v>
      </c>
      <c r="AX69" s="164">
        <v>565</v>
      </c>
      <c r="AY69" s="164">
        <v>510</v>
      </c>
      <c r="AZ69" s="164">
        <v>510</v>
      </c>
      <c r="BA69" s="164">
        <v>454</v>
      </c>
      <c r="BB69" s="164">
        <v>565</v>
      </c>
      <c r="BC69" s="164">
        <v>454</v>
      </c>
      <c r="BD69" s="164">
        <v>454</v>
      </c>
      <c r="BE69" s="164">
        <v>354</v>
      </c>
      <c r="BF69" s="164">
        <v>401</v>
      </c>
      <c r="BG69" s="164">
        <v>401</v>
      </c>
      <c r="BH69" s="165">
        <v>608</v>
      </c>
      <c r="BI69" s="165">
        <v>674</v>
      </c>
      <c r="BJ69" s="165">
        <v>608</v>
      </c>
      <c r="BK69" s="165">
        <v>608</v>
      </c>
      <c r="BL69" s="165">
        <v>510</v>
      </c>
      <c r="BM69" s="165">
        <v>454</v>
      </c>
      <c r="BN69" s="165">
        <v>565</v>
      </c>
      <c r="BO69" s="165">
        <v>510</v>
      </c>
      <c r="BP69" s="165">
        <v>510</v>
      </c>
      <c r="BQ69" s="165">
        <v>454</v>
      </c>
      <c r="BR69" s="165">
        <v>565</v>
      </c>
      <c r="BS69" s="165">
        <v>510</v>
      </c>
      <c r="BT69" s="165">
        <v>565</v>
      </c>
      <c r="BU69" s="165">
        <v>510</v>
      </c>
      <c r="BV69" s="165">
        <v>454</v>
      </c>
      <c r="BW69" s="165">
        <v>354</v>
      </c>
      <c r="BX69" s="165">
        <v>510</v>
      </c>
      <c r="BY69" s="165">
        <v>565</v>
      </c>
      <c r="BZ69" s="166">
        <v>401</v>
      </c>
      <c r="CA69" s="167">
        <v>608</v>
      </c>
      <c r="CB69" s="66">
        <v>608</v>
      </c>
      <c r="CC69" s="167">
        <v>674</v>
      </c>
      <c r="CD69" s="167">
        <v>608</v>
      </c>
      <c r="CE69" s="167">
        <v>510</v>
      </c>
      <c r="CF69" s="167">
        <v>510</v>
      </c>
      <c r="CG69" s="167">
        <v>454</v>
      </c>
      <c r="CH69" s="167">
        <v>565</v>
      </c>
      <c r="CI69" s="167">
        <v>510</v>
      </c>
      <c r="CJ69" s="167">
        <v>454</v>
      </c>
      <c r="CK69" s="167">
        <v>510</v>
      </c>
      <c r="CL69" s="167">
        <v>565</v>
      </c>
      <c r="CM69" s="167">
        <v>565</v>
      </c>
      <c r="CN69" s="167">
        <v>454</v>
      </c>
      <c r="CO69" s="167">
        <v>510</v>
      </c>
      <c r="CP69" s="167">
        <v>510</v>
      </c>
      <c r="CQ69" s="167">
        <v>510</v>
      </c>
      <c r="CR69" s="167">
        <v>354</v>
      </c>
      <c r="CS69" s="167">
        <v>608</v>
      </c>
    </row>
    <row r="70" spans="1:97" x14ac:dyDescent="0.25">
      <c r="A70" t="s">
        <v>65</v>
      </c>
      <c r="B70" s="168">
        <v>0</v>
      </c>
      <c r="C70" s="169">
        <f>49.6%+IF(char2WeapToggle, 2*char2WeapStacks*(4+(char2Refine-1))%, char2WeapStacks*(4+(char2Refine-1))%)</f>
        <v>0.65600000000000003</v>
      </c>
      <c r="D70" s="169">
        <v>0</v>
      </c>
      <c r="E70" s="169">
        <f>49.6%+(20+(char2Refine-1)*5)%+IF(char2WeapToggle,(40+(char2Refine-1)*10),0)%</f>
        <v>1.6960000000000002</v>
      </c>
      <c r="F70" s="169">
        <f>IF(char2WeapToggle, (20+(char2Refine-1)*5)%, 0%) + (16+(char2Refine-1)*4)%</f>
        <v>0.72</v>
      </c>
      <c r="G70" s="170">
        <v>0</v>
      </c>
      <c r="H70" s="170">
        <v>0</v>
      </c>
      <c r="I70" s="170">
        <v>0.27600000000000002</v>
      </c>
      <c r="J70" s="169">
        <f>char2WeapStacks*(6+1.5*(char2Refine-1))%</f>
        <v>0.12</v>
      </c>
      <c r="K70" s="169">
        <v>0</v>
      </c>
      <c r="L70" s="169">
        <v>0</v>
      </c>
      <c r="M70" s="169">
        <v>0</v>
      </c>
      <c r="N70" s="170">
        <f>41.3%+char2WeapStacks*(7+(char2Refine-1))%</f>
        <v>0.52300000000000002</v>
      </c>
      <c r="O70" s="170">
        <v>0.27600000000000002</v>
      </c>
      <c r="P70" s="170">
        <v>0.55100000000000005</v>
      </c>
      <c r="Q70" s="170">
        <v>0</v>
      </c>
      <c r="R70" s="170">
        <v>0</v>
      </c>
      <c r="S70" s="170">
        <v>0.41299999999999998</v>
      </c>
      <c r="T70" s="169">
        <f>char2WeapStacks*(12+(char2Refine-1)*3)%</f>
        <v>0.24</v>
      </c>
      <c r="U70" s="171">
        <v>0</v>
      </c>
      <c r="V70" s="171" cm="1">
        <f t="array" ref="V70">MIN((28%+(char2Refine-1)*7%)*(char2FinalER-100%),(80+(char2Refine-1)*10)%)</f>
        <v>0.47303200000000006</v>
      </c>
      <c r="W70" s="171">
        <f>char2WeapStacks*(3.2+(char2Refine-1)*0.7)%</f>
        <v>0.06</v>
      </c>
      <c r="X70" s="171">
        <f>(49.6+(char2WeapStacks*IF(char2WeapToggle,2,1)*(4+(char2Refine-1)*1)))%</f>
        <v>0.65599999999999992</v>
      </c>
      <c r="Y70" s="171">
        <v>0</v>
      </c>
      <c r="Z70" s="171">
        <v>0</v>
      </c>
      <c r="AA70" s="171">
        <v>0</v>
      </c>
      <c r="AB70" s="171">
        <v>0</v>
      </c>
      <c r="AC70" s="171">
        <v>0</v>
      </c>
      <c r="AD70" s="171">
        <v>0</v>
      </c>
      <c r="AE70" s="171">
        <f>(27.6+(7+(char2Refine-1)*1)*char2WeapStacks)%</f>
        <v>0.38600000000000001</v>
      </c>
      <c r="AF70" s="171">
        <v>0</v>
      </c>
      <c r="AG70" s="171">
        <f>IF(char2WeapToggle,(24+(char2Refine-1)*6),(16+(char2Refine-1)*4))%</f>
        <v>0.48</v>
      </c>
      <c r="AH70" s="171">
        <v>0</v>
      </c>
      <c r="AI70" s="171">
        <f>(12+(char2Refine-1)*3)*char2WeapStacks%</f>
        <v>0.24</v>
      </c>
      <c r="AJ70" s="171">
        <v>0</v>
      </c>
      <c r="AK70" s="171">
        <v>0</v>
      </c>
      <c r="AL70" s="172">
        <v>0</v>
      </c>
      <c r="AM70" s="172">
        <f>IF(char2WeapToggle, (20+(char2Refine-1)*5), 0)%</f>
        <v>0.4</v>
      </c>
      <c r="AN70" s="172">
        <v>0</v>
      </c>
      <c r="AO70" s="172">
        <f>(49.6+IF(char2WeapToggle,(4+(char2Refine-1))*char2WeapStacks*2,(4+(char2Refine-1))*char2WeapStacks))%</f>
        <v>0.65599999999999992</v>
      </c>
      <c r="AP70" s="172">
        <v>0</v>
      </c>
      <c r="AQ70" s="172">
        <f>(20+(char2Refine-1)*5)%</f>
        <v>0.4</v>
      </c>
      <c r="AR70" s="172">
        <v>0</v>
      </c>
      <c r="AS70" s="172">
        <v>0.41299999999999998</v>
      </c>
      <c r="AT70" s="172">
        <v>0</v>
      </c>
      <c r="AU70" s="172">
        <v>0</v>
      </c>
      <c r="AV70" s="172">
        <v>0</v>
      </c>
      <c r="AW70" s="172">
        <v>0.41299999999999998</v>
      </c>
      <c r="AX70" s="172">
        <f>char2WeapStacks*(4+(char2Refine-1))%</f>
        <v>0.08</v>
      </c>
      <c r="AY70" s="172">
        <v>0.41299999999999998</v>
      </c>
      <c r="AZ70" s="172">
        <v>0</v>
      </c>
      <c r="BA70" s="172">
        <v>0</v>
      </c>
      <c r="BB70" s="172">
        <f>(char2WeapStacks*(12+(char2Refine-1)*3))%</f>
        <v>0.24</v>
      </c>
      <c r="BC70" s="172">
        <v>0.55100000000000005</v>
      </c>
      <c r="BD70" s="172">
        <v>0</v>
      </c>
      <c r="BE70" s="172">
        <f>IF(char2WeapToggle,12+(char2Refine-1)*3,0)%</f>
        <v>0.24</v>
      </c>
      <c r="BF70" s="172">
        <f>IF(char2WeapToggle, 20+(char2Refine-1)*5)%</f>
        <v>0.4</v>
      </c>
      <c r="BG70" s="172">
        <v>0</v>
      </c>
      <c r="BH70" s="173">
        <f>(49.6+IF(char2WeapToggle,(4+(char2Refine-1))*char2WeapStacks*2,(4+(char2Refine-1))*char2WeapStacks))%</f>
        <v>0.65599999999999992</v>
      </c>
      <c r="BI70" s="174">
        <v>0.33100000000000002</v>
      </c>
      <c r="BJ70" s="174">
        <v>0</v>
      </c>
      <c r="BK70" s="174">
        <v>0</v>
      </c>
      <c r="BL70" s="174">
        <v>0.41299999999999998</v>
      </c>
      <c r="BM70" s="174">
        <v>0.55100000000000005</v>
      </c>
      <c r="BN70" s="174">
        <f>IF(char2WeapToggle, 20+(char2Refine-1)*5,0)%</f>
        <v>0.4</v>
      </c>
      <c r="BO70" s="174">
        <f>IF(char2WeapToggle, 20+(char2Refine-1)*5,0)%</f>
        <v>0.4</v>
      </c>
      <c r="BP70" s="174">
        <v>0</v>
      </c>
      <c r="BQ70" s="174">
        <v>0</v>
      </c>
      <c r="BR70" s="174">
        <v>0.27600000000000002</v>
      </c>
      <c r="BS70" s="174">
        <v>0</v>
      </c>
      <c r="BT70" s="174">
        <v>0</v>
      </c>
      <c r="BU70" s="174">
        <v>0</v>
      </c>
      <c r="BV70" s="174">
        <f>(55.1+IF(char2WeapToggle,8+(char2Refine-1)*2))%</f>
        <v>0.71099999999999997</v>
      </c>
      <c r="BW70" s="174">
        <v>0</v>
      </c>
      <c r="BX70" s="174">
        <f>char2WeapStacks*(12+(char2Refine-1)*3)%</f>
        <v>0.24</v>
      </c>
      <c r="BY70" s="174">
        <v>0</v>
      </c>
      <c r="BZ70" s="174">
        <v>0</v>
      </c>
      <c r="CA70" s="175">
        <f>IF(char2WeapToggle, 20+(char2Refine-1)*5, 0)%</f>
        <v>0.4</v>
      </c>
      <c r="CB70" s="73">
        <f>IF(char2WeapStacks=0, 0, IF(char2WeapStacks=1, 10+(char2Refine-1)*2.5, IF(char2WeapStacks=2, 20+(char2Refine-1)*5, IF(char2WeapStacks=3, 30+(char2Refine-1)*7.5, IF(char2WeapStacks=4, 48+(char2Refine-1)*12,0)))))%</f>
        <v>0.2</v>
      </c>
      <c r="CC70" s="176">
        <v>0</v>
      </c>
      <c r="CD70" s="177">
        <v>0.496</v>
      </c>
      <c r="CE70" s="177">
        <v>0.41299999999999998</v>
      </c>
      <c r="CF70" s="176">
        <v>0</v>
      </c>
      <c r="CG70" s="176">
        <f>char2WeapStacks*(4+(char2Refine-1))%</f>
        <v>0.08</v>
      </c>
      <c r="CH70" s="176">
        <f>char2WeapStacks*(12+(char2Refine-1)*3)%</f>
        <v>0.24</v>
      </c>
      <c r="CI70" s="176">
        <f>41.3%+IF(char2WeapToggle, 36+(char2Refine-1)*9)%</f>
        <v>1.133</v>
      </c>
      <c r="CJ70" s="176">
        <v>0</v>
      </c>
      <c r="CK70" s="176">
        <f>IF(char2WeapToggle, 16+(char2Refine-1)*4,0)%</f>
        <v>0.32</v>
      </c>
      <c r="CL70" s="176">
        <v>0.27600000000000002</v>
      </c>
      <c r="CM70" s="176">
        <v>0</v>
      </c>
      <c r="CN70" s="176">
        <v>0.55100000000000005</v>
      </c>
      <c r="CO70" s="176">
        <v>0</v>
      </c>
      <c r="CP70" s="177">
        <v>0.41299999999999998</v>
      </c>
      <c r="CQ70" s="176">
        <v>0</v>
      </c>
      <c r="CR70" s="176">
        <v>0</v>
      </c>
      <c r="CS70" s="176">
        <f>(20+(char2Refine-1)*5)%</f>
        <v>0.4</v>
      </c>
    </row>
    <row r="71" spans="1:97" x14ac:dyDescent="0.25">
      <c r="A71" t="s">
        <v>66</v>
      </c>
      <c r="B71" s="168">
        <v>0</v>
      </c>
      <c r="C71" s="169">
        <v>0</v>
      </c>
      <c r="D71" s="169">
        <f>(20+(char2Refine-1)*5)%</f>
        <v>0.4</v>
      </c>
      <c r="E71" s="169">
        <v>0</v>
      </c>
      <c r="F71" s="169">
        <v>0</v>
      </c>
      <c r="G71" s="170">
        <v>0</v>
      </c>
      <c r="H71" s="170">
        <v>0</v>
      </c>
      <c r="I71" s="170">
        <v>0</v>
      </c>
      <c r="J71" s="170">
        <f>51.7%+char2WeapStacks*(6+1.5*(char2Refine-1))%</f>
        <v>0.63700000000000001</v>
      </c>
      <c r="K71" s="169">
        <v>0</v>
      </c>
      <c r="L71" s="169">
        <v>0</v>
      </c>
      <c r="M71" s="169">
        <v>0</v>
      </c>
      <c r="N71" s="170">
        <v>0</v>
      </c>
      <c r="O71" s="169">
        <v>0</v>
      </c>
      <c r="P71" s="169">
        <v>0</v>
      </c>
      <c r="Q71" s="170">
        <v>0</v>
      </c>
      <c r="R71" s="170">
        <v>0</v>
      </c>
      <c r="S71" s="170">
        <v>0</v>
      </c>
      <c r="T71" s="170">
        <v>0</v>
      </c>
      <c r="U71" s="171">
        <v>0</v>
      </c>
      <c r="V71" s="171">
        <v>0</v>
      </c>
      <c r="W71" s="171">
        <v>0</v>
      </c>
      <c r="X71" s="171">
        <v>0</v>
      </c>
      <c r="Y71" s="171">
        <v>0</v>
      </c>
      <c r="Z71" s="171">
        <v>0</v>
      </c>
      <c r="AA71" s="171">
        <v>0</v>
      </c>
      <c r="AB71" s="171">
        <v>0</v>
      </c>
      <c r="AC71" s="171">
        <v>0</v>
      </c>
      <c r="AD71" s="171">
        <v>0</v>
      </c>
      <c r="AE71" s="171">
        <v>0</v>
      </c>
      <c r="AF71" s="171">
        <v>0</v>
      </c>
      <c r="AG71" s="171">
        <f>(16+(char2Refine-1)*4)%</f>
        <v>0.32</v>
      </c>
      <c r="AH71" s="171">
        <v>0</v>
      </c>
      <c r="AI71" s="171">
        <v>0</v>
      </c>
      <c r="AJ71" s="171">
        <v>0</v>
      </c>
      <c r="AK71" s="171">
        <v>0</v>
      </c>
      <c r="AL71" s="172">
        <v>0</v>
      </c>
      <c r="AM71" s="172">
        <v>0</v>
      </c>
      <c r="AN71" s="172">
        <v>0</v>
      </c>
      <c r="AO71" s="172">
        <v>0</v>
      </c>
      <c r="AP71" s="172">
        <v>0</v>
      </c>
      <c r="AQ71" s="172">
        <v>0</v>
      </c>
      <c r="AR71" s="172">
        <v>0</v>
      </c>
      <c r="AS71" s="172">
        <v>0</v>
      </c>
      <c r="AT71" s="172">
        <v>0</v>
      </c>
      <c r="AU71" s="172">
        <v>0</v>
      </c>
      <c r="AV71" s="172">
        <v>0</v>
      </c>
      <c r="AW71" s="172">
        <v>0</v>
      </c>
      <c r="AX71" s="172">
        <f>char2WeapStacks*(4+(char2Refine-1))%</f>
        <v>0.08</v>
      </c>
      <c r="AY71" s="172">
        <v>0</v>
      </c>
      <c r="AZ71" s="172">
        <v>0</v>
      </c>
      <c r="BA71" s="172">
        <v>0</v>
      </c>
      <c r="BB71" s="172">
        <v>0</v>
      </c>
      <c r="BC71" s="172">
        <v>0</v>
      </c>
      <c r="BD71" s="172">
        <v>0.69</v>
      </c>
      <c r="BE71" s="172">
        <v>0</v>
      </c>
      <c r="BF71" s="172">
        <v>0</v>
      </c>
      <c r="BG71" s="172">
        <v>0</v>
      </c>
      <c r="BH71" s="174">
        <v>0</v>
      </c>
      <c r="BI71" s="174">
        <v>0</v>
      </c>
      <c r="BJ71" s="174">
        <v>0</v>
      </c>
      <c r="BK71" s="174">
        <v>0</v>
      </c>
      <c r="BL71" s="174">
        <v>0</v>
      </c>
      <c r="BM71" s="174">
        <v>0</v>
      </c>
      <c r="BN71" s="174">
        <v>0</v>
      </c>
      <c r="BO71" s="174">
        <v>0</v>
      </c>
      <c r="BP71" s="174">
        <v>0</v>
      </c>
      <c r="BQ71" s="174">
        <v>0</v>
      </c>
      <c r="BR71" s="174">
        <v>0</v>
      </c>
      <c r="BS71" s="174">
        <v>0</v>
      </c>
      <c r="BT71" s="174">
        <v>0</v>
      </c>
      <c r="BU71" s="174">
        <v>0</v>
      </c>
      <c r="BV71" s="174">
        <v>0</v>
      </c>
      <c r="BW71" s="174">
        <v>0</v>
      </c>
      <c r="BX71" s="174">
        <v>0</v>
      </c>
      <c r="BY71" s="174">
        <v>0</v>
      </c>
      <c r="BZ71" s="174">
        <v>0</v>
      </c>
      <c r="CA71" s="176">
        <v>0</v>
      </c>
      <c r="CB71" s="72">
        <v>0</v>
      </c>
      <c r="CC71" s="176">
        <v>0</v>
      </c>
      <c r="CD71" s="176">
        <v>0</v>
      </c>
      <c r="CE71" s="176">
        <v>0</v>
      </c>
      <c r="CF71" s="176">
        <v>0</v>
      </c>
      <c r="CG71" s="176">
        <v>0</v>
      </c>
      <c r="CH71" s="176">
        <v>0</v>
      </c>
      <c r="CI71" s="176">
        <v>0</v>
      </c>
      <c r="CJ71" s="176">
        <v>0</v>
      </c>
      <c r="CK71" s="176">
        <v>0</v>
      </c>
      <c r="CL71" s="176">
        <v>0</v>
      </c>
      <c r="CM71" s="176">
        <v>0</v>
      </c>
      <c r="CN71" s="176">
        <v>0</v>
      </c>
      <c r="CO71" s="176">
        <v>0</v>
      </c>
      <c r="CP71" s="176">
        <v>0</v>
      </c>
      <c r="CQ71" s="176">
        <v>0</v>
      </c>
      <c r="CR71" s="176">
        <v>0</v>
      </c>
      <c r="CS71" s="176">
        <v>0</v>
      </c>
    </row>
    <row r="72" spans="1:97" x14ac:dyDescent="0.25">
      <c r="A72" s="46" t="s">
        <v>67</v>
      </c>
      <c r="B72" s="168">
        <v>0</v>
      </c>
      <c r="C72" s="169">
        <v>0</v>
      </c>
      <c r="D72" s="169">
        <v>0</v>
      </c>
      <c r="E72" s="169">
        <v>0</v>
      </c>
      <c r="F72" s="169">
        <v>0</v>
      </c>
      <c r="G72" s="170">
        <v>0</v>
      </c>
      <c r="H72" s="170">
        <v>0.41299999999999998</v>
      </c>
      <c r="I72" s="170">
        <v>0</v>
      </c>
      <c r="J72" s="169">
        <v>0</v>
      </c>
      <c r="K72" s="169">
        <v>0</v>
      </c>
      <c r="L72" s="169">
        <v>0</v>
      </c>
      <c r="M72" s="169">
        <v>0</v>
      </c>
      <c r="N72" s="170">
        <v>0</v>
      </c>
      <c r="O72" s="169">
        <v>0</v>
      </c>
      <c r="P72" s="169">
        <v>0</v>
      </c>
      <c r="Q72" s="170">
        <v>0</v>
      </c>
      <c r="R72" s="170">
        <v>0</v>
      </c>
      <c r="S72" s="170">
        <v>0</v>
      </c>
      <c r="T72" s="170">
        <v>0</v>
      </c>
      <c r="U72" s="171">
        <v>0</v>
      </c>
      <c r="V72" s="171">
        <v>0</v>
      </c>
      <c r="W72" s="171">
        <v>0</v>
      </c>
      <c r="X72" s="171">
        <v>0</v>
      </c>
      <c r="Y72" s="171">
        <f>(20+(char2Refine-1)*5)%</f>
        <v>0.4</v>
      </c>
      <c r="Z72" s="171">
        <v>0</v>
      </c>
      <c r="AA72" s="171">
        <v>0</v>
      </c>
      <c r="AB72" s="171">
        <v>0</v>
      </c>
      <c r="AC72" s="171">
        <v>0</v>
      </c>
      <c r="AD72" s="171">
        <v>0</v>
      </c>
      <c r="AE72" s="171">
        <v>0</v>
      </c>
      <c r="AF72" s="171">
        <v>0</v>
      </c>
      <c r="AG72" s="171">
        <v>0</v>
      </c>
      <c r="AH72" s="171">
        <v>0</v>
      </c>
      <c r="AI72" s="171">
        <v>0</v>
      </c>
      <c r="AJ72" s="171">
        <v>0</v>
      </c>
      <c r="AK72" s="171">
        <v>0.46899999999999997</v>
      </c>
      <c r="AL72" s="172">
        <f>0.2+(char2Refine-1)*0.05</f>
        <v>0.4</v>
      </c>
      <c r="AM72" s="172">
        <v>0</v>
      </c>
      <c r="AN72" s="172">
        <v>0</v>
      </c>
      <c r="AO72" s="172">
        <v>0</v>
      </c>
      <c r="AP72" s="172">
        <v>0</v>
      </c>
      <c r="AQ72" s="172">
        <v>0</v>
      </c>
      <c r="AR72" s="172">
        <v>0</v>
      </c>
      <c r="AS72" s="172">
        <v>0</v>
      </c>
      <c r="AT72" s="172">
        <v>0</v>
      </c>
      <c r="AU72" s="172">
        <v>0</v>
      </c>
      <c r="AV72" s="172">
        <v>0</v>
      </c>
      <c r="AW72" s="172">
        <v>0</v>
      </c>
      <c r="AX72" s="172">
        <v>0</v>
      </c>
      <c r="AY72" s="172">
        <v>0</v>
      </c>
      <c r="AZ72" s="172">
        <v>0</v>
      </c>
      <c r="BA72" s="172">
        <v>0</v>
      </c>
      <c r="BB72" s="172">
        <v>0</v>
      </c>
      <c r="BC72" s="172">
        <v>0</v>
      </c>
      <c r="BD72" s="172">
        <v>0</v>
      </c>
      <c r="BE72" s="172">
        <v>0</v>
      </c>
      <c r="BF72" s="172">
        <v>0</v>
      </c>
      <c r="BG72" s="172">
        <v>0</v>
      </c>
      <c r="BH72" s="174">
        <v>0</v>
      </c>
      <c r="BI72" s="174">
        <v>0</v>
      </c>
      <c r="BJ72" s="174">
        <v>0</v>
      </c>
      <c r="BK72" s="174">
        <v>0.496</v>
      </c>
      <c r="BL72" s="174">
        <v>0</v>
      </c>
      <c r="BM72" s="174">
        <v>0</v>
      </c>
      <c r="BN72" s="174">
        <v>0</v>
      </c>
      <c r="BO72" s="174">
        <v>0</v>
      </c>
      <c r="BP72" s="174">
        <v>0</v>
      </c>
      <c r="BQ72" s="174">
        <v>0</v>
      </c>
      <c r="BR72" s="174">
        <v>0</v>
      </c>
      <c r="BS72" s="174">
        <v>0.41299999999999998</v>
      </c>
      <c r="BT72" s="174">
        <v>0</v>
      </c>
      <c r="BU72" s="174">
        <v>0</v>
      </c>
      <c r="BV72" s="174">
        <v>0</v>
      </c>
      <c r="BW72" s="174">
        <v>0</v>
      </c>
      <c r="BX72" s="174">
        <v>0</v>
      </c>
      <c r="BY72" s="174">
        <v>0</v>
      </c>
      <c r="BZ72" s="174">
        <v>0.35199999999999998</v>
      </c>
      <c r="CA72" s="176">
        <v>0</v>
      </c>
      <c r="CB72" s="72">
        <v>0</v>
      </c>
      <c r="CC72" s="176">
        <v>0</v>
      </c>
      <c r="CD72" s="176">
        <v>0</v>
      </c>
      <c r="CE72" s="176">
        <v>0</v>
      </c>
      <c r="CF72" s="176">
        <v>0</v>
      </c>
      <c r="CG72" s="176">
        <v>0</v>
      </c>
      <c r="CH72" s="176">
        <v>0</v>
      </c>
      <c r="CI72" s="176">
        <v>0</v>
      </c>
      <c r="CJ72" s="176">
        <v>0</v>
      </c>
      <c r="CK72" s="176">
        <v>0</v>
      </c>
      <c r="CL72" s="176">
        <v>0</v>
      </c>
      <c r="CM72" s="176">
        <v>0</v>
      </c>
      <c r="CN72" s="176">
        <v>0</v>
      </c>
      <c r="CO72" s="176">
        <v>0</v>
      </c>
      <c r="CP72" s="176">
        <v>0</v>
      </c>
      <c r="CQ72" s="176">
        <v>0</v>
      </c>
      <c r="CR72" s="176">
        <v>0</v>
      </c>
      <c r="CS72" s="176">
        <v>0</v>
      </c>
    </row>
    <row r="73" spans="1:97" x14ac:dyDescent="0.25">
      <c r="A73" t="s">
        <v>413</v>
      </c>
      <c r="B73" s="168">
        <v>0</v>
      </c>
      <c r="C73" s="169">
        <v>0</v>
      </c>
      <c r="D73" s="169">
        <v>0</v>
      </c>
      <c r="E73" s="169">
        <v>0</v>
      </c>
      <c r="F73" s="169">
        <v>0</v>
      </c>
      <c r="G73" s="170">
        <v>0.27600000000000002</v>
      </c>
      <c r="H73" s="170">
        <v>0</v>
      </c>
      <c r="I73" s="170">
        <f>(char2WeapStacks*(8%+(char2Refine-1)*2%))</f>
        <v>0.16</v>
      </c>
      <c r="J73" s="169">
        <v>0</v>
      </c>
      <c r="K73" s="169">
        <v>0</v>
      </c>
      <c r="L73" s="169">
        <v>0</v>
      </c>
      <c r="M73" s="169">
        <v>0</v>
      </c>
      <c r="N73" s="170">
        <f>char2WeapStacks*(3+(char2Refine-1))%</f>
        <v>7.0000000000000007E-2</v>
      </c>
      <c r="O73" s="169">
        <v>0</v>
      </c>
      <c r="P73" s="169">
        <v>0</v>
      </c>
      <c r="Q73" s="170">
        <v>0</v>
      </c>
      <c r="R73" s="170">
        <v>0</v>
      </c>
      <c r="S73" s="170">
        <v>0</v>
      </c>
      <c r="T73" s="170">
        <v>0</v>
      </c>
      <c r="U73" s="171">
        <f>(8+(char2Refine-1)*2)%</f>
        <v>0.16</v>
      </c>
      <c r="V73" s="171">
        <v>0</v>
      </c>
      <c r="W73" s="171">
        <v>0.221</v>
      </c>
      <c r="X73" s="171">
        <v>0</v>
      </c>
      <c r="Y73" s="171">
        <v>0</v>
      </c>
      <c r="Z73" s="171">
        <v>0</v>
      </c>
      <c r="AA73" s="171">
        <v>0</v>
      </c>
      <c r="AB73" s="171">
        <v>0</v>
      </c>
      <c r="AC73" s="171">
        <v>0</v>
      </c>
      <c r="AD73" s="171">
        <v>0</v>
      </c>
      <c r="AE73" s="171">
        <f>(3+(char2Refine-1)*1)*char2WeapStacks%</f>
        <v>7.0000000000000007E-2</v>
      </c>
      <c r="AF73" s="171">
        <v>0</v>
      </c>
      <c r="AG73" s="171">
        <v>0.36799999999999999</v>
      </c>
      <c r="AH73" s="171">
        <v>0</v>
      </c>
      <c r="AI73" s="171">
        <v>0</v>
      </c>
      <c r="AJ73" s="171">
        <v>0.23400000000000001</v>
      </c>
      <c r="AK73" s="171">
        <v>0</v>
      </c>
      <c r="AL73" s="172">
        <v>0.441</v>
      </c>
      <c r="AM73" s="172">
        <v>0</v>
      </c>
      <c r="AN73" s="172">
        <v>0</v>
      </c>
      <c r="AO73" s="172">
        <v>0</v>
      </c>
      <c r="AP73" s="172">
        <f>(4+(char2Refine-1))%</f>
        <v>0.08</v>
      </c>
      <c r="AQ73" s="172">
        <v>0</v>
      </c>
      <c r="AR73" s="172">
        <v>0</v>
      </c>
      <c r="AS73" s="172">
        <v>0</v>
      </c>
      <c r="AT73" s="172">
        <v>0.27600000000000002</v>
      </c>
      <c r="AU73" s="172">
        <v>0</v>
      </c>
      <c r="AV73" s="172">
        <v>0</v>
      </c>
      <c r="AW73" s="172">
        <f>(char2WeapStacks*(8+(char2Refine-1)*2))%</f>
        <v>0.16</v>
      </c>
      <c r="AX73" s="172">
        <v>0</v>
      </c>
      <c r="AY73" s="172">
        <v>0</v>
      </c>
      <c r="AZ73" s="172">
        <v>0</v>
      </c>
      <c r="BA73" s="172">
        <v>0</v>
      </c>
      <c r="BB73" s="172">
        <v>0</v>
      </c>
      <c r="BC73" s="172">
        <v>0</v>
      </c>
      <c r="BD73" s="172">
        <v>0</v>
      </c>
      <c r="BE73" s="172">
        <v>0</v>
      </c>
      <c r="BF73" s="172">
        <v>0</v>
      </c>
      <c r="BG73" s="172">
        <f>IF(char2WeapToggle,14+(char2Refine-1)*3.5,0)%</f>
        <v>0.28000000000000003</v>
      </c>
      <c r="BH73" s="174">
        <v>0</v>
      </c>
      <c r="BI73" s="174">
        <v>0</v>
      </c>
      <c r="BJ73" s="174">
        <v>0.33100000000000002</v>
      </c>
      <c r="BK73" s="174">
        <v>0</v>
      </c>
      <c r="BL73" s="174">
        <v>0</v>
      </c>
      <c r="BM73" s="174">
        <v>0</v>
      </c>
      <c r="BN73" s="174">
        <v>0</v>
      </c>
      <c r="BO73" s="174">
        <v>0</v>
      </c>
      <c r="BP73" s="174">
        <v>0.27600000000000002</v>
      </c>
      <c r="BQ73" s="174">
        <v>0</v>
      </c>
      <c r="BR73" s="174">
        <f>char2WeapStacks*(8+(char2Refine-1)*2)%</f>
        <v>0.16</v>
      </c>
      <c r="BS73" s="174">
        <v>0</v>
      </c>
      <c r="BT73" s="174">
        <v>0</v>
      </c>
      <c r="BU73" s="174">
        <v>0</v>
      </c>
      <c r="BV73" s="174">
        <v>0</v>
      </c>
      <c r="BW73" s="174">
        <v>0</v>
      </c>
      <c r="BX73" s="174">
        <v>0</v>
      </c>
      <c r="BY73" s="174">
        <v>0</v>
      </c>
      <c r="BZ73" s="174">
        <v>0</v>
      </c>
      <c r="CA73" s="176">
        <v>0</v>
      </c>
      <c r="CB73" s="72">
        <v>0.33100000000000002</v>
      </c>
      <c r="CC73" s="177">
        <v>0.221</v>
      </c>
      <c r="CD73" s="176">
        <v>0</v>
      </c>
      <c r="CE73" s="176">
        <v>0</v>
      </c>
      <c r="CF73" s="176">
        <v>0.27600000000000002</v>
      </c>
      <c r="CG73" s="176">
        <v>0</v>
      </c>
      <c r="CH73" s="176">
        <v>0</v>
      </c>
      <c r="CI73" s="176">
        <v>0</v>
      </c>
      <c r="CJ73" s="176">
        <v>0</v>
      </c>
      <c r="CK73" s="176">
        <v>0</v>
      </c>
      <c r="CL73" s="176">
        <v>0</v>
      </c>
      <c r="CM73" s="176">
        <v>0</v>
      </c>
      <c r="CN73" s="176">
        <v>0</v>
      </c>
      <c r="CO73" s="176">
        <v>0</v>
      </c>
      <c r="CP73" s="176">
        <f>char2WeapStacks*(8+(char2Refine-1)*2)%</f>
        <v>0.16</v>
      </c>
      <c r="CQ73" s="176">
        <v>0</v>
      </c>
      <c r="CR73" s="176">
        <v>0.312</v>
      </c>
      <c r="CS73" s="176">
        <v>0</v>
      </c>
    </row>
    <row r="74" spans="1:97" x14ac:dyDescent="0.25">
      <c r="A74" t="s">
        <v>414</v>
      </c>
      <c r="B74" s="168">
        <v>0</v>
      </c>
      <c r="C74" s="169">
        <v>0</v>
      </c>
      <c r="D74" s="169">
        <v>0.66200000000000003</v>
      </c>
      <c r="E74" s="169">
        <v>0</v>
      </c>
      <c r="F74" s="169">
        <v>0</v>
      </c>
      <c r="G74" s="170">
        <v>0</v>
      </c>
      <c r="H74" s="170">
        <v>0</v>
      </c>
      <c r="I74" s="170">
        <v>0</v>
      </c>
      <c r="J74" s="169">
        <v>0</v>
      </c>
      <c r="K74" s="169">
        <v>0</v>
      </c>
      <c r="L74" s="169">
        <v>0</v>
      </c>
      <c r="M74" s="169">
        <v>0</v>
      </c>
      <c r="N74" s="170">
        <v>0</v>
      </c>
      <c r="O74" s="169">
        <v>0</v>
      </c>
      <c r="P74" s="169">
        <v>0</v>
      </c>
      <c r="Q74" s="170">
        <v>0</v>
      </c>
      <c r="R74" s="170">
        <v>0</v>
      </c>
      <c r="S74" s="170">
        <v>0</v>
      </c>
      <c r="T74" s="170">
        <v>0.55100000000000005</v>
      </c>
      <c r="U74" s="171">
        <v>0</v>
      </c>
      <c r="V74" s="171">
        <v>0</v>
      </c>
      <c r="W74" s="171">
        <v>0</v>
      </c>
      <c r="X74" s="171">
        <v>0</v>
      </c>
      <c r="Y74" s="171">
        <v>0.66200000000000003</v>
      </c>
      <c r="Z74" s="171">
        <v>0</v>
      </c>
      <c r="AA74" s="171">
        <v>0</v>
      </c>
      <c r="AB74" s="171">
        <v>0</v>
      </c>
      <c r="AC74" s="171">
        <v>0</v>
      </c>
      <c r="AD74" s="171">
        <v>0</v>
      </c>
      <c r="AE74" s="171">
        <v>0</v>
      </c>
      <c r="AF74" s="171">
        <v>0</v>
      </c>
      <c r="AG74" s="171">
        <v>0</v>
      </c>
      <c r="AH74" s="171">
        <v>0</v>
      </c>
      <c r="AI74" s="171">
        <v>0.55100000000000005</v>
      </c>
      <c r="AJ74" s="171">
        <v>0</v>
      </c>
      <c r="AK74" s="171">
        <v>0</v>
      </c>
      <c r="AL74" s="172">
        <v>0</v>
      </c>
      <c r="AM74" s="172">
        <v>0</v>
      </c>
      <c r="AN74" s="172">
        <v>0.441</v>
      </c>
      <c r="AO74" s="172">
        <v>0</v>
      </c>
      <c r="AP74" s="172">
        <v>0</v>
      </c>
      <c r="AQ74" s="172">
        <v>0</v>
      </c>
      <c r="AR74" s="172">
        <v>0</v>
      </c>
      <c r="AS74" s="172">
        <v>0</v>
      </c>
      <c r="AT74" s="172">
        <v>0</v>
      </c>
      <c r="AU74" s="172">
        <v>0</v>
      </c>
      <c r="AV74" s="172">
        <v>0</v>
      </c>
      <c r="AW74" s="172">
        <v>0</v>
      </c>
      <c r="AX74" s="172">
        <v>0</v>
      </c>
      <c r="AY74" s="172">
        <v>0</v>
      </c>
      <c r="AZ74" s="172">
        <v>0</v>
      </c>
      <c r="BA74" s="172">
        <v>0</v>
      </c>
      <c r="BB74" s="172">
        <v>0.36799999999999999</v>
      </c>
      <c r="BC74" s="172">
        <v>0</v>
      </c>
      <c r="BD74" s="172">
        <v>0</v>
      </c>
      <c r="BE74" s="172">
        <v>0</v>
      </c>
      <c r="BF74" s="172">
        <v>0</v>
      </c>
      <c r="BG74" s="172">
        <v>0.46899999999999997</v>
      </c>
      <c r="BH74" s="174">
        <v>0</v>
      </c>
      <c r="BI74" s="174">
        <v>0</v>
      </c>
      <c r="BJ74" s="174">
        <v>0</v>
      </c>
      <c r="BK74" s="174">
        <v>0</v>
      </c>
      <c r="BL74" s="174">
        <v>0</v>
      </c>
      <c r="BM74" s="174">
        <v>0</v>
      </c>
      <c r="BN74" s="174">
        <v>0</v>
      </c>
      <c r="BO74" s="174">
        <v>0.55100000000000005</v>
      </c>
      <c r="BP74" s="174">
        <v>0</v>
      </c>
      <c r="BQ74" s="174">
        <v>0</v>
      </c>
      <c r="BR74" s="174">
        <v>0</v>
      </c>
      <c r="BS74" s="174">
        <v>0</v>
      </c>
      <c r="BT74" s="174">
        <v>0</v>
      </c>
      <c r="BU74" s="174">
        <v>0</v>
      </c>
      <c r="BV74" s="174">
        <v>0</v>
      </c>
      <c r="BW74" s="174">
        <v>0</v>
      </c>
      <c r="BX74" s="174">
        <v>0.55100000000000005</v>
      </c>
      <c r="BY74" s="174">
        <v>0</v>
      </c>
      <c r="BZ74" s="174">
        <v>0</v>
      </c>
      <c r="CA74" s="176">
        <v>0</v>
      </c>
      <c r="CB74" s="72">
        <v>0</v>
      </c>
      <c r="CC74" s="176">
        <f>(20+(char2Refine-1)*5)%</f>
        <v>0.4</v>
      </c>
      <c r="CD74" s="176">
        <v>0</v>
      </c>
      <c r="CE74" s="176">
        <v>0</v>
      </c>
      <c r="CF74" s="176">
        <v>0</v>
      </c>
      <c r="CG74" s="176">
        <v>0</v>
      </c>
      <c r="CH74" s="176">
        <v>0.36799999999999999</v>
      </c>
      <c r="CI74" s="176">
        <v>0</v>
      </c>
      <c r="CJ74" s="176">
        <v>0</v>
      </c>
      <c r="CK74" s="176">
        <v>0</v>
      </c>
      <c r="CL74" s="176">
        <v>0</v>
      </c>
      <c r="CM74" s="176">
        <v>0</v>
      </c>
      <c r="CN74" s="176">
        <v>0</v>
      </c>
      <c r="CO74" s="176">
        <v>0</v>
      </c>
      <c r="CP74" s="176">
        <v>0</v>
      </c>
      <c r="CQ74" s="176">
        <v>0</v>
      </c>
      <c r="CR74" s="176">
        <v>0</v>
      </c>
      <c r="CS74" s="176">
        <v>0.66200000000000003</v>
      </c>
    </row>
    <row r="75" spans="1:97" x14ac:dyDescent="0.25">
      <c r="A75" t="s">
        <v>68</v>
      </c>
      <c r="B75" s="168">
        <v>0.36799999999999999</v>
      </c>
      <c r="C75" s="169">
        <v>0</v>
      </c>
      <c r="D75" s="169">
        <v>0</v>
      </c>
      <c r="E75" s="169">
        <v>0</v>
      </c>
      <c r="F75" s="169">
        <v>0</v>
      </c>
      <c r="G75" s="170">
        <v>0</v>
      </c>
      <c r="H75" s="170">
        <v>0</v>
      </c>
      <c r="I75" s="170">
        <v>0</v>
      </c>
      <c r="J75" s="169">
        <v>0</v>
      </c>
      <c r="K75" s="170">
        <v>0.61299999999999999</v>
      </c>
      <c r="L75" s="170">
        <v>0</v>
      </c>
      <c r="M75" s="170">
        <v>0</v>
      </c>
      <c r="N75" s="170">
        <v>0</v>
      </c>
      <c r="O75" s="169">
        <v>0</v>
      </c>
      <c r="P75" s="169">
        <v>0</v>
      </c>
      <c r="Q75" s="169">
        <v>0.45900000000000002</v>
      </c>
      <c r="R75" s="169">
        <v>0.30599999999999999</v>
      </c>
      <c r="S75" s="170">
        <v>0</v>
      </c>
      <c r="T75" s="169">
        <v>0</v>
      </c>
      <c r="U75" s="171">
        <v>0.36799999999999999</v>
      </c>
      <c r="V75" s="171">
        <f>55.1%+IF(char2WeapToggle, 30+(char2Refine-1)*5,0)%</f>
        <v>1.0510000000000002</v>
      </c>
      <c r="W75" s="171">
        <v>0</v>
      </c>
      <c r="X75" s="171">
        <v>0</v>
      </c>
      <c r="Y75" s="171">
        <v>0</v>
      </c>
      <c r="Z75" s="171">
        <v>0.45900000000000002</v>
      </c>
      <c r="AA75" s="171">
        <v>0</v>
      </c>
      <c r="AB75" s="171">
        <v>0</v>
      </c>
      <c r="AC75" s="171">
        <v>0.30599999999999999</v>
      </c>
      <c r="AD75" s="171">
        <v>0.45900000000000002</v>
      </c>
      <c r="AE75" s="171">
        <v>0</v>
      </c>
      <c r="AF75" s="171">
        <v>0</v>
      </c>
      <c r="AG75" s="171">
        <v>0</v>
      </c>
      <c r="AH75" s="171">
        <v>0</v>
      </c>
      <c r="AI75" s="171">
        <v>0</v>
      </c>
      <c r="AJ75" s="171">
        <v>0</v>
      </c>
      <c r="AK75" s="171">
        <v>0</v>
      </c>
      <c r="AL75" s="172">
        <v>0</v>
      </c>
      <c r="AM75" s="172">
        <v>0</v>
      </c>
      <c r="AN75" s="172">
        <v>0</v>
      </c>
      <c r="AO75" s="172">
        <v>0</v>
      </c>
      <c r="AP75" s="172">
        <v>0.55100000000000005</v>
      </c>
      <c r="AQ75" s="172">
        <v>0</v>
      </c>
      <c r="AR75" s="172">
        <v>0.45900000000000002</v>
      </c>
      <c r="AS75" s="172">
        <v>0</v>
      </c>
      <c r="AT75" s="172">
        <v>0</v>
      </c>
      <c r="AU75" s="172">
        <v>0</v>
      </c>
      <c r="AV75" s="172">
        <v>0.61299999999999999</v>
      </c>
      <c r="AW75" s="172">
        <v>0</v>
      </c>
      <c r="AX75" s="172">
        <v>0</v>
      </c>
      <c r="AY75" s="172">
        <v>0</v>
      </c>
      <c r="AZ75" s="172">
        <v>0</v>
      </c>
      <c r="BA75" s="172">
        <v>0.61299999999999999</v>
      </c>
      <c r="BB75" s="172">
        <v>0</v>
      </c>
      <c r="BC75" s="172">
        <v>0</v>
      </c>
      <c r="BD75" s="172">
        <v>0</v>
      </c>
      <c r="BE75" s="172">
        <v>0.51700000000000002</v>
      </c>
      <c r="BF75" s="172">
        <v>0</v>
      </c>
      <c r="BG75" s="172">
        <v>0</v>
      </c>
      <c r="BH75" s="174">
        <v>0</v>
      </c>
      <c r="BI75" s="174">
        <v>0</v>
      </c>
      <c r="BJ75" s="174">
        <v>0</v>
      </c>
      <c r="BK75" s="174">
        <v>0</v>
      </c>
      <c r="BL75" s="174">
        <v>0</v>
      </c>
      <c r="BM75" s="174">
        <v>0</v>
      </c>
      <c r="BN75" s="174">
        <v>0.30599999999999999</v>
      </c>
      <c r="BO75" s="174">
        <v>0</v>
      </c>
      <c r="BP75" s="174">
        <v>0</v>
      </c>
      <c r="BQ75" s="174">
        <v>0</v>
      </c>
      <c r="BR75" s="174">
        <v>0</v>
      </c>
      <c r="BS75" s="174">
        <v>0</v>
      </c>
      <c r="BT75" s="174">
        <v>0</v>
      </c>
      <c r="BU75" s="174">
        <v>0.45900000000000002</v>
      </c>
      <c r="BV75" s="174">
        <v>0</v>
      </c>
      <c r="BW75" s="174">
        <v>0</v>
      </c>
      <c r="BX75" s="174">
        <v>0</v>
      </c>
      <c r="BY75" s="174">
        <v>0.30599999999999999</v>
      </c>
      <c r="BZ75" s="174">
        <v>0</v>
      </c>
      <c r="CA75" s="177">
        <v>0.55100000000000005</v>
      </c>
      <c r="CB75" s="74">
        <v>0</v>
      </c>
      <c r="CC75" s="176">
        <v>0</v>
      </c>
      <c r="CD75" s="176">
        <v>0</v>
      </c>
      <c r="CE75" s="176">
        <v>0</v>
      </c>
      <c r="CF75" s="176">
        <v>0</v>
      </c>
      <c r="CG75" s="176">
        <v>0</v>
      </c>
      <c r="CH75" s="176">
        <v>0</v>
      </c>
      <c r="CI75" s="176">
        <v>0</v>
      </c>
      <c r="CJ75" s="176">
        <v>0.61299999999999999</v>
      </c>
      <c r="CK75" s="176">
        <v>0</v>
      </c>
      <c r="CL75" s="176">
        <v>0</v>
      </c>
      <c r="CM75" s="176">
        <v>0.30599999999999999</v>
      </c>
      <c r="CN75" s="176">
        <v>0</v>
      </c>
      <c r="CO75" s="176">
        <v>0</v>
      </c>
      <c r="CP75" s="176">
        <v>0</v>
      </c>
      <c r="CQ75" s="176">
        <v>0</v>
      </c>
      <c r="CR75" s="176">
        <v>0</v>
      </c>
      <c r="CS75" s="176">
        <v>0</v>
      </c>
    </row>
    <row r="76" spans="1:97" x14ac:dyDescent="0.25">
      <c r="A76" t="s">
        <v>70</v>
      </c>
      <c r="B76" s="168">
        <v>0</v>
      </c>
      <c r="C76" s="169">
        <v>0</v>
      </c>
      <c r="D76" s="169">
        <v>0</v>
      </c>
      <c r="E76" s="169">
        <v>0</v>
      </c>
      <c r="F76" s="169">
        <v>0.20699999999999999</v>
      </c>
      <c r="G76" s="170">
        <v>0</v>
      </c>
      <c r="H76" s="170">
        <v>0</v>
      </c>
      <c r="I76" s="170">
        <v>0</v>
      </c>
      <c r="J76" s="169">
        <v>0</v>
      </c>
      <c r="K76" s="169">
        <v>0</v>
      </c>
      <c r="L76" s="169">
        <v>0.34499999999999997</v>
      </c>
      <c r="M76" s="169">
        <v>0</v>
      </c>
      <c r="N76" s="170">
        <v>0</v>
      </c>
      <c r="O76" s="169">
        <v>0</v>
      </c>
      <c r="P76" s="169">
        <v>0</v>
      </c>
      <c r="Q76" s="169">
        <v>0</v>
      </c>
      <c r="R76" s="169">
        <v>0</v>
      </c>
      <c r="S76" s="170">
        <v>0</v>
      </c>
      <c r="T76" s="169">
        <v>0</v>
      </c>
      <c r="U76" s="171">
        <v>0</v>
      </c>
      <c r="V76" s="171">
        <v>0</v>
      </c>
      <c r="W76" s="171">
        <v>0</v>
      </c>
      <c r="X76" s="171">
        <v>0</v>
      </c>
      <c r="Y76" s="171">
        <v>0</v>
      </c>
      <c r="Z76" s="171">
        <v>0</v>
      </c>
      <c r="AA76" s="171">
        <v>0</v>
      </c>
      <c r="AB76" s="171">
        <v>0.69</v>
      </c>
      <c r="AC76" s="171">
        <v>0</v>
      </c>
      <c r="AD76" s="171">
        <v>0</v>
      </c>
      <c r="AE76" s="171">
        <v>0</v>
      </c>
      <c r="AF76" s="171">
        <v>0</v>
      </c>
      <c r="AG76" s="171">
        <v>0</v>
      </c>
      <c r="AH76" s="171">
        <v>0.34499999999999997</v>
      </c>
      <c r="AI76" s="171">
        <v>0</v>
      </c>
      <c r="AJ76" s="171">
        <v>0</v>
      </c>
      <c r="AK76" s="171">
        <v>0</v>
      </c>
      <c r="AL76" s="172">
        <v>0</v>
      </c>
      <c r="AM76" s="172">
        <v>0</v>
      </c>
      <c r="AN76" s="172">
        <v>0</v>
      </c>
      <c r="AO76" s="172">
        <v>0</v>
      </c>
      <c r="AP76" s="172">
        <v>0</v>
      </c>
      <c r="AQ76" s="172">
        <v>0.41299999999999998</v>
      </c>
      <c r="AR76" s="172">
        <v>0</v>
      </c>
      <c r="AS76" s="172">
        <v>0</v>
      </c>
      <c r="AT76" s="172">
        <v>0</v>
      </c>
      <c r="AU76" s="172">
        <v>0</v>
      </c>
      <c r="AV76" s="172">
        <v>0</v>
      </c>
      <c r="AW76" s="172">
        <v>0</v>
      </c>
      <c r="AX76" s="172">
        <v>0.34499999999999997</v>
      </c>
      <c r="AY76" s="172">
        <v>0</v>
      </c>
      <c r="AZ76" s="172">
        <v>0</v>
      </c>
      <c r="BA76" s="172">
        <v>0</v>
      </c>
      <c r="BB76" s="172">
        <v>0</v>
      </c>
      <c r="BC76" s="172">
        <v>0</v>
      </c>
      <c r="BD76" s="172">
        <v>0</v>
      </c>
      <c r="BE76" s="172">
        <v>0</v>
      </c>
      <c r="BF76" s="172">
        <v>0</v>
      </c>
      <c r="BG76" s="172">
        <v>0</v>
      </c>
      <c r="BH76" s="174">
        <v>0</v>
      </c>
      <c r="BI76" s="174">
        <v>0</v>
      </c>
      <c r="BJ76" s="174">
        <v>0</v>
      </c>
      <c r="BK76" s="174">
        <v>0</v>
      </c>
      <c r="BL76" s="174">
        <v>0</v>
      </c>
      <c r="BM76" s="174">
        <v>0</v>
      </c>
      <c r="BN76" s="174">
        <v>0</v>
      </c>
      <c r="BO76" s="174">
        <v>0</v>
      </c>
      <c r="BP76" s="174">
        <v>0</v>
      </c>
      <c r="BQ76" s="174">
        <v>0</v>
      </c>
      <c r="BR76" s="174">
        <v>0</v>
      </c>
      <c r="BS76" s="174">
        <v>0</v>
      </c>
      <c r="BT76" s="174">
        <v>0</v>
      </c>
      <c r="BU76" s="174">
        <v>0</v>
      </c>
      <c r="BV76" s="174">
        <v>0</v>
      </c>
      <c r="BW76" s="174">
        <v>0</v>
      </c>
      <c r="BX76" s="174">
        <v>0</v>
      </c>
      <c r="BY76" s="174">
        <v>0</v>
      </c>
      <c r="BZ76" s="174">
        <v>0</v>
      </c>
      <c r="CA76" s="176">
        <v>0</v>
      </c>
      <c r="CB76" s="72">
        <v>0</v>
      </c>
      <c r="CC76" s="176">
        <v>0</v>
      </c>
      <c r="CD76" s="176">
        <v>0</v>
      </c>
      <c r="CE76" s="176">
        <v>0</v>
      </c>
      <c r="CF76" s="176">
        <v>0</v>
      </c>
      <c r="CG76" s="176">
        <v>0.69</v>
      </c>
      <c r="CH76" s="176">
        <v>0</v>
      </c>
      <c r="CI76" s="176">
        <v>0</v>
      </c>
      <c r="CJ76" s="176">
        <v>0</v>
      </c>
      <c r="CK76" s="176">
        <v>0</v>
      </c>
      <c r="CL76" s="176">
        <v>0</v>
      </c>
      <c r="CM76" s="176">
        <v>0</v>
      </c>
      <c r="CN76" s="176">
        <v>0</v>
      </c>
      <c r="CO76" s="176">
        <v>0</v>
      </c>
      <c r="CP76" s="176">
        <v>0</v>
      </c>
      <c r="CQ76" s="176">
        <v>0.51700000000000002</v>
      </c>
      <c r="CR76" s="176">
        <v>0</v>
      </c>
      <c r="CS76" s="176">
        <v>0</v>
      </c>
    </row>
    <row r="77" spans="1:97" x14ac:dyDescent="0.25">
      <c r="A77" s="46" t="s">
        <v>71</v>
      </c>
      <c r="B77" s="168">
        <v>0</v>
      </c>
      <c r="C77" s="169">
        <v>0</v>
      </c>
      <c r="D77" s="169">
        <v>0</v>
      </c>
      <c r="E77" s="169">
        <v>0</v>
      </c>
      <c r="F77" s="169">
        <v>0</v>
      </c>
      <c r="G77" s="170">
        <v>0</v>
      </c>
      <c r="H77" s="170">
        <v>0</v>
      </c>
      <c r="I77" s="170">
        <v>0</v>
      </c>
      <c r="J77" s="169">
        <v>0</v>
      </c>
      <c r="K77" s="169">
        <v>0</v>
      </c>
      <c r="L77" s="169">
        <v>0</v>
      </c>
      <c r="M77" s="169">
        <v>0</v>
      </c>
      <c r="N77" s="170">
        <v>0</v>
      </c>
      <c r="O77" s="169">
        <v>0</v>
      </c>
      <c r="P77" s="169">
        <v>0</v>
      </c>
      <c r="Q77" s="169">
        <v>0</v>
      </c>
      <c r="R77" s="169">
        <v>0</v>
      </c>
      <c r="S77" s="170">
        <v>0</v>
      </c>
      <c r="T77" s="169">
        <v>0</v>
      </c>
      <c r="U77" s="171">
        <v>0</v>
      </c>
      <c r="V77" s="171">
        <v>0</v>
      </c>
      <c r="W77" s="171">
        <v>0</v>
      </c>
      <c r="X77" s="171">
        <v>0</v>
      </c>
      <c r="Y77" s="171">
        <v>0</v>
      </c>
      <c r="Z77" s="171">
        <v>0</v>
      </c>
      <c r="AA77" s="171">
        <v>0</v>
      </c>
      <c r="AB77" s="171">
        <v>0</v>
      </c>
      <c r="AC77" s="171">
        <v>0</v>
      </c>
      <c r="AD77" s="171">
        <v>0</v>
      </c>
      <c r="AE77" s="171">
        <v>0</v>
      </c>
      <c r="AF77" s="171">
        <v>0</v>
      </c>
      <c r="AG77" s="171">
        <v>0</v>
      </c>
      <c r="AH77" s="171">
        <v>0</v>
      </c>
      <c r="AI77" s="171">
        <v>0</v>
      </c>
      <c r="AJ77" s="171">
        <v>0</v>
      </c>
      <c r="AK77" s="171">
        <v>0</v>
      </c>
      <c r="AL77" s="172">
        <v>0</v>
      </c>
      <c r="AM77" s="172">
        <v>0</v>
      </c>
      <c r="AN77" s="172">
        <f>(IF('Data Val'!$K$4 = weaponsDB!A143,IF(char2WeapStacks=1, (8+(char2Refine-1)*2)%, IF(char2WeapStacks=2, (16+(char2Refine-1)*4)%, IF(char2WeapStacks=3, (28+(char2Refine-1)*7)%, 0)))))+(12+(char2Refine-1)*3)%</f>
        <v>0.24</v>
      </c>
      <c r="AO77" s="172">
        <v>0</v>
      </c>
      <c r="AP77" s="172">
        <v>0</v>
      </c>
      <c r="AQ77" s="172">
        <v>0</v>
      </c>
      <c r="AR77" s="172">
        <v>0</v>
      </c>
      <c r="AS77" s="172">
        <v>0</v>
      </c>
      <c r="AT77" s="172">
        <v>0</v>
      </c>
      <c r="AU77" s="172">
        <v>0</v>
      </c>
      <c r="AV77" s="172">
        <v>0</v>
      </c>
      <c r="AW77" s="172">
        <v>0</v>
      </c>
      <c r="AX77" s="172">
        <v>0</v>
      </c>
      <c r="AY77" s="172">
        <v>0</v>
      </c>
      <c r="AZ77" s="172">
        <v>0</v>
      </c>
      <c r="BA77" s="172">
        <v>0</v>
      </c>
      <c r="BB77" s="172">
        <v>0</v>
      </c>
      <c r="BC77" s="172">
        <v>0</v>
      </c>
      <c r="BD77" s="172">
        <v>0</v>
      </c>
      <c r="BE77" s="172">
        <v>0</v>
      </c>
      <c r="BF77" s="172">
        <v>0</v>
      </c>
      <c r="BG77" s="172">
        <v>0</v>
      </c>
      <c r="BH77" s="174">
        <v>0</v>
      </c>
      <c r="BI77" s="174">
        <f t="shared" ref="BI77:BI82" si="4">(12+(char2Refine-1)*3)%</f>
        <v>0.24</v>
      </c>
      <c r="BJ77" s="174">
        <f t="shared" ref="BJ77:BJ82" si="5">(char2WeapStacks*(8+(char2Refine-1)*2))%</f>
        <v>0.16</v>
      </c>
      <c r="BK77" s="174">
        <v>0</v>
      </c>
      <c r="BL77" s="174">
        <v>0</v>
      </c>
      <c r="BM77" s="174">
        <v>0</v>
      </c>
      <c r="BN77" s="174">
        <v>0</v>
      </c>
      <c r="BO77" s="174">
        <f t="shared" ref="BO77:BO82" si="6">IF(char2WeapToggle, 16+(char2Refine-1)*4,0)%</f>
        <v>0.32</v>
      </c>
      <c r="BP77" s="174">
        <v>0</v>
      </c>
      <c r="BQ77" s="174">
        <v>0</v>
      </c>
      <c r="BR77" s="174">
        <v>0</v>
      </c>
      <c r="BS77" s="174">
        <v>0</v>
      </c>
      <c r="BT77" s="174">
        <f t="shared" ref="BT77:BT82" si="7">char2WeapStacks*(8+(char2Refine-1)*2)%</f>
        <v>0.16</v>
      </c>
      <c r="BU77" s="174">
        <v>0</v>
      </c>
      <c r="BV77" s="174">
        <v>0</v>
      </c>
      <c r="BW77" s="174">
        <v>0</v>
      </c>
      <c r="BX77" s="174">
        <v>0</v>
      </c>
      <c r="BY77" s="174">
        <v>0</v>
      </c>
      <c r="BZ77" s="174">
        <v>0</v>
      </c>
      <c r="CA77" s="176">
        <v>0</v>
      </c>
      <c r="CB77" s="72">
        <v>0</v>
      </c>
      <c r="CC77" s="176">
        <v>0</v>
      </c>
      <c r="CD77" s="176">
        <v>0</v>
      </c>
      <c r="CE77" s="176">
        <v>0</v>
      </c>
      <c r="CF77" s="176">
        <v>0</v>
      </c>
      <c r="CG77" s="176">
        <v>0</v>
      </c>
      <c r="CH77" s="176">
        <v>0</v>
      </c>
      <c r="CI77" s="176">
        <v>0</v>
      </c>
      <c r="CJ77" s="176">
        <v>0</v>
      </c>
      <c r="CK77" s="176">
        <v>0</v>
      </c>
      <c r="CL77" s="176">
        <v>0</v>
      </c>
      <c r="CM77" s="176">
        <v>0</v>
      </c>
      <c r="CN77" s="176">
        <v>0</v>
      </c>
      <c r="CO77" s="176">
        <v>0</v>
      </c>
      <c r="CP77" s="176">
        <v>0</v>
      </c>
      <c r="CQ77" s="176">
        <v>0</v>
      </c>
      <c r="CR77" s="176">
        <v>0</v>
      </c>
      <c r="CS77" s="176">
        <v>0</v>
      </c>
    </row>
    <row r="78" spans="1:97" x14ac:dyDescent="0.25">
      <c r="A78" t="s">
        <v>72</v>
      </c>
      <c r="B78" s="168">
        <v>0</v>
      </c>
      <c r="C78" s="169">
        <v>0</v>
      </c>
      <c r="D78" s="169">
        <v>0</v>
      </c>
      <c r="E78" s="169">
        <v>0</v>
      </c>
      <c r="F78" s="169">
        <v>0</v>
      </c>
      <c r="G78" s="170">
        <v>0</v>
      </c>
      <c r="H78" s="170">
        <v>0</v>
      </c>
      <c r="I78" s="170">
        <v>0</v>
      </c>
      <c r="J78" s="169">
        <v>0</v>
      </c>
      <c r="K78" s="169">
        <v>0</v>
      </c>
      <c r="L78" s="169">
        <v>0</v>
      </c>
      <c r="M78" s="169">
        <v>0</v>
      </c>
      <c r="N78" s="170">
        <v>0</v>
      </c>
      <c r="O78" s="169">
        <v>0</v>
      </c>
      <c r="P78" s="169">
        <v>0</v>
      </c>
      <c r="Q78" s="169">
        <v>0</v>
      </c>
      <c r="R78" s="169">
        <v>0</v>
      </c>
      <c r="S78" s="170">
        <v>0</v>
      </c>
      <c r="T78" s="169">
        <v>0</v>
      </c>
      <c r="U78" s="171">
        <v>0</v>
      </c>
      <c r="V78" s="171">
        <v>0</v>
      </c>
      <c r="W78" s="171">
        <v>0</v>
      </c>
      <c r="X78" s="171">
        <v>0</v>
      </c>
      <c r="Y78" s="171">
        <v>0</v>
      </c>
      <c r="Z78" s="171">
        <v>0</v>
      </c>
      <c r="AA78" s="171">
        <v>0</v>
      </c>
      <c r="AB78" s="171">
        <v>0</v>
      </c>
      <c r="AC78" s="171">
        <v>0</v>
      </c>
      <c r="AD78" s="171">
        <v>0</v>
      </c>
      <c r="AE78" s="171">
        <v>0</v>
      </c>
      <c r="AF78" s="171">
        <v>0</v>
      </c>
      <c r="AG78" s="171">
        <v>0</v>
      </c>
      <c r="AH78" s="171">
        <v>0</v>
      </c>
      <c r="AI78" s="171">
        <v>0</v>
      </c>
      <c r="AJ78" s="171">
        <v>0</v>
      </c>
      <c r="AK78" s="171">
        <v>0</v>
      </c>
      <c r="AL78" s="172">
        <v>0</v>
      </c>
      <c r="AM78" s="172">
        <v>0</v>
      </c>
      <c r="AN78" s="172">
        <f>(IF('Data Val'!$K$4 = weaponsDB!A144,IF(char2WeapStacks=1, (8+(char2Refine-1)*2)%, IF(char2WeapStacks=2, (16+(char2Refine-1)*4)%, IF(char2WeapStacks=3, (28+(char2Refine-1)*7)%, 0)))))+(12+(char2Refine-1)*3)%</f>
        <v>0.24</v>
      </c>
      <c r="AO78" s="172">
        <v>0</v>
      </c>
      <c r="AP78" s="172">
        <v>0</v>
      </c>
      <c r="AQ78" s="172">
        <v>0</v>
      </c>
      <c r="AR78" s="172">
        <v>0</v>
      </c>
      <c r="AS78" s="172">
        <v>0</v>
      </c>
      <c r="AT78" s="172">
        <v>0</v>
      </c>
      <c r="AU78" s="172">
        <v>0</v>
      </c>
      <c r="AV78" s="172">
        <v>0</v>
      </c>
      <c r="AW78" s="172">
        <v>0</v>
      </c>
      <c r="AX78" s="172">
        <v>0</v>
      </c>
      <c r="AY78" s="172">
        <v>0</v>
      </c>
      <c r="AZ78" s="172">
        <v>0</v>
      </c>
      <c r="BA78" s="172">
        <v>0</v>
      </c>
      <c r="BB78" s="172">
        <v>0</v>
      </c>
      <c r="BC78" s="172">
        <v>0</v>
      </c>
      <c r="BD78" s="172">
        <v>0</v>
      </c>
      <c r="BE78" s="172">
        <v>0</v>
      </c>
      <c r="BF78" s="172">
        <v>0</v>
      </c>
      <c r="BG78" s="172">
        <v>0</v>
      </c>
      <c r="BH78" s="174">
        <v>0</v>
      </c>
      <c r="BI78" s="174">
        <f t="shared" si="4"/>
        <v>0.24</v>
      </c>
      <c r="BJ78" s="174">
        <f t="shared" si="5"/>
        <v>0.16</v>
      </c>
      <c r="BK78" s="174">
        <v>0</v>
      </c>
      <c r="BL78" s="174">
        <v>0</v>
      </c>
      <c r="BM78" s="174">
        <v>0</v>
      </c>
      <c r="BN78" s="174">
        <v>0</v>
      </c>
      <c r="BO78" s="174">
        <f t="shared" si="6"/>
        <v>0.32</v>
      </c>
      <c r="BP78" s="174">
        <v>0</v>
      </c>
      <c r="BQ78" s="174">
        <v>0</v>
      </c>
      <c r="BR78" s="174">
        <v>0</v>
      </c>
      <c r="BS78" s="174">
        <v>0</v>
      </c>
      <c r="BT78" s="174">
        <f t="shared" si="7"/>
        <v>0.16</v>
      </c>
      <c r="BU78" s="174">
        <v>0</v>
      </c>
      <c r="BV78" s="174">
        <v>0</v>
      </c>
      <c r="BW78" s="174">
        <v>0</v>
      </c>
      <c r="BX78" s="174">
        <v>0</v>
      </c>
      <c r="BY78" s="174">
        <v>0</v>
      </c>
      <c r="BZ78" s="174">
        <v>0</v>
      </c>
      <c r="CA78" s="176">
        <v>0</v>
      </c>
      <c r="CB78" s="72">
        <v>0</v>
      </c>
      <c r="CC78" s="176">
        <v>0</v>
      </c>
      <c r="CD78" s="176">
        <v>0</v>
      </c>
      <c r="CE78" s="176">
        <v>0</v>
      </c>
      <c r="CF78" s="176">
        <v>0</v>
      </c>
      <c r="CG78" s="176">
        <v>0</v>
      </c>
      <c r="CH78" s="176">
        <v>0</v>
      </c>
      <c r="CI78" s="176">
        <v>0</v>
      </c>
      <c r="CJ78" s="176">
        <v>0</v>
      </c>
      <c r="CK78" s="176">
        <v>0</v>
      </c>
      <c r="CL78" s="176">
        <v>0</v>
      </c>
      <c r="CM78" s="176">
        <v>0</v>
      </c>
      <c r="CN78" s="176">
        <v>0</v>
      </c>
      <c r="CO78" s="176">
        <v>0</v>
      </c>
      <c r="CP78" s="176">
        <v>0</v>
      </c>
      <c r="CQ78" s="176">
        <v>0</v>
      </c>
      <c r="CR78" s="176">
        <v>0</v>
      </c>
      <c r="CS78" s="176">
        <v>0</v>
      </c>
    </row>
    <row r="79" spans="1:97" x14ac:dyDescent="0.25">
      <c r="A79" s="46" t="s">
        <v>73</v>
      </c>
      <c r="B79" s="168">
        <v>0</v>
      </c>
      <c r="C79" s="169">
        <v>0</v>
      </c>
      <c r="D79" s="169">
        <v>0</v>
      </c>
      <c r="E79" s="169">
        <v>0</v>
      </c>
      <c r="F79" s="169">
        <v>0</v>
      </c>
      <c r="G79" s="170">
        <v>0</v>
      </c>
      <c r="H79" s="170">
        <v>0</v>
      </c>
      <c r="I79" s="170">
        <v>0</v>
      </c>
      <c r="J79" s="169">
        <v>0</v>
      </c>
      <c r="K79" s="169">
        <v>0</v>
      </c>
      <c r="L79" s="169">
        <v>0</v>
      </c>
      <c r="M79" s="169">
        <v>0</v>
      </c>
      <c r="N79" s="170">
        <v>0</v>
      </c>
      <c r="O79" s="169">
        <v>0</v>
      </c>
      <c r="P79" s="169">
        <v>0</v>
      </c>
      <c r="Q79" s="169">
        <v>0</v>
      </c>
      <c r="R79" s="169">
        <v>0</v>
      </c>
      <c r="S79" s="170">
        <v>0</v>
      </c>
      <c r="T79" s="169">
        <v>0</v>
      </c>
      <c r="U79" s="171">
        <v>0</v>
      </c>
      <c r="V79" s="171">
        <v>0</v>
      </c>
      <c r="W79" s="171">
        <v>0</v>
      </c>
      <c r="X79" s="171">
        <v>0</v>
      </c>
      <c r="Y79" s="171">
        <v>0</v>
      </c>
      <c r="Z79" s="171">
        <v>0</v>
      </c>
      <c r="AA79" s="171">
        <v>0</v>
      </c>
      <c r="AB79" s="171">
        <v>0</v>
      </c>
      <c r="AC79" s="171">
        <v>0</v>
      </c>
      <c r="AD79" s="171">
        <v>0</v>
      </c>
      <c r="AE79" s="171">
        <v>0</v>
      </c>
      <c r="AF79" s="171">
        <v>0</v>
      </c>
      <c r="AG79" s="171">
        <v>0</v>
      </c>
      <c r="AH79" s="171">
        <v>0</v>
      </c>
      <c r="AI79" s="171">
        <v>0</v>
      </c>
      <c r="AJ79" s="171">
        <v>0</v>
      </c>
      <c r="AK79" s="171">
        <v>0</v>
      </c>
      <c r="AL79" s="172">
        <v>0</v>
      </c>
      <c r="AM79" s="172">
        <v>0</v>
      </c>
      <c r="AN79" s="172">
        <f>(IF('Data Val'!$K$4 = weaponsDB!A145,IF(char2WeapStacks=1, (8+(char2Refine-1)*2)%, IF(char2WeapStacks=2, (16+(char2Refine-1)*4)%, IF(char2WeapStacks=3, (28+(char2Refine-1)*7)%, 0)))))+(12+(char2Refine-1)*3)%</f>
        <v>0.24</v>
      </c>
      <c r="AO79" s="172">
        <v>0</v>
      </c>
      <c r="AP79" s="172">
        <v>0</v>
      </c>
      <c r="AQ79" s="172">
        <v>0</v>
      </c>
      <c r="AR79" s="172">
        <v>0</v>
      </c>
      <c r="AS79" s="172">
        <v>0</v>
      </c>
      <c r="AT79" s="172">
        <v>0</v>
      </c>
      <c r="AU79" s="172">
        <v>0</v>
      </c>
      <c r="AV79" s="172">
        <v>0</v>
      </c>
      <c r="AW79" s="172">
        <v>0</v>
      </c>
      <c r="AX79" s="172">
        <v>0</v>
      </c>
      <c r="AY79" s="172">
        <v>0</v>
      </c>
      <c r="AZ79" s="172">
        <v>0</v>
      </c>
      <c r="BA79" s="172">
        <v>0</v>
      </c>
      <c r="BB79" s="172">
        <v>0</v>
      </c>
      <c r="BC79" s="172">
        <v>0</v>
      </c>
      <c r="BD79" s="172">
        <v>0</v>
      </c>
      <c r="BE79" s="172">
        <v>0</v>
      </c>
      <c r="BF79" s="172">
        <v>0</v>
      </c>
      <c r="BG79" s="172">
        <v>0</v>
      </c>
      <c r="BH79" s="174">
        <v>0</v>
      </c>
      <c r="BI79" s="174">
        <f t="shared" si="4"/>
        <v>0.24</v>
      </c>
      <c r="BJ79" s="174">
        <f t="shared" si="5"/>
        <v>0.16</v>
      </c>
      <c r="BK79" s="174">
        <v>0</v>
      </c>
      <c r="BL79" s="174">
        <v>0</v>
      </c>
      <c r="BM79" s="174">
        <v>0</v>
      </c>
      <c r="BN79" s="174">
        <v>0</v>
      </c>
      <c r="BO79" s="174">
        <f t="shared" si="6"/>
        <v>0.32</v>
      </c>
      <c r="BP79" s="174">
        <v>0</v>
      </c>
      <c r="BQ79" s="174">
        <v>0</v>
      </c>
      <c r="BR79" s="174">
        <v>0</v>
      </c>
      <c r="BS79" s="174">
        <v>0</v>
      </c>
      <c r="BT79" s="174">
        <f t="shared" si="7"/>
        <v>0.16</v>
      </c>
      <c r="BU79" s="174">
        <v>0</v>
      </c>
      <c r="BV79" s="174">
        <v>0</v>
      </c>
      <c r="BW79" s="174">
        <v>0</v>
      </c>
      <c r="BX79" s="174">
        <v>0</v>
      </c>
      <c r="BY79" s="174">
        <v>0</v>
      </c>
      <c r="BZ79" s="174">
        <v>0</v>
      </c>
      <c r="CA79" s="176">
        <v>0</v>
      </c>
      <c r="CB79" s="72">
        <v>0</v>
      </c>
      <c r="CC79" s="176">
        <v>0</v>
      </c>
      <c r="CD79" s="176">
        <v>0</v>
      </c>
      <c r="CE79" s="176">
        <v>0</v>
      </c>
      <c r="CF79" s="176">
        <v>0</v>
      </c>
      <c r="CG79" s="176">
        <v>0</v>
      </c>
      <c r="CH79" s="176">
        <v>0</v>
      </c>
      <c r="CI79" s="176">
        <v>0</v>
      </c>
      <c r="CJ79" s="176">
        <v>0</v>
      </c>
      <c r="CK79" s="176">
        <v>0</v>
      </c>
      <c r="CL79" s="176">
        <v>0</v>
      </c>
      <c r="CM79" s="176">
        <v>0</v>
      </c>
      <c r="CN79" s="176">
        <v>0</v>
      </c>
      <c r="CO79" s="176">
        <v>0</v>
      </c>
      <c r="CP79" s="176">
        <v>0</v>
      </c>
      <c r="CQ79" s="176">
        <v>0</v>
      </c>
      <c r="CR79" s="176">
        <v>0</v>
      </c>
      <c r="CS79" s="176">
        <v>0</v>
      </c>
    </row>
    <row r="80" spans="1:97" x14ac:dyDescent="0.25">
      <c r="A80" s="46" t="s">
        <v>74</v>
      </c>
      <c r="B80" s="168">
        <v>0</v>
      </c>
      <c r="C80" s="169">
        <v>0</v>
      </c>
      <c r="D80" s="169">
        <v>0</v>
      </c>
      <c r="E80" s="169">
        <v>0</v>
      </c>
      <c r="F80" s="169">
        <v>0</v>
      </c>
      <c r="G80" s="170">
        <v>0</v>
      </c>
      <c r="H80" s="170">
        <v>0</v>
      </c>
      <c r="I80" s="170">
        <v>0</v>
      </c>
      <c r="J80" s="169">
        <v>0</v>
      </c>
      <c r="K80" s="169">
        <v>0</v>
      </c>
      <c r="L80" s="169">
        <v>0</v>
      </c>
      <c r="M80" s="169">
        <v>0</v>
      </c>
      <c r="N80" s="170">
        <v>0</v>
      </c>
      <c r="O80" s="169">
        <v>0</v>
      </c>
      <c r="P80" s="169">
        <v>0</v>
      </c>
      <c r="Q80" s="169">
        <v>0</v>
      </c>
      <c r="R80" s="169">
        <v>0</v>
      </c>
      <c r="S80" s="170">
        <v>0</v>
      </c>
      <c r="T80" s="169">
        <v>0</v>
      </c>
      <c r="U80" s="171">
        <v>0</v>
      </c>
      <c r="V80" s="171">
        <v>0</v>
      </c>
      <c r="W80" s="171">
        <v>0</v>
      </c>
      <c r="X80" s="171">
        <v>0</v>
      </c>
      <c r="Y80" s="171">
        <v>0</v>
      </c>
      <c r="Z80" s="171">
        <v>0</v>
      </c>
      <c r="AA80" s="171">
        <v>0</v>
      </c>
      <c r="AB80" s="171">
        <v>0</v>
      </c>
      <c r="AC80" s="171">
        <v>0</v>
      </c>
      <c r="AD80" s="171">
        <v>0</v>
      </c>
      <c r="AE80" s="171">
        <v>0</v>
      </c>
      <c r="AF80" s="171">
        <v>0</v>
      </c>
      <c r="AG80" s="171">
        <v>0</v>
      </c>
      <c r="AH80" s="171">
        <v>0</v>
      </c>
      <c r="AI80" s="171">
        <v>0</v>
      </c>
      <c r="AJ80" s="171">
        <v>0</v>
      </c>
      <c r="AK80" s="171">
        <v>0</v>
      </c>
      <c r="AL80" s="172">
        <v>0</v>
      </c>
      <c r="AM80" s="172">
        <v>0</v>
      </c>
      <c r="AN80" s="172">
        <f>(IF('Data Val'!$K$4 = weaponsDB!A146,IF(char2WeapStacks=1, (8+(char2Refine-1)*2)%, IF(char2WeapStacks=2, (16+(char2Refine-1)*4)%, IF(char2WeapStacks=3, (28+(char2Refine-1)*7)%, 0)))))+(12+(char2Refine-1)*3)%</f>
        <v>0.24</v>
      </c>
      <c r="AO80" s="172">
        <v>0</v>
      </c>
      <c r="AP80" s="172">
        <v>0</v>
      </c>
      <c r="AQ80" s="172">
        <v>0</v>
      </c>
      <c r="AR80" s="172">
        <v>0</v>
      </c>
      <c r="AS80" s="172">
        <v>0</v>
      </c>
      <c r="AT80" s="172">
        <v>0</v>
      </c>
      <c r="AU80" s="172">
        <v>0</v>
      </c>
      <c r="AV80" s="172">
        <v>0</v>
      </c>
      <c r="AW80" s="172">
        <v>0</v>
      </c>
      <c r="AX80" s="172">
        <v>0</v>
      </c>
      <c r="AY80" s="172">
        <v>0</v>
      </c>
      <c r="AZ80" s="172">
        <v>0</v>
      </c>
      <c r="BA80" s="172">
        <v>0</v>
      </c>
      <c r="BB80" s="172">
        <v>0</v>
      </c>
      <c r="BC80" s="172">
        <v>0</v>
      </c>
      <c r="BD80" s="172">
        <v>0</v>
      </c>
      <c r="BE80" s="172">
        <v>0</v>
      </c>
      <c r="BF80" s="172">
        <v>0</v>
      </c>
      <c r="BG80" s="172">
        <v>0</v>
      </c>
      <c r="BH80" s="174">
        <v>0</v>
      </c>
      <c r="BI80" s="174">
        <f t="shared" si="4"/>
        <v>0.24</v>
      </c>
      <c r="BJ80" s="174">
        <f t="shared" si="5"/>
        <v>0.16</v>
      </c>
      <c r="BK80" s="174">
        <v>0</v>
      </c>
      <c r="BL80" s="174">
        <v>0</v>
      </c>
      <c r="BM80" s="174">
        <v>0</v>
      </c>
      <c r="BN80" s="174">
        <v>0</v>
      </c>
      <c r="BO80" s="174">
        <f t="shared" si="6"/>
        <v>0.32</v>
      </c>
      <c r="BP80" s="174">
        <v>0</v>
      </c>
      <c r="BQ80" s="174">
        <v>0</v>
      </c>
      <c r="BR80" s="174">
        <v>0</v>
      </c>
      <c r="BS80" s="174">
        <v>0</v>
      </c>
      <c r="BT80" s="174">
        <f t="shared" si="7"/>
        <v>0.16</v>
      </c>
      <c r="BU80" s="174">
        <v>0</v>
      </c>
      <c r="BV80" s="174">
        <v>0</v>
      </c>
      <c r="BW80" s="174">
        <v>0</v>
      </c>
      <c r="BX80" s="174">
        <v>0</v>
      </c>
      <c r="BY80" s="174">
        <v>0</v>
      </c>
      <c r="BZ80" s="174">
        <v>0</v>
      </c>
      <c r="CA80" s="176">
        <v>0</v>
      </c>
      <c r="CB80" s="72">
        <v>0</v>
      </c>
      <c r="CC80" s="176">
        <v>0</v>
      </c>
      <c r="CD80" s="176">
        <v>0</v>
      </c>
      <c r="CE80" s="176">
        <v>0</v>
      </c>
      <c r="CF80" s="176">
        <v>0</v>
      </c>
      <c r="CG80" s="176">
        <v>0</v>
      </c>
      <c r="CH80" s="176">
        <v>0</v>
      </c>
      <c r="CI80" s="176">
        <v>0</v>
      </c>
      <c r="CJ80" s="176">
        <v>0</v>
      </c>
      <c r="CK80" s="176">
        <v>0</v>
      </c>
      <c r="CL80" s="176">
        <v>0</v>
      </c>
      <c r="CM80" s="176">
        <v>0</v>
      </c>
      <c r="CN80" s="176">
        <v>0</v>
      </c>
      <c r="CO80" s="176">
        <v>0</v>
      </c>
      <c r="CP80" s="176">
        <v>0</v>
      </c>
      <c r="CQ80" s="176">
        <v>0</v>
      </c>
      <c r="CR80" s="176">
        <v>0</v>
      </c>
      <c r="CS80" s="176">
        <v>0</v>
      </c>
    </row>
    <row r="81" spans="1:97" x14ac:dyDescent="0.25">
      <c r="A81" s="46" t="s">
        <v>75</v>
      </c>
      <c r="B81" s="168">
        <v>0</v>
      </c>
      <c r="C81" s="169">
        <v>0</v>
      </c>
      <c r="D81" s="169">
        <v>0</v>
      </c>
      <c r="E81" s="169">
        <v>0</v>
      </c>
      <c r="F81" s="169">
        <v>0</v>
      </c>
      <c r="G81" s="170">
        <v>0</v>
      </c>
      <c r="H81" s="170">
        <v>0</v>
      </c>
      <c r="I81" s="170">
        <v>0</v>
      </c>
      <c r="J81" s="169">
        <v>0</v>
      </c>
      <c r="K81" s="169">
        <v>0</v>
      </c>
      <c r="L81" s="169">
        <v>0</v>
      </c>
      <c r="M81" s="169">
        <v>0</v>
      </c>
      <c r="N81" s="170">
        <v>0</v>
      </c>
      <c r="O81" s="169">
        <v>0</v>
      </c>
      <c r="P81" s="169">
        <v>0</v>
      </c>
      <c r="Q81" s="169">
        <v>0</v>
      </c>
      <c r="R81" s="169">
        <v>0</v>
      </c>
      <c r="S81" s="170">
        <v>0</v>
      </c>
      <c r="T81" s="169">
        <v>0</v>
      </c>
      <c r="U81" s="171">
        <v>0</v>
      </c>
      <c r="V81" s="171">
        <v>0</v>
      </c>
      <c r="W81" s="171">
        <v>0</v>
      </c>
      <c r="X81" s="171">
        <v>0</v>
      </c>
      <c r="Y81" s="171">
        <v>0</v>
      </c>
      <c r="Z81" s="171">
        <v>0</v>
      </c>
      <c r="AA81" s="171">
        <v>0</v>
      </c>
      <c r="AB81" s="171">
        <v>0</v>
      </c>
      <c r="AC81" s="171">
        <v>0</v>
      </c>
      <c r="AD81" s="171">
        <v>0</v>
      </c>
      <c r="AE81" s="171">
        <v>0</v>
      </c>
      <c r="AF81" s="171">
        <v>0</v>
      </c>
      <c r="AG81" s="171">
        <v>0</v>
      </c>
      <c r="AH81" s="171">
        <v>0</v>
      </c>
      <c r="AI81" s="171">
        <v>0</v>
      </c>
      <c r="AJ81" s="171">
        <v>0</v>
      </c>
      <c r="AK81" s="171">
        <v>0</v>
      </c>
      <c r="AL81" s="172">
        <v>0</v>
      </c>
      <c r="AM81" s="172">
        <v>0</v>
      </c>
      <c r="AN81" s="172">
        <f>(IF('Data Val'!$K$4 = weaponsDB!A147,IF(char2WeapStacks=1, (8+(char2Refine-1)*2)%, IF(char2WeapStacks=2, (16+(char2Refine-1)*4)%, IF(char2WeapStacks=3, (28+(char2Refine-1)*7)%, 0)))))+(12+(char2Refine-1)*3)%</f>
        <v>0.4</v>
      </c>
      <c r="AO81" s="172">
        <v>0</v>
      </c>
      <c r="AP81" s="172">
        <v>0</v>
      </c>
      <c r="AQ81" s="172">
        <v>0</v>
      </c>
      <c r="AR81" s="172">
        <v>0</v>
      </c>
      <c r="AS81" s="172">
        <v>0</v>
      </c>
      <c r="AT81" s="172">
        <v>0</v>
      </c>
      <c r="AU81" s="172">
        <v>0</v>
      </c>
      <c r="AV81" s="172">
        <v>0</v>
      </c>
      <c r="AW81" s="172">
        <v>0</v>
      </c>
      <c r="AX81" s="172">
        <v>0</v>
      </c>
      <c r="AY81" s="172">
        <v>0</v>
      </c>
      <c r="AZ81" s="172">
        <v>0</v>
      </c>
      <c r="BA81" s="172">
        <v>0</v>
      </c>
      <c r="BB81" s="172">
        <v>0</v>
      </c>
      <c r="BC81" s="172">
        <v>0</v>
      </c>
      <c r="BD81" s="172">
        <v>0</v>
      </c>
      <c r="BE81" s="172">
        <v>0</v>
      </c>
      <c r="BF81" s="172">
        <v>0</v>
      </c>
      <c r="BG81" s="172">
        <v>0</v>
      </c>
      <c r="BH81" s="174">
        <v>0</v>
      </c>
      <c r="BI81" s="174">
        <f t="shared" si="4"/>
        <v>0.24</v>
      </c>
      <c r="BJ81" s="174">
        <f t="shared" si="5"/>
        <v>0.16</v>
      </c>
      <c r="BK81" s="174">
        <v>0</v>
      </c>
      <c r="BL81" s="174">
        <v>0</v>
      </c>
      <c r="BM81" s="174">
        <v>0</v>
      </c>
      <c r="BN81" s="174">
        <v>0</v>
      </c>
      <c r="BO81" s="174">
        <f t="shared" si="6"/>
        <v>0.32</v>
      </c>
      <c r="BP81" s="174">
        <v>0</v>
      </c>
      <c r="BQ81" s="174">
        <v>0</v>
      </c>
      <c r="BR81" s="174">
        <v>0</v>
      </c>
      <c r="BS81" s="174">
        <v>0</v>
      </c>
      <c r="BT81" s="174">
        <f t="shared" si="7"/>
        <v>0.16</v>
      </c>
      <c r="BU81" s="174">
        <v>0</v>
      </c>
      <c r="BV81" s="174">
        <v>0</v>
      </c>
      <c r="BW81" s="174">
        <v>0</v>
      </c>
      <c r="BX81" s="174">
        <v>0</v>
      </c>
      <c r="BY81" s="174">
        <v>0</v>
      </c>
      <c r="BZ81" s="174">
        <v>0</v>
      </c>
      <c r="CA81" s="176">
        <v>0</v>
      </c>
      <c r="CB81" s="72">
        <v>0</v>
      </c>
      <c r="CC81" s="176">
        <v>0</v>
      </c>
      <c r="CD81" s="176">
        <v>0</v>
      </c>
      <c r="CE81" s="176">
        <v>0</v>
      </c>
      <c r="CF81" s="176">
        <v>0</v>
      </c>
      <c r="CG81" s="176">
        <v>0</v>
      </c>
      <c r="CH81" s="176">
        <v>0</v>
      </c>
      <c r="CI81" s="176">
        <v>0</v>
      </c>
      <c r="CJ81" s="176">
        <v>0</v>
      </c>
      <c r="CK81" s="176">
        <v>0</v>
      </c>
      <c r="CL81" s="176">
        <v>0</v>
      </c>
      <c r="CM81" s="176">
        <v>0</v>
      </c>
      <c r="CN81" s="176">
        <v>0</v>
      </c>
      <c r="CO81" s="176">
        <v>0</v>
      </c>
      <c r="CP81" s="176">
        <v>0</v>
      </c>
      <c r="CQ81" s="176">
        <v>0</v>
      </c>
      <c r="CR81" s="176">
        <v>0</v>
      </c>
      <c r="CS81" s="176">
        <v>0</v>
      </c>
    </row>
    <row r="82" spans="1:97" x14ac:dyDescent="0.25">
      <c r="A82" s="46" t="s">
        <v>76</v>
      </c>
      <c r="B82" s="168">
        <v>0</v>
      </c>
      <c r="C82" s="169">
        <v>0</v>
      </c>
      <c r="D82" s="169">
        <v>0</v>
      </c>
      <c r="E82" s="169">
        <v>0</v>
      </c>
      <c r="F82" s="169">
        <v>0</v>
      </c>
      <c r="G82" s="170">
        <v>0</v>
      </c>
      <c r="H82" s="170">
        <v>0</v>
      </c>
      <c r="I82" s="170">
        <v>0</v>
      </c>
      <c r="J82" s="169">
        <v>0</v>
      </c>
      <c r="K82" s="169">
        <v>0</v>
      </c>
      <c r="L82" s="169">
        <v>0</v>
      </c>
      <c r="M82" s="169">
        <v>0</v>
      </c>
      <c r="N82" s="170">
        <v>0</v>
      </c>
      <c r="O82" s="169">
        <v>0</v>
      </c>
      <c r="P82" s="169">
        <v>0</v>
      </c>
      <c r="Q82" s="169">
        <v>0</v>
      </c>
      <c r="R82" s="169">
        <v>0</v>
      </c>
      <c r="S82" s="170">
        <v>0</v>
      </c>
      <c r="T82" s="169">
        <v>0</v>
      </c>
      <c r="U82" s="171">
        <v>0</v>
      </c>
      <c r="V82" s="171">
        <v>0</v>
      </c>
      <c r="W82" s="171">
        <v>0</v>
      </c>
      <c r="X82" s="171">
        <v>0</v>
      </c>
      <c r="Y82" s="171">
        <v>0</v>
      </c>
      <c r="Z82" s="171">
        <v>0</v>
      </c>
      <c r="AA82" s="171">
        <v>0</v>
      </c>
      <c r="AB82" s="171">
        <v>0</v>
      </c>
      <c r="AC82" s="171">
        <v>0</v>
      </c>
      <c r="AD82" s="171">
        <v>0</v>
      </c>
      <c r="AE82" s="171">
        <v>0</v>
      </c>
      <c r="AF82" s="171">
        <v>0</v>
      </c>
      <c r="AG82" s="171">
        <v>0</v>
      </c>
      <c r="AH82" s="171">
        <v>0</v>
      </c>
      <c r="AI82" s="171">
        <v>0</v>
      </c>
      <c r="AJ82" s="171">
        <v>0</v>
      </c>
      <c r="AK82" s="171">
        <v>0</v>
      </c>
      <c r="AL82" s="172">
        <v>0</v>
      </c>
      <c r="AM82" s="172">
        <v>0</v>
      </c>
      <c r="AN82" s="172">
        <f>(IF('Data Val'!$K$4 = weaponsDB!A148,IF(char2WeapStacks=1, (8+(char2Refine-1)*2)%, IF(char2WeapStacks=2, (16+(char2Refine-1)*4)%, IF(char2WeapStacks=3, (28+(char2Refine-1)*7)%, 0)))))+(12+(char2Refine-1)*3)%</f>
        <v>0.24</v>
      </c>
      <c r="AO82" s="172">
        <v>0</v>
      </c>
      <c r="AP82" s="172">
        <v>0</v>
      </c>
      <c r="AQ82" s="172">
        <v>0</v>
      </c>
      <c r="AR82" s="172">
        <v>0</v>
      </c>
      <c r="AS82" s="172">
        <v>0</v>
      </c>
      <c r="AT82" s="172">
        <v>0</v>
      </c>
      <c r="AU82" s="172">
        <v>0</v>
      </c>
      <c r="AV82" s="172">
        <v>0</v>
      </c>
      <c r="AW82" s="172">
        <v>0</v>
      </c>
      <c r="AX82" s="172">
        <v>0</v>
      </c>
      <c r="AY82" s="172">
        <v>0</v>
      </c>
      <c r="AZ82" s="172">
        <v>0</v>
      </c>
      <c r="BA82" s="172">
        <v>0</v>
      </c>
      <c r="BB82" s="172">
        <v>0</v>
      </c>
      <c r="BC82" s="172">
        <v>0</v>
      </c>
      <c r="BD82" s="172">
        <v>0</v>
      </c>
      <c r="BE82" s="172">
        <v>0</v>
      </c>
      <c r="BF82" s="172">
        <v>0</v>
      </c>
      <c r="BG82" s="172">
        <v>0</v>
      </c>
      <c r="BH82" s="174">
        <v>0</v>
      </c>
      <c r="BI82" s="174">
        <f t="shared" si="4"/>
        <v>0.24</v>
      </c>
      <c r="BJ82" s="174">
        <f t="shared" si="5"/>
        <v>0.16</v>
      </c>
      <c r="BK82" s="174">
        <v>0</v>
      </c>
      <c r="BL82" s="174">
        <v>0</v>
      </c>
      <c r="BM82" s="174">
        <v>0</v>
      </c>
      <c r="BN82" s="174">
        <v>0</v>
      </c>
      <c r="BO82" s="174">
        <f t="shared" si="6"/>
        <v>0.32</v>
      </c>
      <c r="BP82" s="174">
        <v>0</v>
      </c>
      <c r="BQ82" s="174">
        <v>0</v>
      </c>
      <c r="BR82" s="174">
        <v>0</v>
      </c>
      <c r="BS82" s="174">
        <v>0</v>
      </c>
      <c r="BT82" s="174">
        <f t="shared" si="7"/>
        <v>0.16</v>
      </c>
      <c r="BU82" s="174">
        <v>0</v>
      </c>
      <c r="BV82" s="174">
        <v>0</v>
      </c>
      <c r="BW82" s="174">
        <v>0</v>
      </c>
      <c r="BX82" s="174">
        <v>0</v>
      </c>
      <c r="BY82" s="174">
        <v>0</v>
      </c>
      <c r="BZ82" s="174">
        <v>0</v>
      </c>
      <c r="CA82" s="176">
        <v>0</v>
      </c>
      <c r="CB82" s="72">
        <v>0</v>
      </c>
      <c r="CC82" s="176">
        <v>0</v>
      </c>
      <c r="CD82" s="176">
        <v>0</v>
      </c>
      <c r="CE82" s="176">
        <v>0</v>
      </c>
      <c r="CF82" s="176">
        <v>0</v>
      </c>
      <c r="CG82" s="176">
        <v>0</v>
      </c>
      <c r="CH82" s="176">
        <v>0</v>
      </c>
      <c r="CI82" s="176">
        <v>0</v>
      </c>
      <c r="CJ82" s="176">
        <v>0</v>
      </c>
      <c r="CK82" s="176">
        <v>0</v>
      </c>
      <c r="CL82" s="176">
        <v>0</v>
      </c>
      <c r="CM82" s="176">
        <v>0</v>
      </c>
      <c r="CN82" s="176">
        <v>0</v>
      </c>
      <c r="CO82" s="176">
        <v>0</v>
      </c>
      <c r="CP82" s="176">
        <v>0</v>
      </c>
      <c r="CQ82" s="176">
        <v>0</v>
      </c>
      <c r="CR82" s="176">
        <v>0</v>
      </c>
      <c r="CS82" s="176">
        <v>0</v>
      </c>
    </row>
    <row r="83" spans="1:97" x14ac:dyDescent="0.25">
      <c r="A83" s="46" t="s">
        <v>69</v>
      </c>
      <c r="B83" s="178">
        <v>0</v>
      </c>
      <c r="C83" s="179">
        <v>0</v>
      </c>
      <c r="D83" s="204">
        <v>0</v>
      </c>
      <c r="E83" s="179">
        <v>0</v>
      </c>
      <c r="F83" s="204">
        <v>0</v>
      </c>
      <c r="G83" s="179">
        <v>0</v>
      </c>
      <c r="H83" s="179">
        <v>0</v>
      </c>
      <c r="I83" s="179">
        <v>0</v>
      </c>
      <c r="J83" s="179">
        <v>0</v>
      </c>
      <c r="K83" s="179">
        <v>0</v>
      </c>
      <c r="L83" s="179">
        <v>0</v>
      </c>
      <c r="M83" s="179">
        <v>165</v>
      </c>
      <c r="N83" s="179">
        <v>0</v>
      </c>
      <c r="O83" s="179">
        <v>0</v>
      </c>
      <c r="P83" s="204">
        <v>0</v>
      </c>
      <c r="Q83" s="204">
        <v>0</v>
      </c>
      <c r="R83" s="204">
        <v>0</v>
      </c>
      <c r="S83" s="179">
        <v>0</v>
      </c>
      <c r="T83" s="179">
        <v>0</v>
      </c>
      <c r="U83" s="180">
        <v>0</v>
      </c>
      <c r="V83" s="180">
        <v>0</v>
      </c>
      <c r="W83" s="180">
        <v>0</v>
      </c>
      <c r="X83" s="180">
        <v>0</v>
      </c>
      <c r="Y83" s="180">
        <v>0</v>
      </c>
      <c r="Z83" s="180">
        <v>0</v>
      </c>
      <c r="AA83" s="180">
        <v>110</v>
      </c>
      <c r="AB83" s="180">
        <v>0</v>
      </c>
      <c r="AC83" s="180">
        <v>0</v>
      </c>
      <c r="AD83" s="180">
        <v>0</v>
      </c>
      <c r="AE83" s="180">
        <v>0</v>
      </c>
      <c r="AF83" s="180">
        <v>221</v>
      </c>
      <c r="AG83" s="180">
        <v>0</v>
      </c>
      <c r="AH83" s="180">
        <v>0</v>
      </c>
      <c r="AI83" s="180">
        <v>0</v>
      </c>
      <c r="AJ83" s="180">
        <v>0</v>
      </c>
      <c r="AK83" s="180">
        <v>0</v>
      </c>
      <c r="AL83" s="181">
        <v>0</v>
      </c>
      <c r="AM83" s="181">
        <v>198</v>
      </c>
      <c r="AN83" s="181">
        <v>0</v>
      </c>
      <c r="AO83" s="181">
        <v>0</v>
      </c>
      <c r="AP83" s="181">
        <v>0</v>
      </c>
      <c r="AQ83" s="181">
        <v>0</v>
      </c>
      <c r="AR83" s="181">
        <v>0</v>
      </c>
      <c r="AS83" s="181">
        <v>0</v>
      </c>
      <c r="AT83" s="181">
        <v>0</v>
      </c>
      <c r="AU83" s="181">
        <v>55</v>
      </c>
      <c r="AV83" s="181">
        <v>0</v>
      </c>
      <c r="AW83" s="181">
        <v>0</v>
      </c>
      <c r="AX83" s="181">
        <v>0</v>
      </c>
      <c r="AY83" s="181">
        <v>0</v>
      </c>
      <c r="AZ83" s="181">
        <v>165</v>
      </c>
      <c r="BA83" s="181">
        <v>0</v>
      </c>
      <c r="BB83" s="181">
        <v>0</v>
      </c>
      <c r="BC83" s="181">
        <v>0</v>
      </c>
      <c r="BD83" s="181">
        <v>0</v>
      </c>
      <c r="BE83" s="181">
        <v>0</v>
      </c>
      <c r="BF83" s="181">
        <v>141</v>
      </c>
      <c r="BG83" s="181">
        <v>0</v>
      </c>
      <c r="BH83" s="166">
        <v>0</v>
      </c>
      <c r="BI83" s="166">
        <v>0</v>
      </c>
      <c r="BJ83" s="166">
        <v>0</v>
      </c>
      <c r="BK83" s="166">
        <v>0</v>
      </c>
      <c r="BL83" s="166">
        <v>0</v>
      </c>
      <c r="BM83" s="166">
        <v>0</v>
      </c>
      <c r="BN83" s="166">
        <v>0</v>
      </c>
      <c r="BO83" s="166">
        <f>IF(char2WeapToggle,80+(char2Refine-1)*20,0)</f>
        <v>160</v>
      </c>
      <c r="BP83" s="166">
        <v>0</v>
      </c>
      <c r="BQ83" s="166">
        <v>221</v>
      </c>
      <c r="BR83" s="166">
        <v>0</v>
      </c>
      <c r="BS83" s="166">
        <v>0</v>
      </c>
      <c r="BT83" s="166">
        <v>110</v>
      </c>
      <c r="BU83" s="166">
        <v>0</v>
      </c>
      <c r="BV83" s="166">
        <v>0</v>
      </c>
      <c r="BW83" s="166">
        <v>187</v>
      </c>
      <c r="BX83" s="166">
        <v>0</v>
      </c>
      <c r="BY83" s="166">
        <v>0</v>
      </c>
      <c r="BZ83" s="166">
        <v>0</v>
      </c>
      <c r="CA83" s="182">
        <f>60+(char2Refine-1)*15+IF(char2WeapToggle, 100+(char2Refine-1)*25,0)</f>
        <v>320</v>
      </c>
      <c r="CB83" s="79">
        <v>0</v>
      </c>
      <c r="CC83" s="183">
        <v>0</v>
      </c>
      <c r="CD83" s="183">
        <v>0</v>
      </c>
      <c r="CE83" s="182">
        <v>0</v>
      </c>
      <c r="CF83" s="183">
        <v>0</v>
      </c>
      <c r="CG83" s="183">
        <v>0</v>
      </c>
      <c r="CH83" s="183">
        <v>0</v>
      </c>
      <c r="CI83" s="183">
        <v>0</v>
      </c>
      <c r="CJ83" s="183">
        <v>0</v>
      </c>
      <c r="CK83" s="182">
        <v>165</v>
      </c>
      <c r="CL83" s="183">
        <v>0</v>
      </c>
      <c r="CM83" s="183">
        <v>0</v>
      </c>
      <c r="CN83" s="183">
        <v>0</v>
      </c>
      <c r="CO83" s="183">
        <v>165</v>
      </c>
      <c r="CP83" s="183">
        <v>0</v>
      </c>
      <c r="CQ83" s="183">
        <v>0</v>
      </c>
      <c r="CR83" s="183">
        <v>0</v>
      </c>
      <c r="CS83" s="183">
        <v>0</v>
      </c>
    </row>
    <row r="84" spans="1:97" x14ac:dyDescent="0.25">
      <c r="A84" s="46" t="s">
        <v>457</v>
      </c>
      <c r="B84" s="168">
        <v>0</v>
      </c>
      <c r="C84" s="170">
        <v>0</v>
      </c>
      <c r="D84" s="169">
        <v>0</v>
      </c>
      <c r="E84" s="170">
        <v>0</v>
      </c>
      <c r="F84" s="169">
        <v>0</v>
      </c>
      <c r="G84" s="170">
        <v>0</v>
      </c>
      <c r="H84" s="170">
        <v>0</v>
      </c>
      <c r="I84" s="170">
        <v>0</v>
      </c>
      <c r="J84" s="170">
        <v>0</v>
      </c>
      <c r="K84" s="170">
        <v>0</v>
      </c>
      <c r="L84" s="170">
        <v>0</v>
      </c>
      <c r="M84" s="170">
        <v>0</v>
      </c>
      <c r="N84" s="170">
        <v>0</v>
      </c>
      <c r="O84" s="170">
        <v>0</v>
      </c>
      <c r="P84" s="169">
        <v>0</v>
      </c>
      <c r="Q84" s="169">
        <v>0</v>
      </c>
      <c r="R84" s="169">
        <v>0</v>
      </c>
      <c r="S84" s="170">
        <v>0</v>
      </c>
      <c r="T84" s="170">
        <v>0</v>
      </c>
      <c r="U84" s="171">
        <v>0</v>
      </c>
      <c r="V84" s="171">
        <v>0</v>
      </c>
      <c r="W84" s="171">
        <v>0</v>
      </c>
      <c r="X84" s="171">
        <v>0</v>
      </c>
      <c r="Y84" s="171">
        <v>0</v>
      </c>
      <c r="Z84" s="171">
        <v>0</v>
      </c>
      <c r="AA84" s="171">
        <v>0</v>
      </c>
      <c r="AB84" s="171">
        <v>0</v>
      </c>
      <c r="AC84" s="171">
        <v>0</v>
      </c>
      <c r="AD84" s="171">
        <v>0</v>
      </c>
      <c r="AE84" s="171">
        <v>0</v>
      </c>
      <c r="AF84" s="171">
        <v>0</v>
      </c>
      <c r="AG84" s="171">
        <v>0</v>
      </c>
      <c r="AH84" s="171">
        <v>0</v>
      </c>
      <c r="AI84" s="171">
        <v>0</v>
      </c>
      <c r="AJ84" s="171">
        <v>0</v>
      </c>
      <c r="AK84" s="171">
        <v>0</v>
      </c>
      <c r="AL84" s="172">
        <v>0</v>
      </c>
      <c r="AM84" s="172">
        <v>0</v>
      </c>
      <c r="AN84" s="172">
        <v>0</v>
      </c>
      <c r="AO84" s="172">
        <v>0</v>
      </c>
      <c r="AP84" s="172">
        <v>0</v>
      </c>
      <c r="AQ84" s="172">
        <v>0</v>
      </c>
      <c r="AR84" s="172">
        <v>0</v>
      </c>
      <c r="AS84" s="172">
        <v>0</v>
      </c>
      <c r="AT84" s="172">
        <v>0</v>
      </c>
      <c r="AU84" s="172">
        <v>0</v>
      </c>
      <c r="AV84" s="172">
        <v>0</v>
      </c>
      <c r="AW84" s="172">
        <v>0</v>
      </c>
      <c r="AX84" s="172">
        <v>0</v>
      </c>
      <c r="AY84" s="172">
        <v>0</v>
      </c>
      <c r="AZ84" s="172">
        <v>0</v>
      </c>
      <c r="BA84" s="172">
        <v>0</v>
      </c>
      <c r="BB84" s="172">
        <v>0</v>
      </c>
      <c r="BC84" s="172">
        <v>0</v>
      </c>
      <c r="BD84" s="172">
        <v>0</v>
      </c>
      <c r="BE84" s="172">
        <v>0</v>
      </c>
      <c r="BF84" s="172">
        <v>0</v>
      </c>
      <c r="BG84" s="172">
        <v>0</v>
      </c>
      <c r="BH84" s="174">
        <v>0</v>
      </c>
      <c r="BI84" s="174">
        <v>0</v>
      </c>
      <c r="BJ84" s="174">
        <v>0</v>
      </c>
      <c r="BK84" s="174">
        <v>0</v>
      </c>
      <c r="BL84" s="174">
        <v>0</v>
      </c>
      <c r="BM84" s="174">
        <v>0</v>
      </c>
      <c r="BN84" s="174">
        <v>0</v>
      </c>
      <c r="BO84" s="174">
        <v>0</v>
      </c>
      <c r="BP84" s="174">
        <v>0</v>
      </c>
      <c r="BQ84" s="174">
        <v>0</v>
      </c>
      <c r="BR84" s="174">
        <v>0</v>
      </c>
      <c r="BS84" s="174">
        <v>0</v>
      </c>
      <c r="BT84" s="174">
        <v>0</v>
      </c>
      <c r="BU84" s="174">
        <v>0</v>
      </c>
      <c r="BV84" s="174">
        <v>0</v>
      </c>
      <c r="BW84" s="174">
        <v>0</v>
      </c>
      <c r="BX84" s="174">
        <v>0</v>
      </c>
      <c r="BY84" s="174">
        <v>0</v>
      </c>
      <c r="BZ84" s="174">
        <v>0</v>
      </c>
      <c r="CA84" s="177">
        <v>0</v>
      </c>
      <c r="CB84" s="72">
        <v>0</v>
      </c>
      <c r="CC84" s="176">
        <v>0</v>
      </c>
      <c r="CD84" s="177">
        <v>0</v>
      </c>
      <c r="CE84" s="177">
        <v>0</v>
      </c>
      <c r="CF84" s="176">
        <v>0</v>
      </c>
      <c r="CG84" s="177">
        <v>0</v>
      </c>
      <c r="CH84" s="176">
        <v>0</v>
      </c>
      <c r="CI84" s="177">
        <v>0</v>
      </c>
      <c r="CJ84" s="177">
        <v>0</v>
      </c>
      <c r="CK84" s="177">
        <v>0</v>
      </c>
      <c r="CL84" s="176">
        <v>0</v>
      </c>
      <c r="CM84" s="176">
        <v>0</v>
      </c>
      <c r="CN84" s="176">
        <v>0</v>
      </c>
      <c r="CO84" s="176">
        <v>0</v>
      </c>
      <c r="CP84" s="177">
        <v>0</v>
      </c>
      <c r="CQ84" s="176">
        <v>0</v>
      </c>
      <c r="CR84" s="176">
        <v>0</v>
      </c>
      <c r="CS84" s="176">
        <v>0</v>
      </c>
    </row>
    <row r="85" spans="1:97" x14ac:dyDescent="0.25">
      <c r="A85" s="46" t="s">
        <v>427</v>
      </c>
      <c r="B85" s="168">
        <v>0</v>
      </c>
      <c r="C85" s="169">
        <v>0</v>
      </c>
      <c r="D85" s="169">
        <v>0</v>
      </c>
      <c r="E85" s="170">
        <v>0</v>
      </c>
      <c r="F85" s="169">
        <v>0</v>
      </c>
      <c r="G85" s="170">
        <v>0</v>
      </c>
      <c r="H85" s="170">
        <v>0</v>
      </c>
      <c r="I85" s="170">
        <v>0</v>
      </c>
      <c r="J85" s="170">
        <v>0</v>
      </c>
      <c r="K85" s="170">
        <v>0</v>
      </c>
      <c r="L85" s="170">
        <v>0</v>
      </c>
      <c r="M85" s="170">
        <v>0</v>
      </c>
      <c r="N85" s="170">
        <v>0</v>
      </c>
      <c r="O85" s="170">
        <v>0</v>
      </c>
      <c r="P85" s="169">
        <v>0</v>
      </c>
      <c r="Q85" s="169">
        <v>0</v>
      </c>
      <c r="R85" s="169">
        <v>0</v>
      </c>
      <c r="S85" s="170">
        <v>0</v>
      </c>
      <c r="T85" s="170">
        <v>0</v>
      </c>
      <c r="U85" s="171">
        <v>0</v>
      </c>
      <c r="V85" s="171">
        <v>0</v>
      </c>
      <c r="W85" s="171">
        <v>0</v>
      </c>
      <c r="X85" s="171">
        <v>0</v>
      </c>
      <c r="Y85" s="171">
        <v>0</v>
      </c>
      <c r="Z85" s="171">
        <v>0</v>
      </c>
      <c r="AA85" s="171">
        <v>0</v>
      </c>
      <c r="AB85" s="171">
        <v>0</v>
      </c>
      <c r="AC85" s="171">
        <v>0</v>
      </c>
      <c r="AD85" s="171">
        <v>0</v>
      </c>
      <c r="AE85" s="171">
        <v>0</v>
      </c>
      <c r="AF85" s="171">
        <v>0</v>
      </c>
      <c r="AG85" s="171">
        <v>0</v>
      </c>
      <c r="AH85" s="171">
        <v>0</v>
      </c>
      <c r="AI85" s="171">
        <v>0</v>
      </c>
      <c r="AJ85" s="171">
        <v>0</v>
      </c>
      <c r="AK85" s="171">
        <v>0</v>
      </c>
      <c r="AL85" s="172">
        <v>0</v>
      </c>
      <c r="AM85" s="172">
        <v>0</v>
      </c>
      <c r="AN85" s="172">
        <v>0</v>
      </c>
      <c r="AO85" s="172">
        <v>0</v>
      </c>
      <c r="AP85" s="172">
        <v>0</v>
      </c>
      <c r="AQ85" s="172">
        <v>0</v>
      </c>
      <c r="AR85" s="172">
        <v>0</v>
      </c>
      <c r="AS85" s="172">
        <v>0</v>
      </c>
      <c r="AT85" s="172">
        <v>0</v>
      </c>
      <c r="AU85" s="172">
        <v>0</v>
      </c>
      <c r="AV85" s="172">
        <v>0</v>
      </c>
      <c r="AW85" s="172">
        <v>0</v>
      </c>
      <c r="AX85" s="172">
        <v>0</v>
      </c>
      <c r="AY85" s="172">
        <v>0</v>
      </c>
      <c r="AZ85" s="172">
        <v>0</v>
      </c>
      <c r="BA85" s="172">
        <v>0</v>
      </c>
      <c r="BB85" s="172">
        <v>0</v>
      </c>
      <c r="BC85" s="172">
        <v>0</v>
      </c>
      <c r="BD85" s="172">
        <v>0</v>
      </c>
      <c r="BE85" s="172">
        <v>0</v>
      </c>
      <c r="BF85" s="172">
        <v>0</v>
      </c>
      <c r="BG85" s="172">
        <v>0</v>
      </c>
      <c r="BH85" s="174">
        <v>0</v>
      </c>
      <c r="BI85" s="174">
        <v>0</v>
      </c>
      <c r="BJ85" s="174">
        <v>0</v>
      </c>
      <c r="BK85" s="174">
        <f>(10+(char2Refine-1)*2.5)%</f>
        <v>0.2</v>
      </c>
      <c r="BL85" s="174">
        <v>0</v>
      </c>
      <c r="BM85" s="174">
        <v>0</v>
      </c>
      <c r="BN85" s="174">
        <v>0</v>
      </c>
      <c r="BO85" s="174">
        <v>0</v>
      </c>
      <c r="BP85" s="174">
        <v>0</v>
      </c>
      <c r="BQ85" s="174">
        <v>0</v>
      </c>
      <c r="BR85" s="174">
        <v>0</v>
      </c>
      <c r="BS85" s="174">
        <v>0</v>
      </c>
      <c r="BT85" s="174">
        <v>0</v>
      </c>
      <c r="BU85" s="174">
        <v>0</v>
      </c>
      <c r="BV85" s="174">
        <v>0</v>
      </c>
      <c r="BW85" s="174">
        <v>0</v>
      </c>
      <c r="BX85" s="174">
        <v>0</v>
      </c>
      <c r="BY85" s="174">
        <v>0</v>
      </c>
      <c r="BZ85" s="174">
        <v>0</v>
      </c>
      <c r="CA85" s="177">
        <v>0</v>
      </c>
      <c r="CB85" s="72">
        <v>0</v>
      </c>
      <c r="CC85" s="176">
        <v>0</v>
      </c>
      <c r="CD85" s="176">
        <v>0</v>
      </c>
      <c r="CE85" s="176">
        <v>0</v>
      </c>
      <c r="CF85" s="176">
        <v>0</v>
      </c>
      <c r="CG85" s="177">
        <v>0</v>
      </c>
      <c r="CH85" s="176">
        <v>0</v>
      </c>
      <c r="CI85" s="177">
        <v>0</v>
      </c>
      <c r="CJ85" s="177">
        <v>0</v>
      </c>
      <c r="CK85" s="177">
        <v>0</v>
      </c>
      <c r="CL85" s="176">
        <v>0</v>
      </c>
      <c r="CM85" s="176">
        <v>0</v>
      </c>
      <c r="CN85" s="176">
        <v>0</v>
      </c>
      <c r="CO85" s="176">
        <v>0</v>
      </c>
      <c r="CP85" s="177">
        <v>0</v>
      </c>
      <c r="CQ85" s="176">
        <v>0</v>
      </c>
      <c r="CR85" s="176">
        <v>0</v>
      </c>
      <c r="CS85" s="176">
        <v>0</v>
      </c>
    </row>
    <row r="86" spans="1:97" x14ac:dyDescent="0.25">
      <c r="A86" s="46" t="s">
        <v>77</v>
      </c>
      <c r="B86" s="168">
        <v>0</v>
      </c>
      <c r="C86" s="169">
        <v>0</v>
      </c>
      <c r="D86" s="169">
        <v>0</v>
      </c>
      <c r="E86" s="170">
        <v>0</v>
      </c>
      <c r="F86" s="169">
        <v>0</v>
      </c>
      <c r="G86" s="170">
        <v>0</v>
      </c>
      <c r="H86" s="170">
        <v>0</v>
      </c>
      <c r="I86" s="170">
        <v>0</v>
      </c>
      <c r="J86" s="170">
        <v>0</v>
      </c>
      <c r="K86" s="170">
        <v>0</v>
      </c>
      <c r="L86" s="170">
        <v>0</v>
      </c>
      <c r="M86" s="170">
        <v>0</v>
      </c>
      <c r="N86" s="170">
        <v>0</v>
      </c>
      <c r="O86" s="170">
        <v>0</v>
      </c>
      <c r="P86" s="169">
        <v>0</v>
      </c>
      <c r="Q86" s="169">
        <v>0</v>
      </c>
      <c r="R86" s="169">
        <v>0</v>
      </c>
      <c r="S86" s="170">
        <v>0</v>
      </c>
      <c r="T86" s="170">
        <v>0</v>
      </c>
      <c r="U86" s="171">
        <v>0</v>
      </c>
      <c r="V86" s="171">
        <v>0</v>
      </c>
      <c r="W86" s="171">
        <v>0</v>
      </c>
      <c r="X86" s="171">
        <v>0</v>
      </c>
      <c r="Y86" s="171">
        <v>0</v>
      </c>
      <c r="Z86" s="171">
        <v>0</v>
      </c>
      <c r="AA86" s="171">
        <v>0</v>
      </c>
      <c r="AB86" s="171">
        <v>0</v>
      </c>
      <c r="AC86" s="171">
        <v>0</v>
      </c>
      <c r="AD86" s="171">
        <f>((8+(char2Refine-1)*4)*char2WeapStacks)%</f>
        <v>0.24</v>
      </c>
      <c r="AE86" s="171">
        <v>0</v>
      </c>
      <c r="AF86" s="171">
        <v>0</v>
      </c>
      <c r="AG86" s="171">
        <v>0</v>
      </c>
      <c r="AH86" s="171">
        <v>0</v>
      </c>
      <c r="AI86" s="171">
        <v>0</v>
      </c>
      <c r="AJ86" s="171">
        <f>(24+(char2Refine-1)*6)%</f>
        <v>0.48</v>
      </c>
      <c r="AK86" s="171">
        <v>0</v>
      </c>
      <c r="AL86" s="172">
        <v>0</v>
      </c>
      <c r="AM86" s="172">
        <f>IF(char2WeapToggle, (16+(char2Refine-1)*4), 0)%</f>
        <v>0.32</v>
      </c>
      <c r="AN86" s="172">
        <v>0</v>
      </c>
      <c r="AO86" s="172">
        <v>0</v>
      </c>
      <c r="AP86" s="172">
        <v>0</v>
      </c>
      <c r="AQ86" s="172">
        <v>0</v>
      </c>
      <c r="AR86" s="172">
        <v>0</v>
      </c>
      <c r="AS86" s="172">
        <v>0</v>
      </c>
      <c r="AT86" s="172">
        <f>(20+(char2Refine-1)*5)%</f>
        <v>0.4</v>
      </c>
      <c r="AU86" s="172">
        <v>0</v>
      </c>
      <c r="AV86" s="172">
        <v>0</v>
      </c>
      <c r="AW86" s="172">
        <v>0</v>
      </c>
      <c r="AX86" s="172">
        <v>0</v>
      </c>
      <c r="AY86" s="172">
        <v>0</v>
      </c>
      <c r="AZ86" s="172">
        <v>0</v>
      </c>
      <c r="BA86" s="172">
        <v>0</v>
      </c>
      <c r="BB86" s="172">
        <v>0</v>
      </c>
      <c r="BC86" s="172">
        <v>0</v>
      </c>
      <c r="BD86" s="172">
        <v>0</v>
      </c>
      <c r="BE86" s="172">
        <v>0</v>
      </c>
      <c r="BF86" s="172">
        <v>0</v>
      </c>
      <c r="BG86" s="172">
        <v>0</v>
      </c>
      <c r="BH86" s="174">
        <v>0</v>
      </c>
      <c r="BI86" s="174">
        <v>0</v>
      </c>
      <c r="BJ86" s="174">
        <v>0</v>
      </c>
      <c r="BK86" s="174">
        <v>0</v>
      </c>
      <c r="BL86" s="174">
        <v>0</v>
      </c>
      <c r="BM86" s="174">
        <v>0</v>
      </c>
      <c r="BN86" s="174">
        <v>0</v>
      </c>
      <c r="BO86" s="174">
        <v>0</v>
      </c>
      <c r="BP86" s="174">
        <f>IF(char2WeapToggle,20+(char2Refine-1)*5,0)%</f>
        <v>0.4</v>
      </c>
      <c r="BQ86" s="174">
        <v>0</v>
      </c>
      <c r="BR86" s="174">
        <v>0</v>
      </c>
      <c r="BS86" s="174">
        <v>0</v>
      </c>
      <c r="BT86" s="174">
        <v>0</v>
      </c>
      <c r="BU86" s="174">
        <v>0</v>
      </c>
      <c r="BV86" s="174">
        <v>0</v>
      </c>
      <c r="BW86" s="174">
        <v>0</v>
      </c>
      <c r="BX86" s="174">
        <v>0</v>
      </c>
      <c r="BY86" s="174">
        <v>0</v>
      </c>
      <c r="BZ86" s="174">
        <v>0</v>
      </c>
      <c r="CA86" s="177">
        <v>0</v>
      </c>
      <c r="CB86" s="72">
        <v>0</v>
      </c>
      <c r="CC86" s="176">
        <v>0</v>
      </c>
      <c r="CD86" s="176">
        <f>(12+(char2Refine-1)*3)%+char2WeapStacks*(8+(char2Refine-1)*2)%</f>
        <v>0.4</v>
      </c>
      <c r="CE86" s="176">
        <f>(40+(char2Refine-1)*10)%</f>
        <v>0.8</v>
      </c>
      <c r="CF86" s="176">
        <v>0</v>
      </c>
      <c r="CG86" s="177">
        <v>0</v>
      </c>
      <c r="CH86" s="176">
        <v>0</v>
      </c>
      <c r="CI86" s="177">
        <v>0</v>
      </c>
      <c r="CJ86" s="177">
        <v>0</v>
      </c>
      <c r="CK86" s="177">
        <v>0</v>
      </c>
      <c r="CL86" s="176">
        <v>0</v>
      </c>
      <c r="CM86" s="176">
        <v>0</v>
      </c>
      <c r="CN86" s="176">
        <f>IF(char2WeapToggle, 2*(16+(char2Refine-1)*4), 16+(char2Refine-1)*4)%</f>
        <v>0.64</v>
      </c>
      <c r="CO86" s="176">
        <v>0</v>
      </c>
      <c r="CP86" s="177">
        <v>0</v>
      </c>
      <c r="CQ86" s="176">
        <f>IF(char2WeapToggle, 20+(char2Refine-1)*5, 0)%</f>
        <v>0.4</v>
      </c>
      <c r="CR86" s="176">
        <f>IF(char2WeapToggle, (36+(char2Refine-1)*6)%, -10%)</f>
        <v>0.6</v>
      </c>
      <c r="CS86" s="72">
        <f>IF(char2WeapStacks=1, (12+(char2Refine-1)*3)%, IF(char2WeapStacks=2, (24+(char2Refine-1)*6)%, IF(char2WeapStacks=3, (40+(char2Refine-1)*10)%, 0)))</f>
        <v>0.24</v>
      </c>
    </row>
    <row r="87" spans="1:97" x14ac:dyDescent="0.25">
      <c r="A87" s="46" t="s">
        <v>78</v>
      </c>
      <c r="B87" s="168">
        <v>0</v>
      </c>
      <c r="C87" s="169">
        <v>0</v>
      </c>
      <c r="D87" s="169">
        <v>0</v>
      </c>
      <c r="E87" s="170">
        <v>0</v>
      </c>
      <c r="F87" s="169">
        <v>0</v>
      </c>
      <c r="G87" s="170">
        <v>0</v>
      </c>
      <c r="H87" s="170">
        <v>0</v>
      </c>
      <c r="I87" s="170">
        <v>0</v>
      </c>
      <c r="J87" s="170">
        <v>0</v>
      </c>
      <c r="K87" s="170">
        <v>0</v>
      </c>
      <c r="L87" s="170">
        <v>0</v>
      </c>
      <c r="M87" s="170">
        <v>0</v>
      </c>
      <c r="N87" s="170">
        <v>0</v>
      </c>
      <c r="O87" s="170">
        <v>0</v>
      </c>
      <c r="P87" s="169">
        <v>0</v>
      </c>
      <c r="Q87" s="169">
        <v>0</v>
      </c>
      <c r="R87" s="169">
        <v>0</v>
      </c>
      <c r="S87" s="170">
        <v>0</v>
      </c>
      <c r="T87" s="170">
        <v>0</v>
      </c>
      <c r="U87" s="171">
        <v>0</v>
      </c>
      <c r="V87" s="171">
        <v>0</v>
      </c>
      <c r="W87" s="171">
        <v>0</v>
      </c>
      <c r="X87" s="171">
        <v>0</v>
      </c>
      <c r="Y87" s="171">
        <v>0</v>
      </c>
      <c r="Z87" s="171">
        <v>0</v>
      </c>
      <c r="AA87" s="171">
        <v>0</v>
      </c>
      <c r="AB87" s="171">
        <v>0</v>
      </c>
      <c r="AC87" s="171">
        <v>0</v>
      </c>
      <c r="AD87" s="171">
        <f>((8+(char2Refine-1)*4)*char2WeapStacks)%</f>
        <v>0.24</v>
      </c>
      <c r="AE87" s="171">
        <v>0</v>
      </c>
      <c r="AF87" s="171">
        <v>0</v>
      </c>
      <c r="AG87" s="171">
        <v>0</v>
      </c>
      <c r="AH87" s="171">
        <v>0</v>
      </c>
      <c r="AI87" s="171">
        <v>0</v>
      </c>
      <c r="AJ87" s="171">
        <v>0</v>
      </c>
      <c r="AK87" s="171">
        <v>0</v>
      </c>
      <c r="AL87" s="172">
        <v>0</v>
      </c>
      <c r="AM87" s="172">
        <f>IF(char2WeapToggle, (16+(char2Refine-1)*4), 0)%</f>
        <v>0.32</v>
      </c>
      <c r="AN87" s="172">
        <v>0</v>
      </c>
      <c r="AO87" s="172">
        <v>0</v>
      </c>
      <c r="AP87" s="172">
        <v>0</v>
      </c>
      <c r="AQ87" s="172">
        <v>0</v>
      </c>
      <c r="AR87" s="172">
        <v>0</v>
      </c>
      <c r="AS87" s="172">
        <v>0</v>
      </c>
      <c r="AT87" s="172">
        <f>(20+(char2Refine-1)*5)%</f>
        <v>0.4</v>
      </c>
      <c r="AU87" s="172">
        <v>0</v>
      </c>
      <c r="AV87" s="172">
        <v>0</v>
      </c>
      <c r="AW87" s="172">
        <v>0</v>
      </c>
      <c r="AX87" s="172">
        <v>0</v>
      </c>
      <c r="AY87" s="172">
        <v>0</v>
      </c>
      <c r="AZ87" s="172">
        <v>0</v>
      </c>
      <c r="BA87" s="172">
        <v>0</v>
      </c>
      <c r="BB87" s="172">
        <v>0</v>
      </c>
      <c r="BC87" s="172">
        <v>0</v>
      </c>
      <c r="BD87" s="172">
        <v>0</v>
      </c>
      <c r="BE87" s="172">
        <v>0</v>
      </c>
      <c r="BF87" s="172">
        <v>0</v>
      </c>
      <c r="BG87" s="172">
        <v>0</v>
      </c>
      <c r="BH87" s="174">
        <v>0</v>
      </c>
      <c r="BI87" s="174">
        <v>0</v>
      </c>
      <c r="BJ87" s="174">
        <v>0</v>
      </c>
      <c r="BK87" s="174">
        <v>0</v>
      </c>
      <c r="BL87" s="174">
        <v>0</v>
      </c>
      <c r="BM87" s="174">
        <v>0</v>
      </c>
      <c r="BN87" s="174">
        <v>0</v>
      </c>
      <c r="BO87" s="174">
        <v>0</v>
      </c>
      <c r="BP87" s="174">
        <v>0</v>
      </c>
      <c r="BQ87" s="174">
        <v>0</v>
      </c>
      <c r="BR87" s="174">
        <v>0</v>
      </c>
      <c r="BS87" s="174">
        <v>0</v>
      </c>
      <c r="BT87" s="174">
        <v>0</v>
      </c>
      <c r="BU87" s="174">
        <v>0</v>
      </c>
      <c r="BV87" s="174">
        <f>IF(char2WeapToggle,16+(char2Refine-1)*4,0)%</f>
        <v>0.32</v>
      </c>
      <c r="BW87" s="174">
        <v>0</v>
      </c>
      <c r="BX87" s="174">
        <v>0</v>
      </c>
      <c r="BY87" s="174">
        <v>0</v>
      </c>
      <c r="BZ87" s="174">
        <v>0</v>
      </c>
      <c r="CA87" s="177">
        <v>0</v>
      </c>
      <c r="CB87" s="72">
        <v>0</v>
      </c>
      <c r="CC87" s="176">
        <v>0</v>
      </c>
      <c r="CD87" s="176">
        <f>(12+(char2Refine-1)*3)%+char2WeapStacks*(8+(char2Refine-1)*2)%</f>
        <v>0.4</v>
      </c>
      <c r="CE87" s="176">
        <f>-10%</f>
        <v>-0.1</v>
      </c>
      <c r="CF87" s="176">
        <v>0</v>
      </c>
      <c r="CG87" s="177">
        <v>0</v>
      </c>
      <c r="CH87" s="176">
        <v>0</v>
      </c>
      <c r="CI87" s="177">
        <v>0</v>
      </c>
      <c r="CJ87" s="177">
        <v>0</v>
      </c>
      <c r="CK87" s="177">
        <v>0</v>
      </c>
      <c r="CL87" s="176">
        <v>0</v>
      </c>
      <c r="CM87" s="176">
        <v>0</v>
      </c>
      <c r="CN87" s="176">
        <f>IF(char2WeapToggle, 2*(12+(char2Refine-1)*3), (12+(char2Refine-1)*3))%</f>
        <v>0.48</v>
      </c>
      <c r="CO87" s="176">
        <v>0</v>
      </c>
      <c r="CP87" s="177">
        <v>0</v>
      </c>
      <c r="CQ87" s="176">
        <v>0</v>
      </c>
      <c r="CR87" s="176">
        <f>IF(char2WeapToggle, (36+(char2Refine-1)*6)%, -10%)</f>
        <v>0.6</v>
      </c>
      <c r="CS87" s="176">
        <v>0</v>
      </c>
    </row>
    <row r="88" spans="1:97" x14ac:dyDescent="0.25">
      <c r="A88" s="46" t="s">
        <v>79</v>
      </c>
      <c r="B88" s="168">
        <v>0</v>
      </c>
      <c r="C88" s="170">
        <v>0</v>
      </c>
      <c r="D88" s="169">
        <v>0</v>
      </c>
      <c r="E88" s="170">
        <v>0</v>
      </c>
      <c r="F88" s="169">
        <v>0</v>
      </c>
      <c r="G88" s="170">
        <v>0</v>
      </c>
      <c r="H88" s="170">
        <v>0</v>
      </c>
      <c r="I88" s="170">
        <v>0</v>
      </c>
      <c r="J88" s="170">
        <v>0</v>
      </c>
      <c r="K88" s="170">
        <v>0</v>
      </c>
      <c r="L88" s="170">
        <v>0</v>
      </c>
      <c r="M88" s="170">
        <v>0</v>
      </c>
      <c r="N88" s="170">
        <v>0</v>
      </c>
      <c r="O88" s="170">
        <v>0</v>
      </c>
      <c r="P88" s="169">
        <v>0</v>
      </c>
      <c r="Q88" s="169">
        <v>0</v>
      </c>
      <c r="R88" s="169">
        <v>0</v>
      </c>
      <c r="S88" s="170">
        <v>0</v>
      </c>
      <c r="T88" s="170">
        <v>0</v>
      </c>
      <c r="U88" s="171">
        <v>0</v>
      </c>
      <c r="V88" s="171">
        <v>0</v>
      </c>
      <c r="W88" s="171">
        <v>0</v>
      </c>
      <c r="X88" s="171">
        <v>0</v>
      </c>
      <c r="Y88" s="171">
        <v>0</v>
      </c>
      <c r="Z88" s="171">
        <v>0</v>
      </c>
      <c r="AA88" s="171">
        <v>0</v>
      </c>
      <c r="AB88" s="171">
        <v>0</v>
      </c>
      <c r="AC88" s="171">
        <v>0</v>
      </c>
      <c r="AD88" s="171">
        <v>0</v>
      </c>
      <c r="AE88" s="171">
        <v>0</v>
      </c>
      <c r="AF88" s="171">
        <v>0</v>
      </c>
      <c r="AG88" s="171">
        <v>0</v>
      </c>
      <c r="AH88" s="171">
        <v>0</v>
      </c>
      <c r="AI88" s="171">
        <v>0</v>
      </c>
      <c r="AJ88" s="171">
        <v>0</v>
      </c>
      <c r="AK88" s="171">
        <v>0</v>
      </c>
      <c r="AL88" s="172">
        <v>0</v>
      </c>
      <c r="AM88" s="172">
        <f>IF(char2WeapToggle, (16+(char2Refine-1)*4), 0)%</f>
        <v>0.32</v>
      </c>
      <c r="AN88" s="172">
        <v>0</v>
      </c>
      <c r="AO88" s="172">
        <v>0</v>
      </c>
      <c r="AP88" s="172">
        <v>0</v>
      </c>
      <c r="AQ88" s="172">
        <v>0</v>
      </c>
      <c r="AR88" s="172">
        <v>0</v>
      </c>
      <c r="AS88" s="172">
        <v>0</v>
      </c>
      <c r="AT88" s="172">
        <v>0</v>
      </c>
      <c r="AU88" s="172">
        <v>0</v>
      </c>
      <c r="AV88" s="172">
        <v>0</v>
      </c>
      <c r="AW88" s="172">
        <v>0</v>
      </c>
      <c r="AX88" s="172">
        <v>0</v>
      </c>
      <c r="AY88" s="172">
        <v>0</v>
      </c>
      <c r="AZ88" s="172">
        <v>0</v>
      </c>
      <c r="BA88" s="172">
        <v>0</v>
      </c>
      <c r="BB88" s="172">
        <v>0</v>
      </c>
      <c r="BC88" s="172">
        <v>0</v>
      </c>
      <c r="BD88" s="172">
        <v>0</v>
      </c>
      <c r="BE88" s="172">
        <v>0</v>
      </c>
      <c r="BF88" s="172">
        <v>0</v>
      </c>
      <c r="BG88" s="172">
        <v>0</v>
      </c>
      <c r="BH88" s="174">
        <v>0</v>
      </c>
      <c r="BI88" s="174">
        <v>0</v>
      </c>
      <c r="BJ88" s="174">
        <v>0</v>
      </c>
      <c r="BK88" s="174">
        <v>0</v>
      </c>
      <c r="BL88" s="174">
        <v>0</v>
      </c>
      <c r="BM88" s="174">
        <v>0</v>
      </c>
      <c r="BN88" s="174">
        <v>0</v>
      </c>
      <c r="BO88" s="174">
        <v>0</v>
      </c>
      <c r="BP88" s="174">
        <v>0</v>
      </c>
      <c r="BQ88" s="174">
        <v>0</v>
      </c>
      <c r="BR88" s="174">
        <v>0</v>
      </c>
      <c r="BS88" s="174">
        <v>0</v>
      </c>
      <c r="BT88" s="174">
        <v>0</v>
      </c>
      <c r="BU88" s="174">
        <v>0</v>
      </c>
      <c r="BV88" s="174">
        <v>0</v>
      </c>
      <c r="BW88" s="174">
        <v>0</v>
      </c>
      <c r="BX88" s="174">
        <v>0</v>
      </c>
      <c r="BY88" s="174">
        <v>0</v>
      </c>
      <c r="BZ88" s="174">
        <v>0</v>
      </c>
      <c r="CA88" s="177">
        <v>0</v>
      </c>
      <c r="CB88" s="72">
        <v>0</v>
      </c>
      <c r="CC88" s="176">
        <v>0</v>
      </c>
      <c r="CD88" s="176">
        <v>0</v>
      </c>
      <c r="CE88" s="176">
        <v>0</v>
      </c>
      <c r="CF88" s="176">
        <v>0</v>
      </c>
      <c r="CG88" s="177">
        <v>0</v>
      </c>
      <c r="CH88" s="176">
        <v>0</v>
      </c>
      <c r="CI88" s="177">
        <v>0</v>
      </c>
      <c r="CJ88" s="177">
        <v>0</v>
      </c>
      <c r="CK88" s="177">
        <v>0</v>
      </c>
      <c r="CL88" s="176">
        <v>0</v>
      </c>
      <c r="CM88" s="176">
        <v>0</v>
      </c>
      <c r="CN88" s="176">
        <v>0</v>
      </c>
      <c r="CO88" s="176">
        <v>0</v>
      </c>
      <c r="CP88" s="177">
        <v>0</v>
      </c>
      <c r="CQ88" s="176">
        <v>0</v>
      </c>
      <c r="CR88" s="176">
        <v>0</v>
      </c>
      <c r="CS88" s="176">
        <v>0</v>
      </c>
    </row>
    <row r="89" spans="1:97" x14ac:dyDescent="0.25">
      <c r="A89" s="46" t="s">
        <v>80</v>
      </c>
      <c r="B89" s="168">
        <v>0</v>
      </c>
      <c r="C89" s="169">
        <v>0</v>
      </c>
      <c r="D89" s="169">
        <v>0</v>
      </c>
      <c r="E89" s="170">
        <v>0</v>
      </c>
      <c r="F89" s="169">
        <v>0</v>
      </c>
      <c r="G89" s="170">
        <v>0</v>
      </c>
      <c r="H89" s="170">
        <v>0</v>
      </c>
      <c r="I89" s="170">
        <v>0</v>
      </c>
      <c r="J89" s="170">
        <v>0</v>
      </c>
      <c r="K89" s="170">
        <v>0</v>
      </c>
      <c r="L89" s="170">
        <v>0</v>
      </c>
      <c r="M89" s="170">
        <v>0</v>
      </c>
      <c r="N89" s="170">
        <v>0</v>
      </c>
      <c r="O89" s="170">
        <v>0</v>
      </c>
      <c r="P89" s="169">
        <v>0</v>
      </c>
      <c r="Q89" s="169">
        <v>0</v>
      </c>
      <c r="R89" s="169">
        <v>0</v>
      </c>
      <c r="S89" s="170">
        <v>0</v>
      </c>
      <c r="T89" s="170">
        <v>0</v>
      </c>
      <c r="U89" s="171">
        <v>0</v>
      </c>
      <c r="V89" s="171">
        <v>0</v>
      </c>
      <c r="W89" s="171">
        <v>0</v>
      </c>
      <c r="X89" s="171">
        <v>0</v>
      </c>
      <c r="Y89" s="171">
        <v>0</v>
      </c>
      <c r="Z89" s="171">
        <v>0</v>
      </c>
      <c r="AA89" s="171">
        <f>(6+(char2Refine-1)*1.5)%</f>
        <v>0.12</v>
      </c>
      <c r="AB89" s="171">
        <v>0</v>
      </c>
      <c r="AC89" s="171">
        <v>0</v>
      </c>
      <c r="AD89" s="171">
        <v>0</v>
      </c>
      <c r="AE89" s="171">
        <v>0</v>
      </c>
      <c r="AF89" s="171">
        <v>0</v>
      </c>
      <c r="AG89" s="171">
        <v>0</v>
      </c>
      <c r="AH89" s="171">
        <v>0</v>
      </c>
      <c r="AI89" s="171">
        <v>0</v>
      </c>
      <c r="AJ89" s="171">
        <v>0</v>
      </c>
      <c r="AK89" s="171">
        <v>0</v>
      </c>
      <c r="AL89" s="172">
        <v>0</v>
      </c>
      <c r="AM89" s="172">
        <v>0</v>
      </c>
      <c r="AN89" s="172">
        <v>0</v>
      </c>
      <c r="AO89" s="172">
        <v>0</v>
      </c>
      <c r="AP89" s="172">
        <v>0</v>
      </c>
      <c r="AQ89" s="172">
        <v>0</v>
      </c>
      <c r="AR89" s="172">
        <f>(16+(char2Refine-1)*4)%</f>
        <v>0.32</v>
      </c>
      <c r="AS89" s="172">
        <v>0</v>
      </c>
      <c r="AT89" s="172">
        <v>0</v>
      </c>
      <c r="AU89" s="172">
        <v>0</v>
      </c>
      <c r="AV89" s="172">
        <v>0</v>
      </c>
      <c r="AW89" s="172">
        <v>0</v>
      </c>
      <c r="AX89" s="172">
        <v>0</v>
      </c>
      <c r="AY89" s="172">
        <v>0</v>
      </c>
      <c r="AZ89" s="172">
        <v>0</v>
      </c>
      <c r="BA89" s="172">
        <v>0</v>
      </c>
      <c r="BB89" s="172">
        <v>0</v>
      </c>
      <c r="BC89" s="172">
        <v>0</v>
      </c>
      <c r="BD89" s="172">
        <v>0</v>
      </c>
      <c r="BE89" s="172">
        <v>0</v>
      </c>
      <c r="BF89" s="172">
        <v>0</v>
      </c>
      <c r="BG89" s="172">
        <v>0</v>
      </c>
      <c r="BH89" s="174">
        <v>0</v>
      </c>
      <c r="BI89" s="174">
        <v>0</v>
      </c>
      <c r="BJ89" s="174">
        <v>0</v>
      </c>
      <c r="BK89" s="174">
        <v>0</v>
      </c>
      <c r="BL89" s="174">
        <v>0</v>
      </c>
      <c r="BM89" s="174">
        <v>0</v>
      </c>
      <c r="BN89" s="174">
        <v>0</v>
      </c>
      <c r="BO89" s="174">
        <v>0</v>
      </c>
      <c r="BP89" s="174">
        <f>IF(char2WeapToggle, 20+(char2Refine-1)*5,0)%</f>
        <v>0.4</v>
      </c>
      <c r="BQ89" s="174">
        <v>0</v>
      </c>
      <c r="BR89" s="174">
        <v>0</v>
      </c>
      <c r="BS89" s="174">
        <v>0</v>
      </c>
      <c r="BT89" s="174">
        <v>0</v>
      </c>
      <c r="BU89" s="174">
        <v>0</v>
      </c>
      <c r="BV89" s="174">
        <v>0</v>
      </c>
      <c r="BW89" s="174">
        <v>0</v>
      </c>
      <c r="BX89" s="174">
        <v>0</v>
      </c>
      <c r="BY89" s="174">
        <v>0</v>
      </c>
      <c r="BZ89" s="174">
        <v>0</v>
      </c>
      <c r="CA89" s="177">
        <v>0</v>
      </c>
      <c r="CB89" s="72">
        <f>12%+(char2Refine-1)*3%</f>
        <v>0.24</v>
      </c>
      <c r="CC89" s="176">
        <v>0</v>
      </c>
      <c r="CD89" s="176">
        <v>0</v>
      </c>
      <c r="CE89" s="176">
        <v>0</v>
      </c>
      <c r="CF89" s="176">
        <v>0</v>
      </c>
      <c r="CG89" s="177">
        <v>0</v>
      </c>
      <c r="CH89" s="176">
        <v>0</v>
      </c>
      <c r="CI89" s="177">
        <v>0</v>
      </c>
      <c r="CJ89" s="177">
        <v>0</v>
      </c>
      <c r="CK89" s="177">
        <v>0</v>
      </c>
      <c r="CL89" s="176">
        <v>0</v>
      </c>
      <c r="CM89" s="176">
        <v>0</v>
      </c>
      <c r="CN89" s="176">
        <v>0</v>
      </c>
      <c r="CO89" s="176">
        <f>(24+(char2Refine-1)*6)%</f>
        <v>0.48</v>
      </c>
      <c r="CP89" s="177">
        <v>0</v>
      </c>
      <c r="CQ89" s="176">
        <f>IF(char2WeapToggle, 20+(char2Refine-1)*5, 0)%</f>
        <v>0.4</v>
      </c>
      <c r="CR89" s="176">
        <v>0</v>
      </c>
      <c r="CS89" s="176">
        <v>0</v>
      </c>
    </row>
    <row r="90" spans="1:97" x14ac:dyDescent="0.25">
      <c r="A90" s="46" t="s">
        <v>81</v>
      </c>
      <c r="B90" s="168">
        <v>0</v>
      </c>
      <c r="C90" s="169">
        <v>0</v>
      </c>
      <c r="D90" s="169">
        <v>0</v>
      </c>
      <c r="E90" s="170">
        <v>0</v>
      </c>
      <c r="F90" s="169">
        <v>0</v>
      </c>
      <c r="G90" s="170">
        <v>0</v>
      </c>
      <c r="H90" s="170">
        <v>0</v>
      </c>
      <c r="I90" s="170">
        <v>0</v>
      </c>
      <c r="J90" s="170">
        <v>0</v>
      </c>
      <c r="K90" s="170">
        <v>0</v>
      </c>
      <c r="L90" s="170">
        <v>0</v>
      </c>
      <c r="M90" s="170">
        <v>0</v>
      </c>
      <c r="N90" s="170">
        <v>0</v>
      </c>
      <c r="O90" s="170">
        <v>0</v>
      </c>
      <c r="P90" s="169">
        <f>(12+(char2Refine-1)*3)%</f>
        <v>0.24</v>
      </c>
      <c r="Q90" s="169">
        <v>0</v>
      </c>
      <c r="R90" s="169">
        <v>0</v>
      </c>
      <c r="S90" s="170">
        <f>MIN((40+(char2Refine-1)*10)%, char2WeapStacks*(0.12%+(char2Refine-1)*0.03%))</f>
        <v>2.3999999999999998E-3</v>
      </c>
      <c r="T90" s="170">
        <v>0</v>
      </c>
      <c r="U90" s="171">
        <v>0</v>
      </c>
      <c r="V90" s="171">
        <v>0</v>
      </c>
      <c r="W90" s="171">
        <v>0</v>
      </c>
      <c r="X90" s="171">
        <v>0</v>
      </c>
      <c r="Y90" s="171">
        <v>0</v>
      </c>
      <c r="Z90" s="171">
        <f>(16+(char2Refine-1)*4)%</f>
        <v>0.32</v>
      </c>
      <c r="AA90" s="171">
        <v>0</v>
      </c>
      <c r="AB90" s="171">
        <v>0</v>
      </c>
      <c r="AC90" s="171">
        <v>0</v>
      </c>
      <c r="AD90" s="171">
        <v>0</v>
      </c>
      <c r="AE90" s="171">
        <v>0</v>
      </c>
      <c r="AF90" s="171">
        <v>0</v>
      </c>
      <c r="AG90" s="171">
        <v>0</v>
      </c>
      <c r="AH90" s="171">
        <v>0</v>
      </c>
      <c r="AI90" s="171">
        <v>0</v>
      </c>
      <c r="AJ90" s="171">
        <v>0</v>
      </c>
      <c r="AK90" s="171">
        <v>0</v>
      </c>
      <c r="AL90" s="172">
        <v>0</v>
      </c>
      <c r="AM90" s="172">
        <v>0</v>
      </c>
      <c r="AN90" s="172">
        <v>0</v>
      </c>
      <c r="AO90" s="172">
        <v>0</v>
      </c>
      <c r="AP90" s="172">
        <v>0</v>
      </c>
      <c r="AQ90" s="172">
        <v>0</v>
      </c>
      <c r="AR90" s="172">
        <v>0</v>
      </c>
      <c r="AS90" s="172">
        <v>0</v>
      </c>
      <c r="AT90" s="172">
        <v>0</v>
      </c>
      <c r="AU90" s="172">
        <v>0</v>
      </c>
      <c r="AV90" s="172">
        <v>0</v>
      </c>
      <c r="AW90" s="172">
        <v>0</v>
      </c>
      <c r="AX90" s="172">
        <v>0</v>
      </c>
      <c r="AY90" s="172">
        <v>0</v>
      </c>
      <c r="AZ90" s="172">
        <v>0</v>
      </c>
      <c r="BA90" s="172">
        <v>0</v>
      </c>
      <c r="BB90" s="172">
        <v>0</v>
      </c>
      <c r="BC90" s="172">
        <v>0</v>
      </c>
      <c r="BD90" s="172">
        <v>0</v>
      </c>
      <c r="BE90" s="172">
        <v>0</v>
      </c>
      <c r="BF90" s="172">
        <v>0</v>
      </c>
      <c r="BG90" s="172">
        <v>0</v>
      </c>
      <c r="BH90" s="174">
        <v>0</v>
      </c>
      <c r="BI90" s="174">
        <v>0</v>
      </c>
      <c r="BJ90" s="174">
        <v>0</v>
      </c>
      <c r="BK90" s="174">
        <v>0</v>
      </c>
      <c r="BL90" s="174">
        <v>0</v>
      </c>
      <c r="BM90" s="174">
        <v>0</v>
      </c>
      <c r="BN90" s="174">
        <v>0</v>
      </c>
      <c r="BO90" s="174">
        <v>0</v>
      </c>
      <c r="BP90" s="174">
        <f>IF(char2WeapToggle, 20+(char2Refine-1)*5,0)%</f>
        <v>0.4</v>
      </c>
      <c r="BQ90" s="174">
        <v>0</v>
      </c>
      <c r="BR90" s="174">
        <v>0</v>
      </c>
      <c r="BS90" s="174">
        <v>0</v>
      </c>
      <c r="BT90" s="174">
        <v>0</v>
      </c>
      <c r="BU90" s="174">
        <v>0</v>
      </c>
      <c r="BV90" s="174">
        <v>0</v>
      </c>
      <c r="BW90" s="174">
        <v>0</v>
      </c>
      <c r="BX90" s="174">
        <v>0</v>
      </c>
      <c r="BY90" s="174">
        <v>0</v>
      </c>
      <c r="BZ90" s="174">
        <v>0</v>
      </c>
      <c r="CA90" s="177">
        <v>0</v>
      </c>
      <c r="CB90" s="72">
        <f>12%+(char2Refine-1)*3%</f>
        <v>0.24</v>
      </c>
      <c r="CC90" s="176">
        <v>0</v>
      </c>
      <c r="CD90" s="176">
        <v>0</v>
      </c>
      <c r="CE90" s="176">
        <v>0</v>
      </c>
      <c r="CF90" s="176">
        <v>0</v>
      </c>
      <c r="CG90" s="177">
        <v>0</v>
      </c>
      <c r="CH90" s="176">
        <v>0</v>
      </c>
      <c r="CI90" s="177">
        <v>0</v>
      </c>
      <c r="CJ90" s="177">
        <v>0</v>
      </c>
      <c r="CK90" s="177">
        <v>0</v>
      </c>
      <c r="CL90" s="176">
        <v>0</v>
      </c>
      <c r="CM90" s="176">
        <v>0</v>
      </c>
      <c r="CN90" s="176">
        <v>0</v>
      </c>
      <c r="CO90" s="176">
        <f>(24+(char2Refine-1)*6)%</f>
        <v>0.48</v>
      </c>
      <c r="CP90" s="177">
        <v>0</v>
      </c>
      <c r="CQ90" s="176">
        <v>0</v>
      </c>
      <c r="CR90" s="176">
        <v>0</v>
      </c>
      <c r="CS90" s="176">
        <v>0</v>
      </c>
    </row>
    <row r="91" spans="1:97" x14ac:dyDescent="0.25">
      <c r="A91" t="s">
        <v>82</v>
      </c>
      <c r="B91" s="168">
        <f>(8+(char2Refine-1)*2)%</f>
        <v>0.16</v>
      </c>
      <c r="C91" s="169">
        <v>0</v>
      </c>
      <c r="D91" s="169">
        <v>0</v>
      </c>
      <c r="E91" s="170">
        <v>0</v>
      </c>
      <c r="F91" s="169">
        <v>0</v>
      </c>
      <c r="G91" s="170">
        <f>char2WeapStacks*(6+(char2Refine-1))%</f>
        <v>0.1</v>
      </c>
      <c r="H91" s="170">
        <f>IF(char2WeapToggle, 12+(char2Refine-1)*3)%</f>
        <v>0.24</v>
      </c>
      <c r="I91" s="170">
        <v>0</v>
      </c>
      <c r="J91" s="170">
        <v>0</v>
      </c>
      <c r="K91" s="170">
        <v>0</v>
      </c>
      <c r="L91" s="170">
        <v>0</v>
      </c>
      <c r="M91" s="170">
        <f>IF(char2WeapToggle, 20+(char2Refine-1)*4, 0)%</f>
        <v>0.36</v>
      </c>
      <c r="N91" s="170">
        <v>0</v>
      </c>
      <c r="O91" s="170">
        <v>0</v>
      </c>
      <c r="P91" s="169">
        <v>0</v>
      </c>
      <c r="Q91" s="169">
        <v>0</v>
      </c>
      <c r="R91" s="169">
        <v>0</v>
      </c>
      <c r="S91" s="170">
        <v>0</v>
      </c>
      <c r="T91" s="170">
        <v>0</v>
      </c>
      <c r="U91" s="171">
        <v>0</v>
      </c>
      <c r="V91" s="171">
        <v>0</v>
      </c>
      <c r="W91" s="171">
        <f>IF(char2WeapStacks&gt;=7,(12+(char2Refine-1)*3),0)%</f>
        <v>0</v>
      </c>
      <c r="X91" s="171">
        <v>0</v>
      </c>
      <c r="Y91" s="171">
        <v>0</v>
      </c>
      <c r="Z91" s="171">
        <v>0</v>
      </c>
      <c r="AA91" s="171">
        <v>0</v>
      </c>
      <c r="AB91" s="171">
        <v>0</v>
      </c>
      <c r="AC91" s="171">
        <v>0</v>
      </c>
      <c r="AD91" s="171">
        <v>0</v>
      </c>
      <c r="AE91" s="171">
        <v>0</v>
      </c>
      <c r="AF91" s="171">
        <f>IF(char2WeapToggle,(20+(char2Refine-1)*4),0)%</f>
        <v>0.36</v>
      </c>
      <c r="AG91" s="171">
        <v>0</v>
      </c>
      <c r="AH91" s="171">
        <v>0</v>
      </c>
      <c r="AI91" s="171">
        <v>0</v>
      </c>
      <c r="AJ91" s="171">
        <v>0</v>
      </c>
      <c r="AK91" s="171">
        <f>IF(char2WeapToggle,(40+(char2Refine-1)*10),0)%</f>
        <v>0.8</v>
      </c>
      <c r="AL91" s="172">
        <v>0</v>
      </c>
      <c r="AM91" s="172">
        <f>(10+(char2Refine-1)*2.5)%</f>
        <v>0.2</v>
      </c>
      <c r="AN91" s="172">
        <v>0</v>
      </c>
      <c r="AO91" s="172">
        <v>0</v>
      </c>
      <c r="AP91" s="172">
        <v>0</v>
      </c>
      <c r="AQ91" s="172">
        <v>0</v>
      </c>
      <c r="AR91" s="172">
        <v>0</v>
      </c>
      <c r="AS91" s="172">
        <v>0</v>
      </c>
      <c r="AT91" s="172">
        <v>0</v>
      </c>
      <c r="AU91" s="172">
        <f>IF(char2WeapToggle,(12+(char2Refine-1)*3),0)%</f>
        <v>0.24</v>
      </c>
      <c r="AV91" s="172">
        <v>0</v>
      </c>
      <c r="AW91" s="172">
        <v>0</v>
      </c>
      <c r="AX91" s="172">
        <v>0</v>
      </c>
      <c r="AY91" s="172">
        <f>IF(char2WeapToggle,(20+(char2Refine-1)*4),0)%</f>
        <v>0.36</v>
      </c>
      <c r="AZ91" s="172">
        <f>(char2WeapStacks*(6+(char2Refine-1)*1.5))%</f>
        <v>0.12</v>
      </c>
      <c r="BA91" s="172">
        <v>0</v>
      </c>
      <c r="BB91" s="172">
        <v>0</v>
      </c>
      <c r="BC91" s="172">
        <v>0</v>
      </c>
      <c r="BD91" s="172">
        <v>0</v>
      </c>
      <c r="BE91" s="172">
        <v>0</v>
      </c>
      <c r="BF91" s="172">
        <v>0</v>
      </c>
      <c r="BG91" s="172">
        <v>0</v>
      </c>
      <c r="BH91" s="174">
        <v>0</v>
      </c>
      <c r="BI91" s="174">
        <v>0</v>
      </c>
      <c r="BJ91" s="174">
        <v>0</v>
      </c>
      <c r="BK91" s="174">
        <v>0</v>
      </c>
      <c r="BL91" s="174">
        <v>0</v>
      </c>
      <c r="BM91" s="174">
        <v>0</v>
      </c>
      <c r="BN91" s="174">
        <v>0</v>
      </c>
      <c r="BO91" s="174">
        <v>0</v>
      </c>
      <c r="BP91" s="174">
        <v>0</v>
      </c>
      <c r="BQ91" s="174">
        <v>0</v>
      </c>
      <c r="BR91" s="174">
        <v>0</v>
      </c>
      <c r="BS91" s="174">
        <v>0</v>
      </c>
      <c r="BT91" s="174">
        <v>0</v>
      </c>
      <c r="BU91" s="174">
        <v>0</v>
      </c>
      <c r="BV91" s="174">
        <v>0</v>
      </c>
      <c r="BW91" s="174">
        <f>IF(char2WeapToggle, 12+(char2Refine-1)*3, 0)%</f>
        <v>0.24</v>
      </c>
      <c r="BX91" s="174">
        <v>0</v>
      </c>
      <c r="BY91" s="174">
        <f>IF(char2WeapToggle, 10+(char2Refine-1)*2.5,0)%</f>
        <v>0.2</v>
      </c>
      <c r="BZ91" s="174">
        <v>0</v>
      </c>
      <c r="CA91" s="177">
        <v>0</v>
      </c>
      <c r="CB91" s="72">
        <v>0</v>
      </c>
      <c r="CC91" s="176">
        <v>0</v>
      </c>
      <c r="CD91" s="176">
        <v>0</v>
      </c>
      <c r="CE91" s="176">
        <v>0</v>
      </c>
      <c r="CF91" s="176">
        <v>0</v>
      </c>
      <c r="CG91" s="177">
        <v>0</v>
      </c>
      <c r="CH91" s="176">
        <v>0</v>
      </c>
      <c r="CI91" s="177">
        <v>0</v>
      </c>
      <c r="CJ91" s="177">
        <v>0</v>
      </c>
      <c r="CK91" s="177">
        <v>0</v>
      </c>
      <c r="CL91" s="176">
        <f>IF(char2WeapToggle, 20%+(char2Refine-1)*4%, 0%)</f>
        <v>0.36</v>
      </c>
      <c r="CM91" s="176">
        <v>0</v>
      </c>
      <c r="CN91" s="176">
        <v>0</v>
      </c>
      <c r="CO91" s="176">
        <v>0</v>
      </c>
      <c r="CP91" s="177">
        <v>0</v>
      </c>
      <c r="CQ91" s="176">
        <v>0</v>
      </c>
      <c r="CR91" s="176">
        <v>0</v>
      </c>
      <c r="CS91" s="176">
        <v>0</v>
      </c>
    </row>
    <row r="92" spans="1:97" x14ac:dyDescent="0.25">
      <c r="A92" t="s">
        <v>458</v>
      </c>
      <c r="B92" s="168">
        <v>0</v>
      </c>
      <c r="C92" s="170">
        <f>(20+(char2Refine-1)*5)%</f>
        <v>0.4</v>
      </c>
      <c r="D92" s="169">
        <v>0</v>
      </c>
      <c r="E92" s="170">
        <v>0</v>
      </c>
      <c r="F92" s="169">
        <v>0</v>
      </c>
      <c r="G92" s="170">
        <v>0</v>
      </c>
      <c r="H92" s="170">
        <v>0</v>
      </c>
      <c r="I92" s="170">
        <v>0</v>
      </c>
      <c r="J92" s="170">
        <v>0</v>
      </c>
      <c r="K92" s="170">
        <v>0</v>
      </c>
      <c r="L92" s="170">
        <v>0</v>
      </c>
      <c r="M92" s="170">
        <v>0</v>
      </c>
      <c r="N92" s="170">
        <v>0</v>
      </c>
      <c r="O92" s="170">
        <v>0</v>
      </c>
      <c r="P92" s="169">
        <v>0</v>
      </c>
      <c r="Q92" s="169">
        <v>0</v>
      </c>
      <c r="R92" s="169">
        <v>0</v>
      </c>
      <c r="S92" s="170">
        <v>0</v>
      </c>
      <c r="T92" s="170">
        <v>0</v>
      </c>
      <c r="U92" s="171">
        <v>0</v>
      </c>
      <c r="V92" s="171">
        <v>0</v>
      </c>
      <c r="W92" s="171">
        <v>0</v>
      </c>
      <c r="X92" s="171">
        <f>(20+5*(char2Refine-1))%</f>
        <v>0.4</v>
      </c>
      <c r="Y92" s="171">
        <v>0</v>
      </c>
      <c r="Z92" s="171">
        <v>0</v>
      </c>
      <c r="AA92" s="171">
        <v>0</v>
      </c>
      <c r="AB92" s="171">
        <v>0</v>
      </c>
      <c r="AC92" s="171">
        <v>0</v>
      </c>
      <c r="AD92" s="171">
        <v>0</v>
      </c>
      <c r="AE92" s="171">
        <v>0</v>
      </c>
      <c r="AF92" s="171">
        <v>0</v>
      </c>
      <c r="AG92" s="171">
        <v>0</v>
      </c>
      <c r="AH92" s="171">
        <v>0</v>
      </c>
      <c r="AI92" s="171">
        <v>0</v>
      </c>
      <c r="AJ92" s="171">
        <v>0</v>
      </c>
      <c r="AK92" s="171">
        <v>0</v>
      </c>
      <c r="AL92" s="172">
        <v>0</v>
      </c>
      <c r="AM92" s="172">
        <v>0</v>
      </c>
      <c r="AN92" s="172">
        <v>0</v>
      </c>
      <c r="AO92" s="172">
        <f>(20+5*(char2Refine-1))%</f>
        <v>0.4</v>
      </c>
      <c r="AP92" s="172">
        <v>0</v>
      </c>
      <c r="AQ92" s="172">
        <v>0</v>
      </c>
      <c r="AR92" s="172">
        <v>0</v>
      </c>
      <c r="AS92" s="172">
        <v>0</v>
      </c>
      <c r="AT92" s="172">
        <v>0</v>
      </c>
      <c r="AU92" s="172">
        <v>0</v>
      </c>
      <c r="AV92" s="172">
        <v>0</v>
      </c>
      <c r="AW92" s="172">
        <v>0</v>
      </c>
      <c r="AX92" s="172">
        <v>0</v>
      </c>
      <c r="AY92" s="172">
        <v>0</v>
      </c>
      <c r="AZ92" s="172">
        <v>0</v>
      </c>
      <c r="BA92" s="172">
        <v>0</v>
      </c>
      <c r="BB92" s="172">
        <v>0</v>
      </c>
      <c r="BC92" s="172">
        <v>0</v>
      </c>
      <c r="BD92" s="172">
        <v>0</v>
      </c>
      <c r="BE92" s="172">
        <v>0</v>
      </c>
      <c r="BF92" s="172">
        <v>0</v>
      </c>
      <c r="BG92" s="172">
        <v>0</v>
      </c>
      <c r="BH92" s="174">
        <f>(20+5*(char2Refine-1))%</f>
        <v>0.4</v>
      </c>
      <c r="BI92" s="174">
        <v>0</v>
      </c>
      <c r="BJ92" s="174">
        <v>0</v>
      </c>
      <c r="BK92" s="174">
        <v>0</v>
      </c>
      <c r="BL92" s="174">
        <v>0</v>
      </c>
      <c r="BM92" s="174">
        <v>0</v>
      </c>
      <c r="BN92" s="174">
        <v>0</v>
      </c>
      <c r="BO92" s="174">
        <v>0</v>
      </c>
      <c r="BP92" s="174">
        <v>0</v>
      </c>
      <c r="BQ92" s="174">
        <v>0</v>
      </c>
      <c r="BR92" s="174">
        <v>0</v>
      </c>
      <c r="BS92" s="174">
        <v>0</v>
      </c>
      <c r="BT92" s="174">
        <v>0</v>
      </c>
      <c r="BU92" s="174">
        <v>0</v>
      </c>
      <c r="BV92" s="174">
        <v>0</v>
      </c>
      <c r="BW92" s="174">
        <v>0</v>
      </c>
      <c r="BX92" s="174">
        <v>0</v>
      </c>
      <c r="BY92" s="174">
        <v>0</v>
      </c>
      <c r="BZ92" s="174">
        <v>0</v>
      </c>
      <c r="CA92" s="177">
        <v>0</v>
      </c>
      <c r="CB92" s="72">
        <v>0</v>
      </c>
      <c r="CC92" s="176">
        <v>0</v>
      </c>
      <c r="CD92" s="176">
        <v>0</v>
      </c>
      <c r="CE92" s="176">
        <v>0</v>
      </c>
      <c r="CF92" s="176">
        <v>0</v>
      </c>
      <c r="CG92" s="177">
        <v>0</v>
      </c>
      <c r="CH92" s="176">
        <v>0</v>
      </c>
      <c r="CI92" s="177">
        <v>0</v>
      </c>
      <c r="CJ92" s="177">
        <v>0</v>
      </c>
      <c r="CK92" s="177">
        <v>0</v>
      </c>
      <c r="CL92" s="176">
        <v>0</v>
      </c>
      <c r="CM92" s="176">
        <v>0</v>
      </c>
      <c r="CN92" s="176">
        <v>0</v>
      </c>
      <c r="CO92" s="176">
        <v>0</v>
      </c>
      <c r="CP92" s="177">
        <v>0</v>
      </c>
      <c r="CQ92" s="176">
        <v>0</v>
      </c>
      <c r="CR92" s="176">
        <v>0</v>
      </c>
      <c r="CS92" s="176">
        <v>0</v>
      </c>
    </row>
    <row r="93" spans="1:97" x14ac:dyDescent="0.25">
      <c r="A93" t="s">
        <v>83</v>
      </c>
      <c r="B93" s="168">
        <v>0</v>
      </c>
      <c r="C93" s="170">
        <v>0</v>
      </c>
      <c r="D93" s="169">
        <v>0</v>
      </c>
      <c r="E93" s="170">
        <v>0</v>
      </c>
      <c r="F93" s="169">
        <v>0</v>
      </c>
      <c r="G93" s="170">
        <v>0</v>
      </c>
      <c r="H93" s="170">
        <v>0</v>
      </c>
      <c r="I93" s="170">
        <v>0</v>
      </c>
      <c r="J93" s="170">
        <v>0</v>
      </c>
      <c r="K93" s="170">
        <v>0</v>
      </c>
      <c r="L93" s="170">
        <v>0</v>
      </c>
      <c r="M93" s="170">
        <v>0</v>
      </c>
      <c r="N93" s="170">
        <v>0</v>
      </c>
      <c r="O93" s="170">
        <v>0</v>
      </c>
      <c r="P93" s="169">
        <v>0</v>
      </c>
      <c r="Q93" s="169">
        <v>0</v>
      </c>
      <c r="R93" s="169">
        <v>0</v>
      </c>
      <c r="S93" s="170">
        <v>0</v>
      </c>
      <c r="T93" s="170">
        <v>0</v>
      </c>
      <c r="U93" s="171">
        <v>0</v>
      </c>
      <c r="V93" s="171">
        <v>0</v>
      </c>
      <c r="W93" s="171">
        <v>0</v>
      </c>
      <c r="X93" s="171">
        <v>0</v>
      </c>
      <c r="Y93" s="171">
        <v>0</v>
      </c>
      <c r="Z93" s="171">
        <v>0</v>
      </c>
      <c r="AA93" s="171">
        <v>0</v>
      </c>
      <c r="AB93" s="171">
        <v>0</v>
      </c>
      <c r="AC93" s="171">
        <v>0</v>
      </c>
      <c r="AD93" s="171">
        <v>0</v>
      </c>
      <c r="AE93" s="171">
        <v>0</v>
      </c>
      <c r="AF93" s="171">
        <v>0</v>
      </c>
      <c r="AG93" s="171">
        <v>0</v>
      </c>
      <c r="AH93" s="171">
        <v>0</v>
      </c>
      <c r="AI93" s="171">
        <v>0</v>
      </c>
      <c r="AJ93" s="171">
        <v>0</v>
      </c>
      <c r="AK93" s="171">
        <v>0</v>
      </c>
      <c r="AL93" s="172">
        <v>0</v>
      </c>
      <c r="AM93" s="172">
        <v>0</v>
      </c>
      <c r="AN93" s="172">
        <v>0</v>
      </c>
      <c r="AO93" s="172">
        <v>0</v>
      </c>
      <c r="AP93" s="172">
        <v>0</v>
      </c>
      <c r="AQ93" s="172">
        <v>0</v>
      </c>
      <c r="AR93" s="172">
        <v>0</v>
      </c>
      <c r="AS93" s="172">
        <v>0</v>
      </c>
      <c r="AT93" s="172">
        <v>0</v>
      </c>
      <c r="AU93" s="172">
        <v>0</v>
      </c>
      <c r="AV93" s="172">
        <v>0</v>
      </c>
      <c r="AW93" s="172">
        <v>0</v>
      </c>
      <c r="AX93" s="172">
        <v>0</v>
      </c>
      <c r="AY93" s="172">
        <v>0</v>
      </c>
      <c r="AZ93" s="172">
        <v>0</v>
      </c>
      <c r="BA93" s="172">
        <v>0</v>
      </c>
      <c r="BB93" s="172">
        <v>0</v>
      </c>
      <c r="BC93" s="172">
        <v>0</v>
      </c>
      <c r="BD93" s="172">
        <v>0</v>
      </c>
      <c r="BE93" s="172">
        <v>0</v>
      </c>
      <c r="BF93" s="172">
        <v>0</v>
      </c>
      <c r="BG93" s="172">
        <v>0</v>
      </c>
      <c r="BH93" s="174">
        <v>0</v>
      </c>
      <c r="BI93" s="174">
        <v>0</v>
      </c>
      <c r="BJ93" s="174">
        <v>0</v>
      </c>
      <c r="BK93" s="174">
        <v>0</v>
      </c>
      <c r="BL93" s="174">
        <v>0</v>
      </c>
      <c r="BM93" s="174">
        <v>0</v>
      </c>
      <c r="BN93" s="174">
        <v>0</v>
      </c>
      <c r="BO93" s="174">
        <v>0</v>
      </c>
      <c r="BP93" s="174">
        <v>0</v>
      </c>
      <c r="BQ93" s="174">
        <v>0</v>
      </c>
      <c r="BR93" s="174">
        <v>0</v>
      </c>
      <c r="BS93" s="174">
        <v>0</v>
      </c>
      <c r="BT93" s="174">
        <v>0</v>
      </c>
      <c r="BU93" s="174">
        <v>0</v>
      </c>
      <c r="BV93" s="174">
        <v>0</v>
      </c>
      <c r="BW93" s="174">
        <v>0</v>
      </c>
      <c r="BX93" s="174">
        <v>0</v>
      </c>
      <c r="BY93" s="174">
        <v>0</v>
      </c>
      <c r="BZ93" s="174">
        <v>0</v>
      </c>
      <c r="CA93" s="177">
        <v>0</v>
      </c>
      <c r="CB93" s="72">
        <v>0</v>
      </c>
      <c r="CC93" s="176">
        <v>0</v>
      </c>
      <c r="CD93" s="176">
        <v>0</v>
      </c>
      <c r="CE93" s="176">
        <v>0</v>
      </c>
      <c r="CF93" s="176">
        <v>0</v>
      </c>
      <c r="CG93" s="177">
        <v>0</v>
      </c>
      <c r="CH93" s="176">
        <v>0</v>
      </c>
      <c r="CI93" s="177">
        <v>0</v>
      </c>
      <c r="CJ93" s="177">
        <v>0</v>
      </c>
      <c r="CK93" s="177">
        <v>0</v>
      </c>
      <c r="CL93" s="176">
        <v>0</v>
      </c>
      <c r="CM93" s="176">
        <v>0</v>
      </c>
      <c r="CN93" s="176">
        <v>0</v>
      </c>
      <c r="CO93" s="176">
        <v>0</v>
      </c>
      <c r="CP93" s="177">
        <v>0</v>
      </c>
      <c r="CQ93" s="176">
        <v>0</v>
      </c>
      <c r="CR93" s="176">
        <v>0</v>
      </c>
      <c r="CS93" s="176">
        <v>0</v>
      </c>
    </row>
    <row r="94" spans="1:97" x14ac:dyDescent="0.25">
      <c r="A94" t="s">
        <v>84</v>
      </c>
      <c r="B94" s="168">
        <v>0</v>
      </c>
      <c r="C94" s="170">
        <v>0</v>
      </c>
      <c r="D94" s="169">
        <v>0</v>
      </c>
      <c r="E94" s="170">
        <v>0</v>
      </c>
      <c r="F94" s="169">
        <v>0</v>
      </c>
      <c r="G94" s="170">
        <v>0</v>
      </c>
      <c r="H94" s="170">
        <v>0</v>
      </c>
      <c r="I94" s="170">
        <v>0</v>
      </c>
      <c r="J94" s="170">
        <v>0</v>
      </c>
      <c r="K94" s="170">
        <v>0</v>
      </c>
      <c r="L94" s="170">
        <v>0</v>
      </c>
      <c r="M94" s="170">
        <v>0</v>
      </c>
      <c r="N94" s="170">
        <v>0</v>
      </c>
      <c r="O94" s="170">
        <v>0</v>
      </c>
      <c r="P94" s="169">
        <v>0</v>
      </c>
      <c r="Q94" s="169">
        <v>0</v>
      </c>
      <c r="R94" s="169">
        <v>0</v>
      </c>
      <c r="S94" s="170">
        <v>0</v>
      </c>
      <c r="T94" s="170">
        <v>0</v>
      </c>
      <c r="U94" s="171">
        <v>0</v>
      </c>
      <c r="V94" s="171">
        <v>0</v>
      </c>
      <c r="W94" s="171">
        <v>0</v>
      </c>
      <c r="X94" s="171">
        <v>0</v>
      </c>
      <c r="Y94" s="171">
        <v>0</v>
      </c>
      <c r="Z94" s="171">
        <v>0</v>
      </c>
      <c r="AA94" s="171">
        <v>0</v>
      </c>
      <c r="AB94" s="171">
        <v>0</v>
      </c>
      <c r="AC94" s="171">
        <v>0</v>
      </c>
      <c r="AD94" s="171">
        <v>0</v>
      </c>
      <c r="AE94" s="171">
        <v>0</v>
      </c>
      <c r="AF94" s="171">
        <v>0</v>
      </c>
      <c r="AG94" s="171">
        <v>0</v>
      </c>
      <c r="AH94" s="171">
        <v>0</v>
      </c>
      <c r="AI94" s="171">
        <v>0</v>
      </c>
      <c r="AJ94" s="171">
        <v>0</v>
      </c>
      <c r="AK94" s="171">
        <v>0</v>
      </c>
      <c r="AL94" s="172">
        <v>0</v>
      </c>
      <c r="AM94" s="172">
        <v>0</v>
      </c>
      <c r="AN94" s="172">
        <v>0</v>
      </c>
      <c r="AO94" s="172">
        <v>0</v>
      </c>
      <c r="AP94" s="172">
        <v>0</v>
      </c>
      <c r="AQ94" s="172">
        <v>0</v>
      </c>
      <c r="AR94" s="172">
        <v>0</v>
      </c>
      <c r="AS94" s="172">
        <v>0</v>
      </c>
      <c r="AT94" s="172">
        <v>0</v>
      </c>
      <c r="AU94" s="172">
        <v>0</v>
      </c>
      <c r="AV94" s="172">
        <v>0</v>
      </c>
      <c r="AW94" s="172">
        <v>0</v>
      </c>
      <c r="AX94" s="172">
        <v>0</v>
      </c>
      <c r="AY94" s="172">
        <v>0</v>
      </c>
      <c r="AZ94" s="172">
        <v>0</v>
      </c>
      <c r="BA94" s="172">
        <v>0</v>
      </c>
      <c r="BB94" s="172">
        <v>0</v>
      </c>
      <c r="BC94" s="172">
        <v>0</v>
      </c>
      <c r="BD94" s="172">
        <v>0</v>
      </c>
      <c r="BE94" s="172">
        <v>0</v>
      </c>
      <c r="BF94" s="172">
        <v>0</v>
      </c>
      <c r="BG94" s="172">
        <v>0</v>
      </c>
      <c r="BH94" s="174">
        <v>0</v>
      </c>
      <c r="BI94" s="174">
        <v>0</v>
      </c>
      <c r="BJ94" s="174">
        <v>0</v>
      </c>
      <c r="BK94" s="174">
        <v>0</v>
      </c>
      <c r="BL94" s="174">
        <v>0</v>
      </c>
      <c r="BM94" s="174">
        <v>0</v>
      </c>
      <c r="BN94" s="174">
        <v>0</v>
      </c>
      <c r="BO94" s="174">
        <v>0</v>
      </c>
      <c r="BP94" s="174">
        <v>0</v>
      </c>
      <c r="BQ94" s="174">
        <v>0</v>
      </c>
      <c r="BR94" s="174">
        <v>0</v>
      </c>
      <c r="BS94" s="174">
        <v>0</v>
      </c>
      <c r="BT94" s="174">
        <v>0</v>
      </c>
      <c r="BU94" s="174">
        <v>0</v>
      </c>
      <c r="BV94" s="174">
        <v>0</v>
      </c>
      <c r="BW94" s="174">
        <v>0</v>
      </c>
      <c r="BX94" s="174">
        <v>0</v>
      </c>
      <c r="BY94" s="174">
        <v>0</v>
      </c>
      <c r="BZ94" s="174">
        <v>0</v>
      </c>
      <c r="CA94" s="177">
        <v>0</v>
      </c>
      <c r="CB94" s="72">
        <v>0</v>
      </c>
      <c r="CC94" s="176">
        <v>0</v>
      </c>
      <c r="CD94" s="176">
        <v>0</v>
      </c>
      <c r="CE94" s="176">
        <v>0</v>
      </c>
      <c r="CF94" s="176">
        <v>0</v>
      </c>
      <c r="CG94" s="177">
        <v>0</v>
      </c>
      <c r="CH94" s="176">
        <v>0</v>
      </c>
      <c r="CI94" s="177">
        <v>0</v>
      </c>
      <c r="CJ94" s="177">
        <v>0</v>
      </c>
      <c r="CK94" s="177">
        <v>0</v>
      </c>
      <c r="CL94" s="176">
        <v>0</v>
      </c>
      <c r="CM94" s="176">
        <v>0</v>
      </c>
      <c r="CN94" s="176">
        <v>0</v>
      </c>
      <c r="CO94" s="176">
        <v>0</v>
      </c>
      <c r="CP94" s="177">
        <v>0</v>
      </c>
      <c r="CQ94" s="176">
        <v>0</v>
      </c>
      <c r="CR94" s="176">
        <v>0</v>
      </c>
      <c r="CS94" s="176">
        <v>0</v>
      </c>
    </row>
    <row r="95" spans="1:97" x14ac:dyDescent="0.25">
      <c r="A95" t="s">
        <v>85</v>
      </c>
      <c r="B95" s="168">
        <v>0</v>
      </c>
      <c r="C95" s="170">
        <v>0</v>
      </c>
      <c r="D95" s="169">
        <v>0</v>
      </c>
      <c r="E95" s="170">
        <v>0</v>
      </c>
      <c r="F95" s="169">
        <v>0</v>
      </c>
      <c r="G95" s="170">
        <v>0</v>
      </c>
      <c r="H95" s="170">
        <v>0</v>
      </c>
      <c r="I95" s="170">
        <v>0</v>
      </c>
      <c r="J95" s="170">
        <v>0</v>
      </c>
      <c r="K95" s="170">
        <v>0</v>
      </c>
      <c r="L95" s="170">
        <v>0</v>
      </c>
      <c r="M95" s="170">
        <v>0</v>
      </c>
      <c r="N95" s="170">
        <v>0</v>
      </c>
      <c r="O95" s="170">
        <v>0</v>
      </c>
      <c r="P95" s="169">
        <v>0</v>
      </c>
      <c r="Q95" s="169">
        <v>0</v>
      </c>
      <c r="R95" s="169">
        <v>0</v>
      </c>
      <c r="S95" s="170">
        <v>0</v>
      </c>
      <c r="T95" s="170">
        <v>0</v>
      </c>
      <c r="U95" s="171">
        <v>0</v>
      </c>
      <c r="V95" s="171">
        <v>0</v>
      </c>
      <c r="W95" s="171">
        <v>0</v>
      </c>
      <c r="X95" s="171">
        <v>0</v>
      </c>
      <c r="Y95" s="171">
        <v>0</v>
      </c>
      <c r="Z95" s="171">
        <v>0</v>
      </c>
      <c r="AA95" s="171">
        <v>0</v>
      </c>
      <c r="AB95" s="171">
        <v>0</v>
      </c>
      <c r="AC95" s="171">
        <v>0</v>
      </c>
      <c r="AD95" s="171">
        <v>0</v>
      </c>
      <c r="AE95" s="171">
        <v>0</v>
      </c>
      <c r="AF95" s="171">
        <v>0</v>
      </c>
      <c r="AG95" s="171">
        <v>0</v>
      </c>
      <c r="AH95" s="171">
        <v>0</v>
      </c>
      <c r="AI95" s="171">
        <v>0</v>
      </c>
      <c r="AJ95" s="171">
        <v>0</v>
      </c>
      <c r="AK95" s="171">
        <v>0</v>
      </c>
      <c r="AL95" s="172">
        <v>0</v>
      </c>
      <c r="AM95" s="172">
        <v>0</v>
      </c>
      <c r="AN95" s="172">
        <v>0</v>
      </c>
      <c r="AO95" s="172">
        <v>0</v>
      </c>
      <c r="AP95" s="172">
        <v>0</v>
      </c>
      <c r="AQ95" s="172">
        <v>0</v>
      </c>
      <c r="AR95" s="172">
        <v>0</v>
      </c>
      <c r="AS95" s="172">
        <v>0</v>
      </c>
      <c r="AT95" s="172">
        <v>0</v>
      </c>
      <c r="AU95" s="172">
        <v>0</v>
      </c>
      <c r="AV95" s="172">
        <v>0</v>
      </c>
      <c r="AW95" s="172">
        <v>0</v>
      </c>
      <c r="AX95" s="172">
        <v>0</v>
      </c>
      <c r="AY95" s="172">
        <v>0</v>
      </c>
      <c r="AZ95" s="172">
        <v>0</v>
      </c>
      <c r="BA95" s="172">
        <v>0</v>
      </c>
      <c r="BB95" s="172">
        <v>0</v>
      </c>
      <c r="BC95" s="172">
        <v>0</v>
      </c>
      <c r="BD95" s="172">
        <v>0</v>
      </c>
      <c r="BE95" s="172">
        <v>0</v>
      </c>
      <c r="BF95" s="172">
        <v>0</v>
      </c>
      <c r="BG95" s="172">
        <v>0</v>
      </c>
      <c r="BH95" s="174">
        <v>0</v>
      </c>
      <c r="BI95" s="174">
        <v>0</v>
      </c>
      <c r="BJ95" s="174">
        <v>0</v>
      </c>
      <c r="BK95" s="174">
        <v>0</v>
      </c>
      <c r="BL95" s="174">
        <v>0</v>
      </c>
      <c r="BM95" s="174">
        <v>0</v>
      </c>
      <c r="BN95" s="174">
        <v>0</v>
      </c>
      <c r="BO95" s="174">
        <v>0</v>
      </c>
      <c r="BP95" s="174">
        <v>0</v>
      </c>
      <c r="BQ95" s="174">
        <v>0</v>
      </c>
      <c r="BR95" s="174">
        <v>0</v>
      </c>
      <c r="BS95" s="174">
        <v>0</v>
      </c>
      <c r="BT95" s="174">
        <v>0</v>
      </c>
      <c r="BU95" s="174">
        <v>0</v>
      </c>
      <c r="BV95" s="174">
        <v>0</v>
      </c>
      <c r="BW95" s="174">
        <v>0</v>
      </c>
      <c r="BX95" s="174">
        <v>0</v>
      </c>
      <c r="BY95" s="174">
        <v>0</v>
      </c>
      <c r="BZ95" s="174">
        <v>0</v>
      </c>
      <c r="CA95" s="177">
        <v>0</v>
      </c>
      <c r="CB95" s="72">
        <v>0</v>
      </c>
      <c r="CC95" s="176">
        <v>0</v>
      </c>
      <c r="CD95" s="176">
        <v>0</v>
      </c>
      <c r="CE95" s="176">
        <v>0</v>
      </c>
      <c r="CF95" s="176">
        <v>0</v>
      </c>
      <c r="CG95" s="177">
        <v>0</v>
      </c>
      <c r="CH95" s="176">
        <v>0</v>
      </c>
      <c r="CI95" s="177">
        <v>0</v>
      </c>
      <c r="CJ95" s="177">
        <v>0</v>
      </c>
      <c r="CK95" s="177">
        <v>0</v>
      </c>
      <c r="CL95" s="176">
        <v>0</v>
      </c>
      <c r="CM95" s="176">
        <v>0</v>
      </c>
      <c r="CN95" s="176">
        <v>0</v>
      </c>
      <c r="CO95" s="176">
        <v>0</v>
      </c>
      <c r="CP95" s="177">
        <v>0</v>
      </c>
      <c r="CQ95" s="176">
        <v>0</v>
      </c>
      <c r="CR95" s="176">
        <v>0</v>
      </c>
      <c r="CS95" s="176">
        <v>0</v>
      </c>
    </row>
    <row r="96" spans="1:97" x14ac:dyDescent="0.25">
      <c r="A96" t="s">
        <v>87</v>
      </c>
      <c r="B96" s="168">
        <v>0</v>
      </c>
      <c r="C96" s="170">
        <v>0</v>
      </c>
      <c r="D96" s="169">
        <v>0</v>
      </c>
      <c r="E96" s="170">
        <v>0</v>
      </c>
      <c r="F96" s="169">
        <v>0</v>
      </c>
      <c r="G96" s="170">
        <v>0</v>
      </c>
      <c r="H96" s="170">
        <v>0</v>
      </c>
      <c r="I96" s="170">
        <v>0</v>
      </c>
      <c r="J96" s="170">
        <v>0</v>
      </c>
      <c r="K96" s="170">
        <v>0</v>
      </c>
      <c r="L96" s="170">
        <v>0</v>
      </c>
      <c r="M96" s="170">
        <v>0</v>
      </c>
      <c r="N96" s="170">
        <v>0</v>
      </c>
      <c r="O96" s="170">
        <v>0</v>
      </c>
      <c r="P96" s="169">
        <v>0</v>
      </c>
      <c r="Q96" s="169">
        <v>0</v>
      </c>
      <c r="R96" s="169">
        <v>0</v>
      </c>
      <c r="S96" s="170">
        <v>0</v>
      </c>
      <c r="T96" s="170">
        <v>0</v>
      </c>
      <c r="U96" s="171">
        <v>0</v>
      </c>
      <c r="V96" s="171">
        <v>0</v>
      </c>
      <c r="W96" s="171">
        <v>0</v>
      </c>
      <c r="X96" s="171">
        <v>0</v>
      </c>
      <c r="Y96" s="171">
        <v>0</v>
      </c>
      <c r="Z96" s="171">
        <v>0</v>
      </c>
      <c r="AA96" s="171">
        <v>0</v>
      </c>
      <c r="AB96" s="171">
        <v>0</v>
      </c>
      <c r="AC96" s="171">
        <v>0</v>
      </c>
      <c r="AD96" s="171">
        <v>0</v>
      </c>
      <c r="AE96" s="171">
        <v>0</v>
      </c>
      <c r="AF96" s="171">
        <v>0</v>
      </c>
      <c r="AG96" s="171">
        <v>0</v>
      </c>
      <c r="AH96" s="171">
        <v>0</v>
      </c>
      <c r="AI96" s="171">
        <v>0</v>
      </c>
      <c r="AJ96" s="171">
        <v>0</v>
      </c>
      <c r="AK96" s="171">
        <v>0</v>
      </c>
      <c r="AL96" s="172">
        <v>0</v>
      </c>
      <c r="AM96" s="172">
        <v>0</v>
      </c>
      <c r="AN96" s="172">
        <v>0</v>
      </c>
      <c r="AO96" s="172">
        <v>0</v>
      </c>
      <c r="AP96" s="172">
        <v>0</v>
      </c>
      <c r="AQ96" s="172">
        <v>0</v>
      </c>
      <c r="AR96" s="172">
        <v>0</v>
      </c>
      <c r="AS96" s="172">
        <v>0</v>
      </c>
      <c r="AT96" s="172">
        <v>0</v>
      </c>
      <c r="AU96" s="172">
        <v>0</v>
      </c>
      <c r="AV96" s="172">
        <v>0</v>
      </c>
      <c r="AW96" s="172">
        <v>0</v>
      </c>
      <c r="AX96" s="172">
        <v>0</v>
      </c>
      <c r="AY96" s="172">
        <v>0</v>
      </c>
      <c r="AZ96" s="172">
        <v>0</v>
      </c>
      <c r="BA96" s="172">
        <v>0</v>
      </c>
      <c r="BB96" s="172">
        <v>0</v>
      </c>
      <c r="BC96" s="172">
        <v>0</v>
      </c>
      <c r="BD96" s="172">
        <v>0</v>
      </c>
      <c r="BE96" s="172">
        <v>0</v>
      </c>
      <c r="BF96" s="172">
        <v>0</v>
      </c>
      <c r="BG96" s="172">
        <v>0</v>
      </c>
      <c r="BH96" s="174">
        <v>0</v>
      </c>
      <c r="BI96" s="174">
        <v>0</v>
      </c>
      <c r="BJ96" s="174">
        <v>0</v>
      </c>
      <c r="BK96" s="174">
        <v>0</v>
      </c>
      <c r="BL96" s="174">
        <v>0</v>
      </c>
      <c r="BM96" s="174">
        <v>0</v>
      </c>
      <c r="BN96" s="174">
        <v>0</v>
      </c>
      <c r="BO96" s="174">
        <v>0</v>
      </c>
      <c r="BP96" s="174">
        <v>0</v>
      </c>
      <c r="BQ96" s="174">
        <v>0</v>
      </c>
      <c r="BR96" s="174">
        <v>0</v>
      </c>
      <c r="BS96" s="174">
        <v>0</v>
      </c>
      <c r="BT96" s="174">
        <v>0</v>
      </c>
      <c r="BU96" s="174">
        <v>0</v>
      </c>
      <c r="BV96" s="174">
        <v>0</v>
      </c>
      <c r="BW96" s="174">
        <v>0</v>
      </c>
      <c r="BX96" s="174">
        <v>0</v>
      </c>
      <c r="BY96" s="174">
        <v>0</v>
      </c>
      <c r="BZ96" s="174">
        <v>0</v>
      </c>
      <c r="CA96" s="177">
        <v>0</v>
      </c>
      <c r="CB96" s="72">
        <v>0</v>
      </c>
      <c r="CC96" s="176">
        <v>0</v>
      </c>
      <c r="CD96" s="176">
        <v>0</v>
      </c>
      <c r="CE96" s="176">
        <v>0</v>
      </c>
      <c r="CF96" s="176">
        <v>0</v>
      </c>
      <c r="CG96" s="177">
        <v>0</v>
      </c>
      <c r="CH96" s="176">
        <v>0</v>
      </c>
      <c r="CI96" s="177">
        <v>0</v>
      </c>
      <c r="CJ96" s="177">
        <v>0</v>
      </c>
      <c r="CK96" s="177">
        <v>0</v>
      </c>
      <c r="CL96" s="176">
        <v>0</v>
      </c>
      <c r="CM96" s="176">
        <v>0</v>
      </c>
      <c r="CN96" s="176">
        <v>0</v>
      </c>
      <c r="CO96" s="176">
        <v>0</v>
      </c>
      <c r="CP96" s="177">
        <v>0</v>
      </c>
      <c r="CQ96" s="176">
        <v>0</v>
      </c>
      <c r="CR96" s="176">
        <v>0</v>
      </c>
      <c r="CS96" s="176">
        <v>0</v>
      </c>
    </row>
    <row r="97" spans="1:97" x14ac:dyDescent="0.25">
      <c r="A97" t="s">
        <v>86</v>
      </c>
      <c r="B97" s="168">
        <v>0</v>
      </c>
      <c r="C97" s="170">
        <v>0</v>
      </c>
      <c r="D97" s="169">
        <v>0</v>
      </c>
      <c r="E97" s="170">
        <v>0</v>
      </c>
      <c r="F97" s="169">
        <v>0</v>
      </c>
      <c r="G97" s="170">
        <v>0</v>
      </c>
      <c r="H97" s="170">
        <v>0</v>
      </c>
      <c r="I97" s="170">
        <v>0</v>
      </c>
      <c r="J97" s="170">
        <v>0</v>
      </c>
      <c r="K97" s="170">
        <v>0</v>
      </c>
      <c r="L97" s="170">
        <v>0</v>
      </c>
      <c r="M97" s="170">
        <v>0</v>
      </c>
      <c r="N97" s="170">
        <v>0</v>
      </c>
      <c r="O97" s="170">
        <v>0</v>
      </c>
      <c r="P97" s="169">
        <v>0</v>
      </c>
      <c r="Q97" s="169">
        <v>0</v>
      </c>
      <c r="R97" s="169">
        <v>0</v>
      </c>
      <c r="S97" s="170">
        <v>0</v>
      </c>
      <c r="T97" s="170">
        <v>0</v>
      </c>
      <c r="U97" s="171">
        <v>0</v>
      </c>
      <c r="V97" s="171">
        <v>0</v>
      </c>
      <c r="W97" s="171">
        <v>0</v>
      </c>
      <c r="X97" s="171">
        <v>0</v>
      </c>
      <c r="Y97" s="171">
        <v>0</v>
      </c>
      <c r="Z97" s="171">
        <v>0</v>
      </c>
      <c r="AA97" s="171">
        <v>0</v>
      </c>
      <c r="AB97" s="171">
        <v>0</v>
      </c>
      <c r="AC97" s="171">
        <v>0</v>
      </c>
      <c r="AD97" s="171">
        <v>0</v>
      </c>
      <c r="AE97" s="171">
        <v>0</v>
      </c>
      <c r="AF97" s="171">
        <v>0</v>
      </c>
      <c r="AG97" s="171">
        <v>0</v>
      </c>
      <c r="AH97" s="171">
        <v>0</v>
      </c>
      <c r="AI97" s="171">
        <v>0</v>
      </c>
      <c r="AJ97" s="171">
        <v>0</v>
      </c>
      <c r="AK97" s="171">
        <v>0</v>
      </c>
      <c r="AL97" s="172">
        <v>0</v>
      </c>
      <c r="AM97" s="172">
        <v>0</v>
      </c>
      <c r="AN97" s="172">
        <v>0</v>
      </c>
      <c r="AO97" s="172">
        <v>0</v>
      </c>
      <c r="AP97" s="172">
        <v>0</v>
      </c>
      <c r="AQ97" s="172">
        <v>0</v>
      </c>
      <c r="AR97" s="172">
        <v>0</v>
      </c>
      <c r="AS97" s="172">
        <v>0</v>
      </c>
      <c r="AT97" s="172">
        <v>0</v>
      </c>
      <c r="AU97" s="172">
        <v>0</v>
      </c>
      <c r="AV97" s="172">
        <v>0</v>
      </c>
      <c r="AW97" s="172">
        <v>0</v>
      </c>
      <c r="AX97" s="172">
        <v>0</v>
      </c>
      <c r="AY97" s="172">
        <v>0</v>
      </c>
      <c r="AZ97" s="172">
        <v>0</v>
      </c>
      <c r="BA97" s="172">
        <v>0</v>
      </c>
      <c r="BB97" s="172">
        <v>0</v>
      </c>
      <c r="BC97" s="172">
        <v>0</v>
      </c>
      <c r="BD97" s="172">
        <v>0</v>
      </c>
      <c r="BE97" s="172">
        <v>0</v>
      </c>
      <c r="BF97" s="172">
        <v>0</v>
      </c>
      <c r="BG97" s="172">
        <v>0</v>
      </c>
      <c r="BH97" s="174">
        <v>0</v>
      </c>
      <c r="BI97" s="174">
        <v>0</v>
      </c>
      <c r="BJ97" s="174">
        <v>0</v>
      </c>
      <c r="BK97" s="174">
        <v>0</v>
      </c>
      <c r="BL97" s="174">
        <v>0</v>
      </c>
      <c r="BM97" s="174">
        <v>0</v>
      </c>
      <c r="BN97" s="174">
        <v>0</v>
      </c>
      <c r="BO97" s="174">
        <v>0</v>
      </c>
      <c r="BP97" s="174">
        <v>0</v>
      </c>
      <c r="BQ97" s="174">
        <v>0</v>
      </c>
      <c r="BR97" s="174">
        <v>0</v>
      </c>
      <c r="BS97" s="174">
        <v>0</v>
      </c>
      <c r="BT97" s="174">
        <v>0</v>
      </c>
      <c r="BU97" s="174">
        <v>0</v>
      </c>
      <c r="BV97" s="174">
        <v>0</v>
      </c>
      <c r="BW97" s="174">
        <v>0</v>
      </c>
      <c r="BX97" s="174">
        <v>0</v>
      </c>
      <c r="BY97" s="174">
        <v>0</v>
      </c>
      <c r="BZ97" s="174">
        <v>0</v>
      </c>
      <c r="CA97" s="177">
        <v>0</v>
      </c>
      <c r="CB97" s="72">
        <v>0</v>
      </c>
      <c r="CC97" s="176">
        <v>0</v>
      </c>
      <c r="CD97" s="176">
        <v>0</v>
      </c>
      <c r="CE97" s="176">
        <v>0</v>
      </c>
      <c r="CF97" s="176">
        <v>0</v>
      </c>
      <c r="CG97" s="177">
        <v>0</v>
      </c>
      <c r="CH97" s="176">
        <v>0</v>
      </c>
      <c r="CI97" s="177">
        <v>0</v>
      </c>
      <c r="CJ97" s="177">
        <v>0</v>
      </c>
      <c r="CK97" s="177">
        <v>0</v>
      </c>
      <c r="CL97" s="176">
        <v>0</v>
      </c>
      <c r="CM97" s="176">
        <v>0</v>
      </c>
      <c r="CN97" s="176">
        <v>0</v>
      </c>
      <c r="CO97" s="176">
        <v>0</v>
      </c>
      <c r="CP97" s="177">
        <v>0</v>
      </c>
      <c r="CQ97" s="176">
        <v>0</v>
      </c>
      <c r="CR97" s="176">
        <v>0</v>
      </c>
      <c r="CS97" s="176">
        <v>0</v>
      </c>
    </row>
    <row r="98" spans="1:97" x14ac:dyDescent="0.25">
      <c r="A98" t="s">
        <v>88</v>
      </c>
      <c r="B98" s="168">
        <v>0</v>
      </c>
      <c r="C98" s="170">
        <v>0</v>
      </c>
      <c r="D98" s="169">
        <v>0</v>
      </c>
      <c r="E98" s="170">
        <v>0</v>
      </c>
      <c r="F98" s="169">
        <v>0</v>
      </c>
      <c r="G98" s="170">
        <v>0</v>
      </c>
      <c r="H98" s="170">
        <v>0</v>
      </c>
      <c r="I98" s="170">
        <v>0</v>
      </c>
      <c r="J98" s="170">
        <v>0</v>
      </c>
      <c r="K98" s="170">
        <v>0</v>
      </c>
      <c r="L98" s="170">
        <v>0</v>
      </c>
      <c r="M98" s="170">
        <v>0</v>
      </c>
      <c r="N98" s="170">
        <v>0</v>
      </c>
      <c r="O98" s="170">
        <v>0</v>
      </c>
      <c r="P98" s="169">
        <v>0</v>
      </c>
      <c r="Q98" s="169">
        <v>0</v>
      </c>
      <c r="R98" s="169">
        <v>0</v>
      </c>
      <c r="S98" s="170">
        <v>0</v>
      </c>
      <c r="T98" s="170">
        <v>0</v>
      </c>
      <c r="U98" s="171">
        <v>0</v>
      </c>
      <c r="V98" s="171">
        <v>0</v>
      </c>
      <c r="W98" s="171">
        <v>0</v>
      </c>
      <c r="X98" s="171">
        <v>0</v>
      </c>
      <c r="Y98" s="171">
        <v>0</v>
      </c>
      <c r="Z98" s="171">
        <v>0</v>
      </c>
      <c r="AA98" s="171">
        <v>0</v>
      </c>
      <c r="AB98" s="171">
        <v>0</v>
      </c>
      <c r="AC98" s="171">
        <v>0</v>
      </c>
      <c r="AD98" s="171">
        <v>0</v>
      </c>
      <c r="AE98" s="171">
        <v>0</v>
      </c>
      <c r="AF98" s="171">
        <v>0</v>
      </c>
      <c r="AG98" s="171">
        <v>0</v>
      </c>
      <c r="AH98" s="171">
        <v>0</v>
      </c>
      <c r="AI98" s="171">
        <v>0</v>
      </c>
      <c r="AJ98" s="171">
        <v>0</v>
      </c>
      <c r="AK98" s="171">
        <v>0</v>
      </c>
      <c r="AL98" s="172">
        <v>0</v>
      </c>
      <c r="AM98" s="172">
        <v>0</v>
      </c>
      <c r="AN98" s="172">
        <v>0</v>
      </c>
      <c r="AO98" s="172">
        <v>0</v>
      </c>
      <c r="AP98" s="172">
        <v>0</v>
      </c>
      <c r="AQ98" s="172">
        <v>0</v>
      </c>
      <c r="AR98" s="172">
        <v>0</v>
      </c>
      <c r="AS98" s="172">
        <v>0</v>
      </c>
      <c r="AT98" s="172">
        <v>0</v>
      </c>
      <c r="AU98" s="172">
        <v>0</v>
      </c>
      <c r="AV98" s="172">
        <v>0</v>
      </c>
      <c r="AW98" s="172">
        <v>0</v>
      </c>
      <c r="AX98" s="172">
        <v>0</v>
      </c>
      <c r="AY98" s="172">
        <v>0</v>
      </c>
      <c r="AZ98" s="172">
        <v>0</v>
      </c>
      <c r="BA98" s="172">
        <v>0</v>
      </c>
      <c r="BB98" s="172">
        <v>0</v>
      </c>
      <c r="BC98" s="172">
        <v>0</v>
      </c>
      <c r="BD98" s="172">
        <v>0</v>
      </c>
      <c r="BE98" s="172">
        <v>0</v>
      </c>
      <c r="BF98" s="172">
        <v>0</v>
      </c>
      <c r="BG98" s="172">
        <v>0</v>
      </c>
      <c r="BH98" s="174">
        <v>0</v>
      </c>
      <c r="BI98" s="174">
        <v>0</v>
      </c>
      <c r="BJ98" s="174">
        <v>0</v>
      </c>
      <c r="BK98" s="174">
        <v>0</v>
      </c>
      <c r="BL98" s="174">
        <v>0</v>
      </c>
      <c r="BM98" s="174">
        <v>0</v>
      </c>
      <c r="BN98" s="174">
        <v>0</v>
      </c>
      <c r="BO98" s="174">
        <v>0</v>
      </c>
      <c r="BP98" s="174">
        <v>0</v>
      </c>
      <c r="BQ98" s="174">
        <v>0</v>
      </c>
      <c r="BR98" s="174">
        <v>0</v>
      </c>
      <c r="BS98" s="174">
        <v>0</v>
      </c>
      <c r="BT98" s="174">
        <v>0</v>
      </c>
      <c r="BU98" s="174">
        <v>0</v>
      </c>
      <c r="BV98" s="174">
        <v>0</v>
      </c>
      <c r="BW98" s="174">
        <v>0</v>
      </c>
      <c r="BX98" s="174">
        <v>0</v>
      </c>
      <c r="BY98" s="174">
        <v>0</v>
      </c>
      <c r="BZ98" s="174">
        <v>0</v>
      </c>
      <c r="CA98" s="177">
        <v>0</v>
      </c>
      <c r="CB98" s="72">
        <v>0</v>
      </c>
      <c r="CC98" s="176">
        <v>0</v>
      </c>
      <c r="CD98" s="176">
        <v>0</v>
      </c>
      <c r="CE98" s="176">
        <v>0</v>
      </c>
      <c r="CF98" s="176">
        <v>0</v>
      </c>
      <c r="CG98" s="177">
        <v>0</v>
      </c>
      <c r="CH98" s="176">
        <v>0</v>
      </c>
      <c r="CI98" s="177">
        <v>0</v>
      </c>
      <c r="CJ98" s="177">
        <v>0</v>
      </c>
      <c r="CK98" s="177">
        <v>0</v>
      </c>
      <c r="CL98" s="176">
        <v>0</v>
      </c>
      <c r="CM98" s="176">
        <v>0</v>
      </c>
      <c r="CN98" s="176">
        <v>0</v>
      </c>
      <c r="CO98" s="176">
        <v>0</v>
      </c>
      <c r="CP98" s="177">
        <v>0</v>
      </c>
      <c r="CQ98" s="176">
        <v>0</v>
      </c>
      <c r="CR98" s="176">
        <v>0</v>
      </c>
      <c r="CS98" s="176">
        <v>0</v>
      </c>
    </row>
    <row r="99" spans="1:97" x14ac:dyDescent="0.25">
      <c r="A99" t="s">
        <v>89</v>
      </c>
      <c r="B99" s="168">
        <v>0</v>
      </c>
      <c r="C99" s="170">
        <v>0</v>
      </c>
      <c r="D99" s="169">
        <v>0</v>
      </c>
      <c r="E99" s="170">
        <v>0</v>
      </c>
      <c r="F99" s="169">
        <v>0</v>
      </c>
      <c r="G99" s="170">
        <v>0</v>
      </c>
      <c r="H99" s="170">
        <v>0</v>
      </c>
      <c r="I99" s="170">
        <v>0</v>
      </c>
      <c r="J99" s="170">
        <v>0</v>
      </c>
      <c r="K99" s="170">
        <v>0</v>
      </c>
      <c r="L99" s="170">
        <v>0</v>
      </c>
      <c r="M99" s="170">
        <v>0</v>
      </c>
      <c r="N99" s="170">
        <v>0</v>
      </c>
      <c r="O99" s="170">
        <v>0</v>
      </c>
      <c r="P99" s="169">
        <v>0</v>
      </c>
      <c r="Q99" s="169">
        <v>0</v>
      </c>
      <c r="R99" s="169">
        <v>0</v>
      </c>
      <c r="S99" s="170">
        <v>0</v>
      </c>
      <c r="T99" s="170">
        <v>0</v>
      </c>
      <c r="U99" s="171">
        <v>0</v>
      </c>
      <c r="V99" s="171">
        <v>0</v>
      </c>
      <c r="W99" s="171">
        <v>0</v>
      </c>
      <c r="X99" s="171">
        <v>0</v>
      </c>
      <c r="Y99" s="171">
        <v>0</v>
      </c>
      <c r="Z99" s="171">
        <v>0</v>
      </c>
      <c r="AA99" s="171">
        <v>0</v>
      </c>
      <c r="AB99" s="171">
        <v>0</v>
      </c>
      <c r="AC99" s="171">
        <v>0</v>
      </c>
      <c r="AD99" s="171">
        <v>0</v>
      </c>
      <c r="AE99" s="171">
        <v>0</v>
      </c>
      <c r="AF99" s="171">
        <v>0</v>
      </c>
      <c r="AG99" s="171">
        <v>0</v>
      </c>
      <c r="AH99" s="171">
        <v>0</v>
      </c>
      <c r="AI99" s="171">
        <v>0</v>
      </c>
      <c r="AJ99" s="171">
        <v>0</v>
      </c>
      <c r="AK99" s="171">
        <v>0</v>
      </c>
      <c r="AL99" s="172">
        <v>0</v>
      </c>
      <c r="AM99" s="172">
        <v>0</v>
      </c>
      <c r="AN99" s="172">
        <v>0</v>
      </c>
      <c r="AO99" s="172">
        <v>0</v>
      </c>
      <c r="AP99" s="172">
        <v>0</v>
      </c>
      <c r="AQ99" s="172">
        <v>0</v>
      </c>
      <c r="AR99" s="172">
        <v>0</v>
      </c>
      <c r="AS99" s="172">
        <v>0</v>
      </c>
      <c r="AT99" s="172">
        <v>0</v>
      </c>
      <c r="AU99" s="172">
        <v>0</v>
      </c>
      <c r="AV99" s="172">
        <v>0</v>
      </c>
      <c r="AW99" s="172">
        <v>0</v>
      </c>
      <c r="AX99" s="172">
        <v>0</v>
      </c>
      <c r="AY99" s="172">
        <v>0</v>
      </c>
      <c r="AZ99" s="172">
        <v>0</v>
      </c>
      <c r="BA99" s="172">
        <v>0</v>
      </c>
      <c r="BB99" s="172">
        <v>0</v>
      </c>
      <c r="BC99" s="172">
        <v>0</v>
      </c>
      <c r="BD99" s="172">
        <v>0</v>
      </c>
      <c r="BE99" s="172">
        <v>0</v>
      </c>
      <c r="BF99" s="172">
        <v>0</v>
      </c>
      <c r="BG99" s="172">
        <v>0</v>
      </c>
      <c r="BH99" s="174">
        <v>0</v>
      </c>
      <c r="BI99" s="174">
        <v>0</v>
      </c>
      <c r="BJ99" s="174">
        <v>0</v>
      </c>
      <c r="BK99" s="174">
        <v>0</v>
      </c>
      <c r="BL99" s="174">
        <v>0</v>
      </c>
      <c r="BM99" s="174">
        <v>0</v>
      </c>
      <c r="BN99" s="174">
        <v>0</v>
      </c>
      <c r="BO99" s="174">
        <v>0</v>
      </c>
      <c r="BP99" s="174">
        <v>0</v>
      </c>
      <c r="BQ99" s="174">
        <v>0</v>
      </c>
      <c r="BR99" s="174">
        <v>0</v>
      </c>
      <c r="BS99" s="174">
        <v>0</v>
      </c>
      <c r="BT99" s="174">
        <v>0</v>
      </c>
      <c r="BU99" s="174">
        <v>0</v>
      </c>
      <c r="BV99" s="174">
        <v>0</v>
      </c>
      <c r="BW99" s="174">
        <v>0</v>
      </c>
      <c r="BX99" s="174">
        <v>0</v>
      </c>
      <c r="BY99" s="174">
        <v>0</v>
      </c>
      <c r="BZ99" s="174">
        <v>0</v>
      </c>
      <c r="CA99" s="177">
        <v>0</v>
      </c>
      <c r="CB99" s="72">
        <v>0</v>
      </c>
      <c r="CC99" s="176">
        <v>0</v>
      </c>
      <c r="CD99" s="176">
        <v>0</v>
      </c>
      <c r="CE99" s="176">
        <v>0</v>
      </c>
      <c r="CF99" s="176">
        <v>0</v>
      </c>
      <c r="CG99" s="177">
        <v>0</v>
      </c>
      <c r="CH99" s="176">
        <v>0</v>
      </c>
      <c r="CI99" s="177">
        <v>0</v>
      </c>
      <c r="CJ99" s="177">
        <v>0</v>
      </c>
      <c r="CK99" s="177">
        <v>0</v>
      </c>
      <c r="CL99" s="176">
        <v>0</v>
      </c>
      <c r="CM99" s="176">
        <v>0</v>
      </c>
      <c r="CN99" s="176">
        <v>0</v>
      </c>
      <c r="CO99" s="176">
        <v>0</v>
      </c>
      <c r="CP99" s="177">
        <v>0</v>
      </c>
      <c r="CQ99" s="176">
        <v>0</v>
      </c>
      <c r="CR99" s="176">
        <v>0</v>
      </c>
      <c r="CS99" s="176">
        <v>0</v>
      </c>
    </row>
    <row r="100" spans="1:97" x14ac:dyDescent="0.25">
      <c r="A100" t="s">
        <v>90</v>
      </c>
      <c r="B100" s="168">
        <v>0</v>
      </c>
      <c r="C100" s="170">
        <v>0</v>
      </c>
      <c r="D100" s="169">
        <v>0</v>
      </c>
      <c r="E100" s="170">
        <v>0</v>
      </c>
      <c r="F100" s="169">
        <v>0</v>
      </c>
      <c r="G100" s="170">
        <v>0</v>
      </c>
      <c r="H100" s="170">
        <v>0</v>
      </c>
      <c r="I100" s="170">
        <v>0</v>
      </c>
      <c r="J100" s="170">
        <v>0</v>
      </c>
      <c r="K100" s="170">
        <v>0</v>
      </c>
      <c r="L100" s="170">
        <v>0</v>
      </c>
      <c r="M100" s="170">
        <v>0</v>
      </c>
      <c r="N100" s="170">
        <v>0</v>
      </c>
      <c r="O100" s="170">
        <v>0</v>
      </c>
      <c r="P100" s="169">
        <v>0</v>
      </c>
      <c r="Q100" s="169">
        <v>0</v>
      </c>
      <c r="R100" s="169">
        <v>0</v>
      </c>
      <c r="S100" s="170">
        <v>0</v>
      </c>
      <c r="T100" s="170">
        <v>0</v>
      </c>
      <c r="U100" s="171">
        <v>0</v>
      </c>
      <c r="V100" s="171">
        <v>0</v>
      </c>
      <c r="W100" s="171">
        <v>0</v>
      </c>
      <c r="X100" s="171">
        <v>0</v>
      </c>
      <c r="Y100" s="171">
        <v>0</v>
      </c>
      <c r="Z100" s="171">
        <v>0</v>
      </c>
      <c r="AA100" s="171">
        <v>0</v>
      </c>
      <c r="AB100" s="171">
        <v>0</v>
      </c>
      <c r="AC100" s="171">
        <v>0</v>
      </c>
      <c r="AD100" s="171">
        <v>0</v>
      </c>
      <c r="AE100" s="171">
        <v>0</v>
      </c>
      <c r="AF100" s="171">
        <v>0</v>
      </c>
      <c r="AG100" s="171">
        <v>0</v>
      </c>
      <c r="AH100" s="171">
        <v>0</v>
      </c>
      <c r="AI100" s="171">
        <v>0</v>
      </c>
      <c r="AJ100" s="171">
        <v>0</v>
      </c>
      <c r="AK100" s="171">
        <v>0</v>
      </c>
      <c r="AL100" s="172">
        <v>0</v>
      </c>
      <c r="AM100" s="172">
        <v>0</v>
      </c>
      <c r="AN100" s="172">
        <v>0</v>
      </c>
      <c r="AO100" s="172">
        <v>0</v>
      </c>
      <c r="AP100" s="172">
        <v>0</v>
      </c>
      <c r="AQ100" s="172">
        <v>0</v>
      </c>
      <c r="AR100" s="172">
        <v>0</v>
      </c>
      <c r="AS100" s="172">
        <v>0</v>
      </c>
      <c r="AT100" s="172">
        <v>0</v>
      </c>
      <c r="AU100" s="172">
        <v>0</v>
      </c>
      <c r="AV100" s="172">
        <v>0</v>
      </c>
      <c r="AW100" s="172">
        <v>0</v>
      </c>
      <c r="AX100" s="172">
        <v>0</v>
      </c>
      <c r="AY100" s="172">
        <v>0</v>
      </c>
      <c r="AZ100" s="172">
        <v>0</v>
      </c>
      <c r="BA100" s="172">
        <v>0</v>
      </c>
      <c r="BB100" s="172">
        <v>0</v>
      </c>
      <c r="BC100" s="172">
        <v>0</v>
      </c>
      <c r="BD100" s="172">
        <v>0</v>
      </c>
      <c r="BE100" s="172">
        <v>0</v>
      </c>
      <c r="BF100" s="172">
        <v>0</v>
      </c>
      <c r="BG100" s="172">
        <v>0</v>
      </c>
      <c r="BH100" s="174">
        <v>0</v>
      </c>
      <c r="BI100" s="174">
        <v>0</v>
      </c>
      <c r="BJ100" s="174">
        <v>0</v>
      </c>
      <c r="BK100" s="174">
        <v>0</v>
      </c>
      <c r="BL100" s="174">
        <v>0</v>
      </c>
      <c r="BM100" s="174">
        <v>0</v>
      </c>
      <c r="BN100" s="174">
        <v>0</v>
      </c>
      <c r="BO100" s="174">
        <v>0</v>
      </c>
      <c r="BP100" s="174">
        <v>0</v>
      </c>
      <c r="BQ100" s="174">
        <v>0</v>
      </c>
      <c r="BR100" s="174">
        <v>0</v>
      </c>
      <c r="BS100" s="174">
        <v>0</v>
      </c>
      <c r="BT100" s="174">
        <v>0</v>
      </c>
      <c r="BU100" s="174">
        <v>0</v>
      </c>
      <c r="BV100" s="174">
        <v>0</v>
      </c>
      <c r="BW100" s="174">
        <v>0</v>
      </c>
      <c r="BX100" s="174">
        <v>0</v>
      </c>
      <c r="BY100" s="174">
        <v>0</v>
      </c>
      <c r="BZ100" s="174">
        <v>0</v>
      </c>
      <c r="CA100" s="177">
        <v>0</v>
      </c>
      <c r="CB100" s="72">
        <v>0</v>
      </c>
      <c r="CC100" s="176">
        <v>0</v>
      </c>
      <c r="CD100" s="176">
        <v>0</v>
      </c>
      <c r="CE100" s="176">
        <v>0</v>
      </c>
      <c r="CF100" s="176">
        <v>0</v>
      </c>
      <c r="CG100" s="177">
        <v>0</v>
      </c>
      <c r="CH100" s="176">
        <v>0</v>
      </c>
      <c r="CI100" s="177">
        <v>0</v>
      </c>
      <c r="CJ100" s="177">
        <v>0</v>
      </c>
      <c r="CK100" s="177">
        <v>0</v>
      </c>
      <c r="CL100" s="176">
        <v>0</v>
      </c>
      <c r="CM100" s="176">
        <v>0</v>
      </c>
      <c r="CN100" s="176">
        <v>0</v>
      </c>
      <c r="CO100" s="176">
        <v>0</v>
      </c>
      <c r="CP100" s="177">
        <v>0</v>
      </c>
      <c r="CQ100" s="176">
        <v>0</v>
      </c>
      <c r="CR100" s="176">
        <v>0</v>
      </c>
      <c r="CS100" s="176">
        <v>0</v>
      </c>
    </row>
    <row r="101" spans="1:97" x14ac:dyDescent="0.25">
      <c r="A101" t="s">
        <v>459</v>
      </c>
      <c r="B101" s="168">
        <v>0</v>
      </c>
      <c r="C101" s="170">
        <v>0</v>
      </c>
      <c r="D101" s="169">
        <v>0</v>
      </c>
      <c r="E101" s="170">
        <v>0</v>
      </c>
      <c r="F101" s="169">
        <v>0</v>
      </c>
      <c r="G101" s="170">
        <v>0</v>
      </c>
      <c r="H101" s="170">
        <v>0</v>
      </c>
      <c r="I101" s="170">
        <v>0</v>
      </c>
      <c r="J101" s="170">
        <v>0</v>
      </c>
      <c r="K101" s="170">
        <v>0</v>
      </c>
      <c r="L101" s="170">
        <v>0</v>
      </c>
      <c r="M101" s="170">
        <v>0</v>
      </c>
      <c r="N101" s="170">
        <v>0</v>
      </c>
      <c r="O101" s="170">
        <v>0</v>
      </c>
      <c r="P101" s="169">
        <v>0</v>
      </c>
      <c r="Q101" s="169">
        <v>0</v>
      </c>
      <c r="R101" s="169">
        <v>0</v>
      </c>
      <c r="S101" s="170">
        <v>0</v>
      </c>
      <c r="T101" s="170">
        <v>0</v>
      </c>
      <c r="U101" s="171">
        <v>0</v>
      </c>
      <c r="V101" s="171">
        <v>0</v>
      </c>
      <c r="W101" s="171">
        <v>0</v>
      </c>
      <c r="X101" s="171">
        <v>0</v>
      </c>
      <c r="Y101" s="171">
        <v>0</v>
      </c>
      <c r="Z101" s="171">
        <v>0</v>
      </c>
      <c r="AA101" s="171">
        <v>0</v>
      </c>
      <c r="AB101" s="171">
        <v>0</v>
      </c>
      <c r="AC101" s="171">
        <v>0</v>
      </c>
      <c r="AD101" s="171">
        <v>0</v>
      </c>
      <c r="AE101" s="171">
        <v>0</v>
      </c>
      <c r="AF101" s="171">
        <v>0</v>
      </c>
      <c r="AG101" s="171">
        <v>0</v>
      </c>
      <c r="AH101" s="171">
        <v>0</v>
      </c>
      <c r="AI101" s="171">
        <v>0</v>
      </c>
      <c r="AJ101" s="171">
        <v>0</v>
      </c>
      <c r="AK101" s="171">
        <v>0</v>
      </c>
      <c r="AL101" s="172">
        <v>0</v>
      </c>
      <c r="AM101" s="172">
        <v>0</v>
      </c>
      <c r="AN101" s="172">
        <v>0</v>
      </c>
      <c r="AO101" s="172">
        <v>0</v>
      </c>
      <c r="AP101" s="172">
        <v>0</v>
      </c>
      <c r="AQ101" s="172">
        <v>0</v>
      </c>
      <c r="AR101" s="172">
        <v>0</v>
      </c>
      <c r="AS101" s="172">
        <v>0</v>
      </c>
      <c r="AT101" s="172">
        <v>0</v>
      </c>
      <c r="AU101" s="172">
        <v>0</v>
      </c>
      <c r="AV101" s="172">
        <v>0</v>
      </c>
      <c r="AW101" s="172">
        <v>0</v>
      </c>
      <c r="AX101" s="172">
        <v>0</v>
      </c>
      <c r="AY101" s="172">
        <v>0</v>
      </c>
      <c r="AZ101" s="172">
        <v>0</v>
      </c>
      <c r="BA101" s="172">
        <v>0</v>
      </c>
      <c r="BB101" s="172">
        <v>0</v>
      </c>
      <c r="BC101" s="172">
        <v>0</v>
      </c>
      <c r="BD101" s="172">
        <v>0</v>
      </c>
      <c r="BE101" s="172">
        <v>0</v>
      </c>
      <c r="BF101" s="172">
        <v>0</v>
      </c>
      <c r="BG101" s="172">
        <v>0</v>
      </c>
      <c r="BH101" s="174">
        <v>0</v>
      </c>
      <c r="BI101" s="174">
        <v>0</v>
      </c>
      <c r="BJ101" s="174">
        <v>0</v>
      </c>
      <c r="BK101" s="174">
        <v>0</v>
      </c>
      <c r="BL101" s="174">
        <v>0</v>
      </c>
      <c r="BM101" s="174">
        <v>0</v>
      </c>
      <c r="BN101" s="174">
        <v>0</v>
      </c>
      <c r="BO101" s="174">
        <v>0</v>
      </c>
      <c r="BP101" s="174">
        <v>0</v>
      </c>
      <c r="BQ101" s="174">
        <v>0</v>
      </c>
      <c r="BR101" s="174">
        <v>0</v>
      </c>
      <c r="BS101" s="174">
        <v>0</v>
      </c>
      <c r="BT101" s="174">
        <v>0</v>
      </c>
      <c r="BU101" s="174">
        <v>0</v>
      </c>
      <c r="BV101" s="174">
        <v>0</v>
      </c>
      <c r="BW101" s="174">
        <v>0</v>
      </c>
      <c r="BX101" s="174">
        <v>0</v>
      </c>
      <c r="BY101" s="174">
        <v>0</v>
      </c>
      <c r="BZ101" s="174">
        <v>0</v>
      </c>
      <c r="CA101" s="177">
        <v>0</v>
      </c>
      <c r="CB101" s="72">
        <v>0</v>
      </c>
      <c r="CC101" s="176">
        <v>0</v>
      </c>
      <c r="CD101" s="176">
        <v>0</v>
      </c>
      <c r="CE101" s="176">
        <v>0</v>
      </c>
      <c r="CF101" s="176">
        <v>0</v>
      </c>
      <c r="CG101" s="177">
        <v>0</v>
      </c>
      <c r="CH101" s="176">
        <v>0</v>
      </c>
      <c r="CI101" s="177">
        <v>0</v>
      </c>
      <c r="CJ101" s="177">
        <v>0</v>
      </c>
      <c r="CK101" s="177">
        <v>0</v>
      </c>
      <c r="CL101" s="176">
        <v>0</v>
      </c>
      <c r="CM101" s="176">
        <v>0</v>
      </c>
      <c r="CN101" s="176">
        <v>0</v>
      </c>
      <c r="CO101" s="176">
        <v>0</v>
      </c>
      <c r="CP101" s="177">
        <v>0</v>
      </c>
      <c r="CQ101" s="176">
        <v>0</v>
      </c>
      <c r="CR101" s="176">
        <v>0</v>
      </c>
      <c r="CS101" s="176">
        <v>0</v>
      </c>
    </row>
    <row r="102" spans="1:97" x14ac:dyDescent="0.25">
      <c r="A102" t="s">
        <v>460</v>
      </c>
      <c r="B102" s="168">
        <v>0</v>
      </c>
      <c r="C102" s="170">
        <v>0</v>
      </c>
      <c r="D102" s="169">
        <v>0</v>
      </c>
      <c r="E102" s="170">
        <v>0</v>
      </c>
      <c r="F102" s="169">
        <v>0</v>
      </c>
      <c r="G102" s="170">
        <v>0</v>
      </c>
      <c r="H102" s="170">
        <v>0</v>
      </c>
      <c r="I102" s="170">
        <v>0</v>
      </c>
      <c r="J102" s="170">
        <v>0</v>
      </c>
      <c r="K102" s="170">
        <v>0</v>
      </c>
      <c r="L102" s="170">
        <v>0</v>
      </c>
      <c r="M102" s="170">
        <v>0</v>
      </c>
      <c r="N102" s="170">
        <v>0</v>
      </c>
      <c r="O102" s="170">
        <v>0</v>
      </c>
      <c r="P102" s="169">
        <v>0</v>
      </c>
      <c r="Q102" s="169">
        <v>0</v>
      </c>
      <c r="R102" s="169">
        <v>0</v>
      </c>
      <c r="S102" s="170">
        <v>0</v>
      </c>
      <c r="T102" s="170">
        <v>0</v>
      </c>
      <c r="U102" s="171">
        <v>0</v>
      </c>
      <c r="V102" s="171">
        <v>0</v>
      </c>
      <c r="W102" s="171">
        <v>0</v>
      </c>
      <c r="X102" s="171">
        <v>0</v>
      </c>
      <c r="Y102" s="171">
        <v>0</v>
      </c>
      <c r="Z102" s="171">
        <v>0</v>
      </c>
      <c r="AA102" s="171">
        <v>0</v>
      </c>
      <c r="AB102" s="171">
        <v>0</v>
      </c>
      <c r="AC102" s="171">
        <v>0</v>
      </c>
      <c r="AD102" s="171">
        <v>0</v>
      </c>
      <c r="AE102" s="171">
        <v>0</v>
      </c>
      <c r="AF102" s="171">
        <v>0</v>
      </c>
      <c r="AG102" s="171">
        <v>0</v>
      </c>
      <c r="AH102" s="171">
        <v>0</v>
      </c>
      <c r="AI102" s="171">
        <v>0</v>
      </c>
      <c r="AJ102" s="171">
        <v>0</v>
      </c>
      <c r="AK102" s="171">
        <v>0</v>
      </c>
      <c r="AL102" s="172">
        <v>0</v>
      </c>
      <c r="AM102" s="172">
        <v>0</v>
      </c>
      <c r="AN102" s="172">
        <v>0</v>
      </c>
      <c r="AO102" s="172">
        <v>0</v>
      </c>
      <c r="AP102" s="172">
        <v>0</v>
      </c>
      <c r="AQ102" s="172">
        <v>0</v>
      </c>
      <c r="AR102" s="172">
        <v>0</v>
      </c>
      <c r="AS102" s="172">
        <v>0</v>
      </c>
      <c r="AT102" s="172">
        <v>0</v>
      </c>
      <c r="AU102" s="172">
        <v>0</v>
      </c>
      <c r="AV102" s="172">
        <v>0</v>
      </c>
      <c r="AW102" s="172">
        <v>0</v>
      </c>
      <c r="AX102" s="172">
        <v>0</v>
      </c>
      <c r="AY102" s="172">
        <v>0</v>
      </c>
      <c r="AZ102" s="172">
        <v>0</v>
      </c>
      <c r="BA102" s="172">
        <v>0</v>
      </c>
      <c r="BB102" s="172">
        <v>0</v>
      </c>
      <c r="BC102" s="172">
        <v>0</v>
      </c>
      <c r="BD102" s="172">
        <v>0</v>
      </c>
      <c r="BE102" s="172">
        <v>0</v>
      </c>
      <c r="BF102" s="172">
        <v>0</v>
      </c>
      <c r="BG102" s="172">
        <v>0</v>
      </c>
      <c r="BH102" s="174">
        <v>0</v>
      </c>
      <c r="BI102" s="174">
        <v>0</v>
      </c>
      <c r="BJ102" s="174">
        <v>0</v>
      </c>
      <c r="BK102" s="174">
        <v>0</v>
      </c>
      <c r="BL102" s="174">
        <v>0</v>
      </c>
      <c r="BM102" s="174">
        <v>0</v>
      </c>
      <c r="BN102" s="174">
        <v>0</v>
      </c>
      <c r="BO102" s="174">
        <v>0</v>
      </c>
      <c r="BP102" s="174">
        <v>0</v>
      </c>
      <c r="BQ102" s="174">
        <v>0</v>
      </c>
      <c r="BR102" s="174">
        <v>0</v>
      </c>
      <c r="BS102" s="174">
        <v>0</v>
      </c>
      <c r="BT102" s="174">
        <v>0</v>
      </c>
      <c r="BU102" s="174">
        <v>0</v>
      </c>
      <c r="BV102" s="174">
        <v>0</v>
      </c>
      <c r="BW102" s="174">
        <v>0</v>
      </c>
      <c r="BX102" s="174">
        <v>0</v>
      </c>
      <c r="BY102" s="174">
        <v>0</v>
      </c>
      <c r="BZ102" s="174">
        <v>0</v>
      </c>
      <c r="CA102" s="177">
        <v>0</v>
      </c>
      <c r="CB102" s="72">
        <v>0</v>
      </c>
      <c r="CC102" s="176">
        <v>0</v>
      </c>
      <c r="CD102" s="176">
        <v>0</v>
      </c>
      <c r="CE102" s="176">
        <v>0</v>
      </c>
      <c r="CF102" s="176">
        <v>0</v>
      </c>
      <c r="CG102" s="177">
        <v>0</v>
      </c>
      <c r="CH102" s="176">
        <v>0</v>
      </c>
      <c r="CI102" s="177">
        <v>0</v>
      </c>
      <c r="CJ102" s="177">
        <v>0</v>
      </c>
      <c r="CK102" s="177">
        <v>0</v>
      </c>
      <c r="CL102" s="176">
        <v>0</v>
      </c>
      <c r="CM102" s="176">
        <v>0</v>
      </c>
      <c r="CN102" s="176">
        <v>0</v>
      </c>
      <c r="CO102" s="176">
        <v>0</v>
      </c>
      <c r="CP102" s="177">
        <v>0</v>
      </c>
      <c r="CQ102" s="176">
        <v>0</v>
      </c>
      <c r="CR102" s="176">
        <v>0</v>
      </c>
      <c r="CS102" s="176">
        <v>0</v>
      </c>
    </row>
    <row r="103" spans="1:97" x14ac:dyDescent="0.25">
      <c r="A103" t="s">
        <v>461</v>
      </c>
      <c r="B103" s="168">
        <v>0</v>
      </c>
      <c r="C103" s="170">
        <v>0</v>
      </c>
      <c r="D103" s="169">
        <v>0</v>
      </c>
      <c r="E103" s="170">
        <v>0</v>
      </c>
      <c r="F103" s="169">
        <v>0</v>
      </c>
      <c r="G103" s="170">
        <v>0</v>
      </c>
      <c r="H103" s="170">
        <v>0</v>
      </c>
      <c r="I103" s="170">
        <v>0</v>
      </c>
      <c r="J103" s="170">
        <v>0</v>
      </c>
      <c r="K103" s="170">
        <v>0</v>
      </c>
      <c r="L103" s="170">
        <v>0</v>
      </c>
      <c r="M103" s="170">
        <v>0</v>
      </c>
      <c r="N103" s="170">
        <v>0</v>
      </c>
      <c r="O103" s="170">
        <v>0</v>
      </c>
      <c r="P103" s="169">
        <v>0</v>
      </c>
      <c r="Q103" s="169">
        <v>0</v>
      </c>
      <c r="R103" s="169">
        <v>0</v>
      </c>
      <c r="S103" s="170">
        <v>0</v>
      </c>
      <c r="T103" s="170">
        <v>0</v>
      </c>
      <c r="U103" s="171">
        <v>0</v>
      </c>
      <c r="V103" s="171">
        <v>0</v>
      </c>
      <c r="W103" s="171">
        <v>0</v>
      </c>
      <c r="X103" s="171">
        <v>0</v>
      </c>
      <c r="Y103" s="171">
        <v>0</v>
      </c>
      <c r="Z103" s="171">
        <v>0</v>
      </c>
      <c r="AA103" s="171">
        <v>0</v>
      </c>
      <c r="AB103" s="171">
        <v>0</v>
      </c>
      <c r="AC103" s="171">
        <v>0</v>
      </c>
      <c r="AD103" s="171">
        <v>0</v>
      </c>
      <c r="AE103" s="171">
        <v>0</v>
      </c>
      <c r="AF103" s="171">
        <v>0</v>
      </c>
      <c r="AG103" s="171">
        <v>0</v>
      </c>
      <c r="AH103" s="171">
        <v>0</v>
      </c>
      <c r="AI103" s="171">
        <v>0</v>
      </c>
      <c r="AJ103" s="171">
        <v>0</v>
      </c>
      <c r="AK103" s="171">
        <v>0</v>
      </c>
      <c r="AL103" s="172">
        <v>0</v>
      </c>
      <c r="AM103" s="172">
        <v>0</v>
      </c>
      <c r="AN103" s="172">
        <v>0</v>
      </c>
      <c r="AO103" s="172">
        <v>0</v>
      </c>
      <c r="AP103" s="172">
        <v>0</v>
      </c>
      <c r="AQ103" s="172">
        <v>0</v>
      </c>
      <c r="AR103" s="172">
        <v>0</v>
      </c>
      <c r="AS103" s="172">
        <v>0</v>
      </c>
      <c r="AT103" s="172">
        <v>0</v>
      </c>
      <c r="AU103" s="172">
        <v>0</v>
      </c>
      <c r="AV103" s="172">
        <v>0</v>
      </c>
      <c r="AW103" s="172">
        <v>0</v>
      </c>
      <c r="AX103" s="172">
        <v>0</v>
      </c>
      <c r="AY103" s="172">
        <v>0</v>
      </c>
      <c r="AZ103" s="172">
        <v>0</v>
      </c>
      <c r="BA103" s="172">
        <v>0</v>
      </c>
      <c r="BB103" s="172">
        <v>0</v>
      </c>
      <c r="BC103" s="172">
        <v>0</v>
      </c>
      <c r="BD103" s="172">
        <v>0</v>
      </c>
      <c r="BE103" s="172">
        <v>0</v>
      </c>
      <c r="BF103" s="172">
        <v>0</v>
      </c>
      <c r="BG103" s="172">
        <v>0</v>
      </c>
      <c r="BH103" s="174">
        <v>0</v>
      </c>
      <c r="BI103" s="174">
        <v>0</v>
      </c>
      <c r="BJ103" s="174">
        <v>0</v>
      </c>
      <c r="BK103" s="174">
        <v>0</v>
      </c>
      <c r="BL103" s="174">
        <v>0</v>
      </c>
      <c r="BM103" s="174">
        <v>0</v>
      </c>
      <c r="BN103" s="174">
        <v>0</v>
      </c>
      <c r="BO103" s="174">
        <v>0</v>
      </c>
      <c r="BP103" s="174">
        <v>0</v>
      </c>
      <c r="BQ103" s="174">
        <v>0</v>
      </c>
      <c r="BR103" s="174">
        <v>0</v>
      </c>
      <c r="BS103" s="174">
        <v>0</v>
      </c>
      <c r="BT103" s="174">
        <v>0</v>
      </c>
      <c r="BU103" s="174">
        <v>0</v>
      </c>
      <c r="BV103" s="174">
        <v>0</v>
      </c>
      <c r="BW103" s="174">
        <v>0</v>
      </c>
      <c r="BX103" s="174">
        <v>0</v>
      </c>
      <c r="BY103" s="174">
        <v>0</v>
      </c>
      <c r="BZ103" s="174">
        <v>0</v>
      </c>
      <c r="CA103" s="177">
        <v>0</v>
      </c>
      <c r="CB103" s="72">
        <v>0</v>
      </c>
      <c r="CC103" s="176">
        <v>0</v>
      </c>
      <c r="CD103" s="176">
        <v>0</v>
      </c>
      <c r="CE103" s="176">
        <v>0</v>
      </c>
      <c r="CF103" s="176">
        <v>0</v>
      </c>
      <c r="CG103" s="177">
        <v>0</v>
      </c>
      <c r="CH103" s="176">
        <v>0</v>
      </c>
      <c r="CI103" s="177">
        <v>0</v>
      </c>
      <c r="CJ103" s="177">
        <v>0</v>
      </c>
      <c r="CK103" s="177">
        <v>0</v>
      </c>
      <c r="CL103" s="176">
        <v>0</v>
      </c>
      <c r="CM103" s="176">
        <v>0</v>
      </c>
      <c r="CN103" s="176">
        <v>0</v>
      </c>
      <c r="CO103" s="176">
        <v>0</v>
      </c>
      <c r="CP103" s="177">
        <v>0</v>
      </c>
      <c r="CQ103" s="176">
        <v>0</v>
      </c>
      <c r="CR103" s="176">
        <v>0</v>
      </c>
      <c r="CS103" s="176">
        <v>0</v>
      </c>
    </row>
    <row r="104" spans="1:97" x14ac:dyDescent="0.25">
      <c r="A104" t="s">
        <v>462</v>
      </c>
      <c r="B104" s="168">
        <v>0</v>
      </c>
      <c r="C104" s="170">
        <v>0</v>
      </c>
      <c r="D104" s="169">
        <v>0</v>
      </c>
      <c r="E104" s="170">
        <v>0</v>
      </c>
      <c r="F104" s="169">
        <v>0</v>
      </c>
      <c r="G104" s="170">
        <v>0</v>
      </c>
      <c r="H104" s="170">
        <v>0</v>
      </c>
      <c r="I104" s="170">
        <v>0</v>
      </c>
      <c r="J104" s="170">
        <v>0</v>
      </c>
      <c r="K104" s="170">
        <v>0</v>
      </c>
      <c r="L104" s="170">
        <v>0</v>
      </c>
      <c r="M104" s="170">
        <v>0</v>
      </c>
      <c r="N104" s="170">
        <v>0</v>
      </c>
      <c r="O104" s="170">
        <v>0</v>
      </c>
      <c r="P104" s="169">
        <v>0</v>
      </c>
      <c r="Q104" s="169">
        <v>0</v>
      </c>
      <c r="R104" s="169">
        <v>0</v>
      </c>
      <c r="S104" s="170">
        <v>0</v>
      </c>
      <c r="T104" s="170">
        <v>0</v>
      </c>
      <c r="U104" s="171">
        <v>0</v>
      </c>
      <c r="V104" s="171">
        <v>0</v>
      </c>
      <c r="W104" s="171">
        <v>0</v>
      </c>
      <c r="X104" s="171">
        <v>0</v>
      </c>
      <c r="Y104" s="171">
        <v>0</v>
      </c>
      <c r="Z104" s="171">
        <v>0</v>
      </c>
      <c r="AA104" s="171">
        <v>0</v>
      </c>
      <c r="AB104" s="171">
        <v>0</v>
      </c>
      <c r="AC104" s="171">
        <v>0</v>
      </c>
      <c r="AD104" s="171">
        <v>0</v>
      </c>
      <c r="AE104" s="171">
        <v>0</v>
      </c>
      <c r="AF104" s="171">
        <v>0</v>
      </c>
      <c r="AG104" s="171">
        <v>0</v>
      </c>
      <c r="AH104" s="171">
        <v>0</v>
      </c>
      <c r="AI104" s="171">
        <v>0</v>
      </c>
      <c r="AJ104" s="171">
        <v>0</v>
      </c>
      <c r="AK104" s="171">
        <v>0</v>
      </c>
      <c r="AL104" s="172">
        <v>0</v>
      </c>
      <c r="AM104" s="172">
        <v>0</v>
      </c>
      <c r="AN104" s="172">
        <v>0</v>
      </c>
      <c r="AO104" s="172">
        <v>0</v>
      </c>
      <c r="AP104" s="172">
        <v>0</v>
      </c>
      <c r="AQ104" s="172">
        <v>0</v>
      </c>
      <c r="AR104" s="172">
        <v>0</v>
      </c>
      <c r="AS104" s="172">
        <v>0</v>
      </c>
      <c r="AT104" s="172">
        <v>0</v>
      </c>
      <c r="AU104" s="172">
        <v>0</v>
      </c>
      <c r="AV104" s="172">
        <v>0</v>
      </c>
      <c r="AW104" s="172">
        <v>0</v>
      </c>
      <c r="AX104" s="172">
        <v>0</v>
      </c>
      <c r="AY104" s="172">
        <v>0</v>
      </c>
      <c r="AZ104" s="172">
        <v>0</v>
      </c>
      <c r="BA104" s="172">
        <v>0</v>
      </c>
      <c r="BB104" s="172">
        <v>0</v>
      </c>
      <c r="BC104" s="172">
        <v>0</v>
      </c>
      <c r="BD104" s="172">
        <v>0</v>
      </c>
      <c r="BE104" s="172">
        <v>0</v>
      </c>
      <c r="BF104" s="172">
        <v>0</v>
      </c>
      <c r="BG104" s="172">
        <v>0</v>
      </c>
      <c r="BH104" s="174">
        <v>0</v>
      </c>
      <c r="BI104" s="174">
        <v>0</v>
      </c>
      <c r="BJ104" s="174">
        <v>0</v>
      </c>
      <c r="BK104" s="174">
        <v>0</v>
      </c>
      <c r="BL104" s="174">
        <v>0</v>
      </c>
      <c r="BM104" s="174">
        <v>0</v>
      </c>
      <c r="BN104" s="174">
        <v>0</v>
      </c>
      <c r="BO104" s="174">
        <v>0</v>
      </c>
      <c r="BP104" s="174">
        <v>0</v>
      </c>
      <c r="BQ104" s="174">
        <v>0</v>
      </c>
      <c r="BR104" s="174">
        <v>0</v>
      </c>
      <c r="BS104" s="174">
        <v>0</v>
      </c>
      <c r="BT104" s="174">
        <v>0</v>
      </c>
      <c r="BU104" s="174">
        <v>0</v>
      </c>
      <c r="BV104" s="174">
        <v>0</v>
      </c>
      <c r="BW104" s="174">
        <v>0</v>
      </c>
      <c r="BX104" s="174">
        <v>0</v>
      </c>
      <c r="BY104" s="174">
        <v>0</v>
      </c>
      <c r="BZ104" s="174">
        <v>0</v>
      </c>
      <c r="CA104" s="177">
        <v>0</v>
      </c>
      <c r="CB104" s="72">
        <v>0</v>
      </c>
      <c r="CC104" s="176">
        <v>0</v>
      </c>
      <c r="CD104" s="176">
        <v>0</v>
      </c>
      <c r="CE104" s="176">
        <v>0</v>
      </c>
      <c r="CF104" s="176">
        <v>0</v>
      </c>
      <c r="CG104" s="177">
        <v>0</v>
      </c>
      <c r="CH104" s="176">
        <v>0</v>
      </c>
      <c r="CI104" s="177">
        <v>0</v>
      </c>
      <c r="CJ104" s="177">
        <v>0</v>
      </c>
      <c r="CK104" s="177">
        <v>0</v>
      </c>
      <c r="CL104" s="176">
        <v>0</v>
      </c>
      <c r="CM104" s="176">
        <v>0</v>
      </c>
      <c r="CN104" s="176">
        <v>0</v>
      </c>
      <c r="CO104" s="176">
        <v>0</v>
      </c>
      <c r="CP104" s="177">
        <v>0</v>
      </c>
      <c r="CQ104" s="176">
        <v>0</v>
      </c>
      <c r="CR104" s="176">
        <v>0</v>
      </c>
      <c r="CS104" s="176">
        <v>0</v>
      </c>
    </row>
    <row r="105" spans="1:97" x14ac:dyDescent="0.25">
      <c r="A105" t="s">
        <v>463</v>
      </c>
      <c r="B105" s="168">
        <v>0</v>
      </c>
      <c r="C105" s="170">
        <v>0</v>
      </c>
      <c r="D105" s="169">
        <v>0</v>
      </c>
      <c r="E105" s="170">
        <v>0</v>
      </c>
      <c r="F105" s="169">
        <v>0</v>
      </c>
      <c r="G105" s="170">
        <v>0</v>
      </c>
      <c r="H105" s="170">
        <v>0</v>
      </c>
      <c r="I105" s="170">
        <v>0</v>
      </c>
      <c r="J105" s="170">
        <v>0</v>
      </c>
      <c r="K105" s="170">
        <v>0</v>
      </c>
      <c r="L105" s="170">
        <v>0</v>
      </c>
      <c r="M105" s="170">
        <v>0</v>
      </c>
      <c r="N105" s="170">
        <v>0</v>
      </c>
      <c r="O105" s="170">
        <v>0</v>
      </c>
      <c r="P105" s="169">
        <v>0</v>
      </c>
      <c r="Q105" s="169">
        <v>0</v>
      </c>
      <c r="R105" s="169">
        <v>0</v>
      </c>
      <c r="S105" s="170">
        <v>0</v>
      </c>
      <c r="T105" s="170">
        <v>0</v>
      </c>
      <c r="U105" s="171">
        <v>0</v>
      </c>
      <c r="V105" s="171">
        <v>0</v>
      </c>
      <c r="W105" s="171">
        <v>0</v>
      </c>
      <c r="X105" s="171">
        <v>0</v>
      </c>
      <c r="Y105" s="171">
        <v>0</v>
      </c>
      <c r="Z105" s="171">
        <v>0</v>
      </c>
      <c r="AA105" s="171">
        <v>0</v>
      </c>
      <c r="AB105" s="171">
        <v>0</v>
      </c>
      <c r="AC105" s="171">
        <v>0</v>
      </c>
      <c r="AD105" s="171">
        <v>0</v>
      </c>
      <c r="AE105" s="171">
        <v>0</v>
      </c>
      <c r="AF105" s="171">
        <v>0</v>
      </c>
      <c r="AG105" s="171">
        <v>0</v>
      </c>
      <c r="AH105" s="171">
        <v>0</v>
      </c>
      <c r="AI105" s="171">
        <v>0</v>
      </c>
      <c r="AJ105" s="171">
        <v>0</v>
      </c>
      <c r="AK105" s="171">
        <v>0</v>
      </c>
      <c r="AL105" s="172">
        <v>0</v>
      </c>
      <c r="AM105" s="172">
        <v>0</v>
      </c>
      <c r="AN105" s="172">
        <v>0</v>
      </c>
      <c r="AO105" s="172">
        <v>0</v>
      </c>
      <c r="AP105" s="172">
        <v>0</v>
      </c>
      <c r="AQ105" s="172">
        <v>0</v>
      </c>
      <c r="AR105" s="172">
        <v>0</v>
      </c>
      <c r="AS105" s="172">
        <v>0</v>
      </c>
      <c r="AT105" s="172">
        <v>0</v>
      </c>
      <c r="AU105" s="172">
        <v>0</v>
      </c>
      <c r="AV105" s="172">
        <v>0</v>
      </c>
      <c r="AW105" s="172">
        <v>0</v>
      </c>
      <c r="AX105" s="172">
        <v>0</v>
      </c>
      <c r="AY105" s="172">
        <v>0</v>
      </c>
      <c r="AZ105" s="172">
        <v>0</v>
      </c>
      <c r="BA105" s="172">
        <v>0</v>
      </c>
      <c r="BB105" s="172">
        <v>0</v>
      </c>
      <c r="BC105" s="172">
        <v>0</v>
      </c>
      <c r="BD105" s="172">
        <v>0</v>
      </c>
      <c r="BE105" s="172">
        <v>0</v>
      </c>
      <c r="BF105" s="172">
        <v>0</v>
      </c>
      <c r="BG105" s="172">
        <v>0</v>
      </c>
      <c r="BH105" s="174">
        <v>0</v>
      </c>
      <c r="BI105" s="174">
        <v>0</v>
      </c>
      <c r="BJ105" s="174">
        <v>0</v>
      </c>
      <c r="BK105" s="174">
        <v>0</v>
      </c>
      <c r="BL105" s="174">
        <v>0</v>
      </c>
      <c r="BM105" s="174">
        <v>0</v>
      </c>
      <c r="BN105" s="174">
        <v>0</v>
      </c>
      <c r="BO105" s="174">
        <v>0</v>
      </c>
      <c r="BP105" s="174">
        <v>0</v>
      </c>
      <c r="BQ105" s="174">
        <v>0</v>
      </c>
      <c r="BR105" s="174">
        <v>0</v>
      </c>
      <c r="BS105" s="174">
        <v>0</v>
      </c>
      <c r="BT105" s="174">
        <v>0</v>
      </c>
      <c r="BU105" s="174">
        <v>0</v>
      </c>
      <c r="BV105" s="174">
        <v>0</v>
      </c>
      <c r="BW105" s="174">
        <v>0</v>
      </c>
      <c r="BX105" s="174">
        <v>0</v>
      </c>
      <c r="BY105" s="174">
        <v>0</v>
      </c>
      <c r="BZ105" s="174">
        <v>0</v>
      </c>
      <c r="CA105" s="177">
        <v>0</v>
      </c>
      <c r="CB105" s="72">
        <v>0</v>
      </c>
      <c r="CC105" s="176">
        <v>0</v>
      </c>
      <c r="CD105" s="176">
        <v>0</v>
      </c>
      <c r="CE105" s="176">
        <v>0</v>
      </c>
      <c r="CF105" s="176">
        <v>0</v>
      </c>
      <c r="CG105" s="177">
        <v>0</v>
      </c>
      <c r="CH105" s="176">
        <v>0</v>
      </c>
      <c r="CI105" s="177">
        <v>0</v>
      </c>
      <c r="CJ105" s="177">
        <v>0</v>
      </c>
      <c r="CK105" s="177">
        <v>0</v>
      </c>
      <c r="CL105" s="176">
        <v>0</v>
      </c>
      <c r="CM105" s="176">
        <v>0</v>
      </c>
      <c r="CN105" s="176">
        <v>0</v>
      </c>
      <c r="CO105" s="176">
        <v>0</v>
      </c>
      <c r="CP105" s="177">
        <v>0</v>
      </c>
      <c r="CQ105" s="176">
        <v>0</v>
      </c>
      <c r="CR105" s="176">
        <v>0</v>
      </c>
      <c r="CS105" s="176">
        <v>0</v>
      </c>
    </row>
    <row r="106" spans="1:97" x14ac:dyDescent="0.25">
      <c r="A106" t="s">
        <v>464</v>
      </c>
      <c r="B106" s="168">
        <v>0</v>
      </c>
      <c r="C106" s="170">
        <v>0</v>
      </c>
      <c r="D106" s="169">
        <v>0</v>
      </c>
      <c r="E106" s="170">
        <v>0</v>
      </c>
      <c r="F106" s="169">
        <v>0</v>
      </c>
      <c r="G106" s="170">
        <v>0</v>
      </c>
      <c r="H106" s="170">
        <v>0</v>
      </c>
      <c r="I106" s="170">
        <v>0</v>
      </c>
      <c r="J106" s="170">
        <v>0</v>
      </c>
      <c r="K106" s="170">
        <v>0</v>
      </c>
      <c r="L106" s="170">
        <v>0</v>
      </c>
      <c r="M106" s="170">
        <v>0</v>
      </c>
      <c r="N106" s="170">
        <v>0</v>
      </c>
      <c r="O106" s="170">
        <v>0</v>
      </c>
      <c r="P106" s="169">
        <v>0</v>
      </c>
      <c r="Q106" s="169">
        <v>0</v>
      </c>
      <c r="R106" s="169">
        <v>0</v>
      </c>
      <c r="S106" s="170">
        <v>0</v>
      </c>
      <c r="T106" s="170">
        <v>0</v>
      </c>
      <c r="U106" s="171">
        <v>0</v>
      </c>
      <c r="V106" s="171">
        <v>0</v>
      </c>
      <c r="W106" s="171">
        <v>0</v>
      </c>
      <c r="X106" s="171">
        <v>0</v>
      </c>
      <c r="Y106" s="171">
        <v>0</v>
      </c>
      <c r="Z106" s="171">
        <v>0</v>
      </c>
      <c r="AA106" s="171">
        <v>0</v>
      </c>
      <c r="AB106" s="171">
        <v>0</v>
      </c>
      <c r="AC106" s="171">
        <v>0</v>
      </c>
      <c r="AD106" s="171">
        <v>0</v>
      </c>
      <c r="AE106" s="171">
        <v>0</v>
      </c>
      <c r="AF106" s="171">
        <v>0</v>
      </c>
      <c r="AG106" s="171">
        <v>0</v>
      </c>
      <c r="AH106" s="171">
        <v>0</v>
      </c>
      <c r="AI106" s="171">
        <v>0</v>
      </c>
      <c r="AJ106" s="171">
        <v>0</v>
      </c>
      <c r="AK106" s="171">
        <v>0</v>
      </c>
      <c r="AL106" s="172">
        <v>0</v>
      </c>
      <c r="AM106" s="172">
        <v>0</v>
      </c>
      <c r="AN106" s="172">
        <v>0</v>
      </c>
      <c r="AO106" s="172">
        <v>0</v>
      </c>
      <c r="AP106" s="172">
        <v>0</v>
      </c>
      <c r="AQ106" s="172">
        <v>0</v>
      </c>
      <c r="AR106" s="172">
        <v>0</v>
      </c>
      <c r="AS106" s="172">
        <v>0</v>
      </c>
      <c r="AT106" s="172">
        <v>0</v>
      </c>
      <c r="AU106" s="172">
        <v>0</v>
      </c>
      <c r="AV106" s="172">
        <v>0</v>
      </c>
      <c r="AW106" s="172">
        <v>0</v>
      </c>
      <c r="AX106" s="172">
        <v>0</v>
      </c>
      <c r="AY106" s="172">
        <v>0</v>
      </c>
      <c r="AZ106" s="172">
        <v>0</v>
      </c>
      <c r="BA106" s="172">
        <v>0</v>
      </c>
      <c r="BB106" s="172">
        <v>0</v>
      </c>
      <c r="BC106" s="172">
        <v>0</v>
      </c>
      <c r="BD106" s="172">
        <v>0</v>
      </c>
      <c r="BE106" s="172">
        <v>0</v>
      </c>
      <c r="BF106" s="172">
        <v>0</v>
      </c>
      <c r="BG106" s="172">
        <v>0</v>
      </c>
      <c r="BH106" s="174">
        <v>0</v>
      </c>
      <c r="BI106" s="174">
        <v>0</v>
      </c>
      <c r="BJ106" s="174">
        <v>0</v>
      </c>
      <c r="BK106" s="174">
        <v>0</v>
      </c>
      <c r="BL106" s="174">
        <v>0</v>
      </c>
      <c r="BM106" s="174">
        <v>0</v>
      </c>
      <c r="BN106" s="174">
        <v>0</v>
      </c>
      <c r="BO106" s="174">
        <v>0</v>
      </c>
      <c r="BP106" s="174">
        <v>0</v>
      </c>
      <c r="BQ106" s="174">
        <v>0</v>
      </c>
      <c r="BR106" s="174">
        <v>0</v>
      </c>
      <c r="BS106" s="174">
        <v>0</v>
      </c>
      <c r="BT106" s="174">
        <v>0</v>
      </c>
      <c r="BU106" s="174">
        <v>0</v>
      </c>
      <c r="BV106" s="174">
        <v>0</v>
      </c>
      <c r="BW106" s="174">
        <v>0</v>
      </c>
      <c r="BX106" s="174">
        <v>0</v>
      </c>
      <c r="BY106" s="174">
        <v>0</v>
      </c>
      <c r="BZ106" s="174">
        <v>0</v>
      </c>
      <c r="CA106" s="177">
        <v>0</v>
      </c>
      <c r="CB106" s="72">
        <v>0</v>
      </c>
      <c r="CC106" s="176">
        <v>0</v>
      </c>
      <c r="CD106" s="176">
        <v>0</v>
      </c>
      <c r="CE106" s="176">
        <v>0</v>
      </c>
      <c r="CF106" s="176">
        <v>0</v>
      </c>
      <c r="CG106" s="177">
        <v>0</v>
      </c>
      <c r="CH106" s="176">
        <v>0</v>
      </c>
      <c r="CI106" s="177">
        <v>0</v>
      </c>
      <c r="CJ106" s="177">
        <v>0</v>
      </c>
      <c r="CK106" s="177">
        <v>0</v>
      </c>
      <c r="CL106" s="176">
        <v>0</v>
      </c>
      <c r="CM106" s="176">
        <v>0</v>
      </c>
      <c r="CN106" s="176">
        <v>0</v>
      </c>
      <c r="CO106" s="176">
        <v>0</v>
      </c>
      <c r="CP106" s="177">
        <v>0</v>
      </c>
      <c r="CQ106" s="176">
        <v>0</v>
      </c>
      <c r="CR106" s="176">
        <v>0</v>
      </c>
      <c r="CS106" s="176">
        <v>0</v>
      </c>
    </row>
    <row r="107" spans="1:97" x14ac:dyDescent="0.25">
      <c r="A107" t="s">
        <v>465</v>
      </c>
      <c r="B107" s="168">
        <v>0</v>
      </c>
      <c r="C107" s="170">
        <v>0</v>
      </c>
      <c r="D107" s="169">
        <v>0</v>
      </c>
      <c r="E107" s="170">
        <v>0</v>
      </c>
      <c r="F107" s="169">
        <v>0</v>
      </c>
      <c r="G107" s="170">
        <v>0</v>
      </c>
      <c r="H107" s="170">
        <v>0</v>
      </c>
      <c r="I107" s="170">
        <v>0</v>
      </c>
      <c r="J107" s="170">
        <v>0</v>
      </c>
      <c r="K107" s="170">
        <v>0</v>
      </c>
      <c r="L107" s="170">
        <v>0</v>
      </c>
      <c r="M107" s="170">
        <v>0</v>
      </c>
      <c r="N107" s="170">
        <v>0</v>
      </c>
      <c r="O107" s="170">
        <v>0</v>
      </c>
      <c r="P107" s="169">
        <v>0</v>
      </c>
      <c r="Q107" s="169">
        <v>0</v>
      </c>
      <c r="R107" s="169">
        <v>0</v>
      </c>
      <c r="S107" s="170">
        <v>0</v>
      </c>
      <c r="T107" s="170">
        <v>0</v>
      </c>
      <c r="U107" s="171">
        <v>0</v>
      </c>
      <c r="V107" s="171">
        <v>0</v>
      </c>
      <c r="W107" s="171">
        <v>0</v>
      </c>
      <c r="X107" s="171">
        <v>0</v>
      </c>
      <c r="Y107" s="171">
        <v>0</v>
      </c>
      <c r="Z107" s="171">
        <v>0</v>
      </c>
      <c r="AA107" s="171">
        <v>0</v>
      </c>
      <c r="AB107" s="171">
        <v>0</v>
      </c>
      <c r="AC107" s="171">
        <v>0</v>
      </c>
      <c r="AD107" s="171">
        <v>0</v>
      </c>
      <c r="AE107" s="171">
        <v>0</v>
      </c>
      <c r="AF107" s="171">
        <v>0</v>
      </c>
      <c r="AG107" s="171">
        <v>0</v>
      </c>
      <c r="AH107" s="171">
        <v>0</v>
      </c>
      <c r="AI107" s="171">
        <v>0</v>
      </c>
      <c r="AJ107" s="171">
        <v>0</v>
      </c>
      <c r="AK107" s="171">
        <v>0</v>
      </c>
      <c r="AL107" s="172">
        <v>0</v>
      </c>
      <c r="AM107" s="172">
        <v>0</v>
      </c>
      <c r="AN107" s="172">
        <v>0</v>
      </c>
      <c r="AO107" s="172">
        <v>0</v>
      </c>
      <c r="AP107" s="172">
        <v>0</v>
      </c>
      <c r="AQ107" s="172">
        <v>0</v>
      </c>
      <c r="AR107" s="172">
        <v>0</v>
      </c>
      <c r="AS107" s="172">
        <v>0</v>
      </c>
      <c r="AT107" s="172">
        <v>0</v>
      </c>
      <c r="AU107" s="172">
        <v>0</v>
      </c>
      <c r="AV107" s="172">
        <v>0</v>
      </c>
      <c r="AW107" s="172">
        <v>0</v>
      </c>
      <c r="AX107" s="172">
        <v>0</v>
      </c>
      <c r="AY107" s="172">
        <v>0</v>
      </c>
      <c r="AZ107" s="172">
        <v>0</v>
      </c>
      <c r="BA107" s="172">
        <v>0</v>
      </c>
      <c r="BB107" s="172">
        <v>0</v>
      </c>
      <c r="BC107" s="172">
        <v>0</v>
      </c>
      <c r="BD107" s="172">
        <v>0</v>
      </c>
      <c r="BE107" s="172">
        <v>0</v>
      </c>
      <c r="BF107" s="172">
        <v>0</v>
      </c>
      <c r="BG107" s="172">
        <v>0</v>
      </c>
      <c r="BH107" s="174">
        <v>0</v>
      </c>
      <c r="BI107" s="174">
        <v>0</v>
      </c>
      <c r="BJ107" s="174">
        <v>0</v>
      </c>
      <c r="BK107" s="174">
        <v>0</v>
      </c>
      <c r="BL107" s="174">
        <v>0</v>
      </c>
      <c r="BM107" s="174">
        <v>0</v>
      </c>
      <c r="BN107" s="174">
        <v>0</v>
      </c>
      <c r="BO107" s="174">
        <v>0</v>
      </c>
      <c r="BP107" s="174">
        <v>0</v>
      </c>
      <c r="BQ107" s="174">
        <v>0</v>
      </c>
      <c r="BR107" s="174">
        <v>0</v>
      </c>
      <c r="BS107" s="174">
        <v>0</v>
      </c>
      <c r="BT107" s="174">
        <v>0</v>
      </c>
      <c r="BU107" s="174">
        <v>0</v>
      </c>
      <c r="BV107" s="174">
        <v>0</v>
      </c>
      <c r="BW107" s="174">
        <v>0</v>
      </c>
      <c r="BX107" s="174">
        <v>0</v>
      </c>
      <c r="BY107" s="174">
        <v>0</v>
      </c>
      <c r="BZ107" s="174">
        <v>0</v>
      </c>
      <c r="CA107" s="177">
        <v>0</v>
      </c>
      <c r="CB107" s="72">
        <v>0</v>
      </c>
      <c r="CC107" s="176">
        <v>0</v>
      </c>
      <c r="CD107" s="176">
        <v>0</v>
      </c>
      <c r="CE107" s="176">
        <v>0</v>
      </c>
      <c r="CF107" s="176">
        <v>0</v>
      </c>
      <c r="CG107" s="177">
        <v>0</v>
      </c>
      <c r="CH107" s="176">
        <v>0</v>
      </c>
      <c r="CI107" s="177">
        <v>0</v>
      </c>
      <c r="CJ107" s="177">
        <v>0</v>
      </c>
      <c r="CK107" s="177">
        <v>0</v>
      </c>
      <c r="CL107" s="176">
        <v>0</v>
      </c>
      <c r="CM107" s="176">
        <v>0</v>
      </c>
      <c r="CN107" s="176">
        <v>0</v>
      </c>
      <c r="CO107" s="176">
        <v>0</v>
      </c>
      <c r="CP107" s="177">
        <v>0</v>
      </c>
      <c r="CQ107" s="176">
        <v>0</v>
      </c>
      <c r="CR107" s="176">
        <v>0</v>
      </c>
      <c r="CS107" s="176">
        <v>0</v>
      </c>
    </row>
    <row r="108" spans="1:97" x14ac:dyDescent="0.25">
      <c r="A108" t="s">
        <v>425</v>
      </c>
      <c r="B108" s="168">
        <v>0</v>
      </c>
      <c r="C108" s="168">
        <v>0</v>
      </c>
      <c r="D108" s="168">
        <v>0</v>
      </c>
      <c r="E108" s="168">
        <v>0</v>
      </c>
      <c r="F108" s="168">
        <v>0</v>
      </c>
      <c r="G108" s="168">
        <v>0</v>
      </c>
      <c r="H108" s="168">
        <v>0</v>
      </c>
      <c r="I108" s="168">
        <v>0</v>
      </c>
      <c r="J108" s="168">
        <v>0</v>
      </c>
      <c r="K108" s="168">
        <v>0</v>
      </c>
      <c r="L108" s="168">
        <v>0</v>
      </c>
      <c r="M108" s="168">
        <v>0</v>
      </c>
      <c r="N108" s="168">
        <v>0</v>
      </c>
      <c r="O108" s="168">
        <v>0</v>
      </c>
      <c r="P108" s="168">
        <v>0</v>
      </c>
      <c r="Q108" s="168">
        <v>0</v>
      </c>
      <c r="R108" s="168">
        <v>0</v>
      </c>
      <c r="S108" s="168">
        <v>0</v>
      </c>
      <c r="T108" s="168">
        <v>0</v>
      </c>
      <c r="U108" s="171">
        <v>0</v>
      </c>
      <c r="V108" s="171">
        <v>0</v>
      </c>
      <c r="W108" s="171">
        <v>0</v>
      </c>
      <c r="X108" s="171">
        <v>0</v>
      </c>
      <c r="Y108" s="171">
        <v>0</v>
      </c>
      <c r="Z108" s="171">
        <v>0</v>
      </c>
      <c r="AA108" s="171">
        <v>0</v>
      </c>
      <c r="AB108" s="171">
        <v>0</v>
      </c>
      <c r="AC108" s="171">
        <v>0</v>
      </c>
      <c r="AD108" s="171">
        <v>0</v>
      </c>
      <c r="AE108" s="171">
        <v>0</v>
      </c>
      <c r="AF108" s="171">
        <v>0</v>
      </c>
      <c r="AG108" s="171">
        <v>0</v>
      </c>
      <c r="AH108" s="171">
        <v>0</v>
      </c>
      <c r="AI108" s="171">
        <v>0</v>
      </c>
      <c r="AJ108" s="171">
        <v>0</v>
      </c>
      <c r="AK108" s="171">
        <v>0</v>
      </c>
      <c r="AL108" s="172">
        <v>0</v>
      </c>
      <c r="AM108" s="172">
        <v>0</v>
      </c>
      <c r="AN108" s="172">
        <v>0</v>
      </c>
      <c r="AO108" s="172">
        <v>0</v>
      </c>
      <c r="AP108" s="172">
        <v>0</v>
      </c>
      <c r="AQ108" s="172">
        <v>0</v>
      </c>
      <c r="AR108" s="172">
        <f>6%+(char2Refine-1)*2%</f>
        <v>0.14000000000000001</v>
      </c>
      <c r="AS108" s="172">
        <v>0</v>
      </c>
      <c r="AT108" s="172">
        <v>0</v>
      </c>
      <c r="AU108" s="172">
        <v>0</v>
      </c>
      <c r="AV108" s="172">
        <v>0</v>
      </c>
      <c r="AW108" s="172">
        <v>0</v>
      </c>
      <c r="AX108" s="172">
        <v>0</v>
      </c>
      <c r="AY108" s="172">
        <v>0</v>
      </c>
      <c r="AZ108" s="172">
        <v>0</v>
      </c>
      <c r="BA108" s="172">
        <v>0</v>
      </c>
      <c r="BB108" s="172">
        <v>0</v>
      </c>
      <c r="BC108" s="172">
        <v>0</v>
      </c>
      <c r="BD108" s="172">
        <v>0</v>
      </c>
      <c r="BE108" s="172">
        <v>0</v>
      </c>
      <c r="BF108" s="172">
        <v>0</v>
      </c>
      <c r="BG108" s="172">
        <v>0</v>
      </c>
      <c r="BH108" s="174">
        <v>0</v>
      </c>
      <c r="BI108" s="174">
        <v>0</v>
      </c>
      <c r="BJ108" s="174">
        <v>0</v>
      </c>
      <c r="BK108" s="174">
        <v>0</v>
      </c>
      <c r="BL108" s="174">
        <v>0</v>
      </c>
      <c r="BM108" s="174">
        <v>0</v>
      </c>
      <c r="BN108" s="174">
        <v>0</v>
      </c>
      <c r="BO108" s="174">
        <v>0</v>
      </c>
      <c r="BP108" s="174">
        <v>0</v>
      </c>
      <c r="BQ108" s="174">
        <v>0</v>
      </c>
      <c r="BR108" s="174">
        <v>0</v>
      </c>
      <c r="BS108" s="174">
        <v>0</v>
      </c>
      <c r="BT108" s="174">
        <v>0</v>
      </c>
      <c r="BU108" s="174">
        <v>0</v>
      </c>
      <c r="BV108" s="174">
        <v>0</v>
      </c>
      <c r="BW108" s="174">
        <v>0</v>
      </c>
      <c r="BX108" s="174">
        <v>0</v>
      </c>
      <c r="BY108" s="174">
        <v>0</v>
      </c>
      <c r="BZ108" s="174">
        <v>0</v>
      </c>
      <c r="CA108" s="177">
        <v>0</v>
      </c>
      <c r="CB108" s="74">
        <v>0</v>
      </c>
      <c r="CC108" s="177">
        <v>0</v>
      </c>
      <c r="CD108" s="177">
        <v>0</v>
      </c>
      <c r="CE108" s="177">
        <v>0</v>
      </c>
      <c r="CF108" s="177">
        <v>0</v>
      </c>
      <c r="CG108" s="177">
        <v>0</v>
      </c>
      <c r="CH108" s="177">
        <v>0</v>
      </c>
      <c r="CI108" s="177">
        <v>0</v>
      </c>
      <c r="CJ108" s="177">
        <v>0</v>
      </c>
      <c r="CK108" s="177">
        <v>0</v>
      </c>
      <c r="CL108" s="177">
        <v>0</v>
      </c>
      <c r="CM108" s="177">
        <v>0</v>
      </c>
      <c r="CN108" s="177">
        <v>0</v>
      </c>
      <c r="CO108" s="177">
        <v>0</v>
      </c>
      <c r="CP108" s="177">
        <v>0</v>
      </c>
      <c r="CQ108" s="177">
        <v>0</v>
      </c>
      <c r="CR108" s="177">
        <v>0</v>
      </c>
      <c r="CS108" s="177">
        <v>0</v>
      </c>
    </row>
    <row r="109" spans="1:97" x14ac:dyDescent="0.25">
      <c r="A109" t="s">
        <v>424</v>
      </c>
      <c r="B109" s="168">
        <v>0</v>
      </c>
      <c r="C109" s="168">
        <v>0</v>
      </c>
      <c r="D109" s="168">
        <v>0</v>
      </c>
      <c r="E109" s="168">
        <v>0</v>
      </c>
      <c r="F109" s="168">
        <v>0</v>
      </c>
      <c r="G109" s="168">
        <v>0</v>
      </c>
      <c r="H109" s="168">
        <v>0</v>
      </c>
      <c r="I109" s="168">
        <v>0</v>
      </c>
      <c r="J109" s="168">
        <v>0</v>
      </c>
      <c r="K109" s="168">
        <v>0</v>
      </c>
      <c r="L109" s="168">
        <v>0</v>
      </c>
      <c r="M109" s="168">
        <v>0</v>
      </c>
      <c r="N109" s="168">
        <v>0</v>
      </c>
      <c r="O109" s="168">
        <v>0</v>
      </c>
      <c r="P109" s="168">
        <v>0</v>
      </c>
      <c r="Q109" s="168">
        <v>0</v>
      </c>
      <c r="R109" s="168">
        <v>0</v>
      </c>
      <c r="S109" s="168">
        <v>0</v>
      </c>
      <c r="T109" s="168">
        <v>0</v>
      </c>
      <c r="U109" s="171">
        <v>0</v>
      </c>
      <c r="V109" s="171">
        <v>0</v>
      </c>
      <c r="W109" s="171">
        <v>0</v>
      </c>
      <c r="X109" s="171">
        <v>0</v>
      </c>
      <c r="Y109" s="171">
        <v>0</v>
      </c>
      <c r="Z109" s="171">
        <f>6%+(char2Refine-1)*1.5%</f>
        <v>0.12</v>
      </c>
      <c r="AA109" s="171">
        <v>0</v>
      </c>
      <c r="AB109" s="171">
        <v>0</v>
      </c>
      <c r="AC109" s="171">
        <v>0</v>
      </c>
      <c r="AD109" s="171">
        <v>0</v>
      </c>
      <c r="AE109" s="171">
        <v>0</v>
      </c>
      <c r="AF109" s="171">
        <v>0</v>
      </c>
      <c r="AG109" s="171">
        <v>0</v>
      </c>
      <c r="AH109" s="171">
        <v>0</v>
      </c>
      <c r="AI109" s="171">
        <v>0</v>
      </c>
      <c r="AJ109" s="171">
        <v>0</v>
      </c>
      <c r="AK109" s="171">
        <v>0</v>
      </c>
      <c r="AL109" s="172">
        <v>0</v>
      </c>
      <c r="AM109" s="172">
        <v>0</v>
      </c>
      <c r="AN109" s="172">
        <v>0</v>
      </c>
      <c r="AO109" s="172">
        <v>0</v>
      </c>
      <c r="AP109" s="172">
        <v>0</v>
      </c>
      <c r="AQ109" s="172">
        <v>0</v>
      </c>
      <c r="AR109" s="172">
        <v>0</v>
      </c>
      <c r="AS109" s="172">
        <v>0</v>
      </c>
      <c r="AT109" s="172">
        <v>0</v>
      </c>
      <c r="AU109" s="172">
        <v>0</v>
      </c>
      <c r="AV109" s="172">
        <v>0</v>
      </c>
      <c r="AW109" s="172">
        <v>0</v>
      </c>
      <c r="AX109" s="172">
        <v>0</v>
      </c>
      <c r="AY109" s="172">
        <v>0</v>
      </c>
      <c r="AZ109" s="172">
        <v>0</v>
      </c>
      <c r="BA109" s="172">
        <v>0</v>
      </c>
      <c r="BB109" s="172">
        <v>0</v>
      </c>
      <c r="BC109" s="172">
        <v>0</v>
      </c>
      <c r="BD109" s="172">
        <v>0</v>
      </c>
      <c r="BE109" s="172">
        <v>0</v>
      </c>
      <c r="BF109" s="172">
        <v>0</v>
      </c>
      <c r="BG109" s="172">
        <v>0</v>
      </c>
      <c r="BH109" s="174">
        <v>0</v>
      </c>
      <c r="BI109" s="174">
        <v>0</v>
      </c>
      <c r="BJ109" s="174">
        <v>0</v>
      </c>
      <c r="BK109" s="174">
        <v>0</v>
      </c>
      <c r="BL109" s="174">
        <v>0</v>
      </c>
      <c r="BM109" s="174">
        <v>0</v>
      </c>
      <c r="BN109" s="174">
        <v>0</v>
      </c>
      <c r="BO109" s="174">
        <v>0</v>
      </c>
      <c r="BP109" s="174">
        <v>0</v>
      </c>
      <c r="BQ109" s="174">
        <v>0</v>
      </c>
      <c r="BR109" s="174">
        <v>0</v>
      </c>
      <c r="BS109" s="174">
        <v>0</v>
      </c>
      <c r="BT109" s="174">
        <v>0</v>
      </c>
      <c r="BU109" s="174">
        <v>0</v>
      </c>
      <c r="BV109" s="174">
        <v>0</v>
      </c>
      <c r="BW109" s="174">
        <v>0</v>
      </c>
      <c r="BX109" s="174">
        <v>0</v>
      </c>
      <c r="BY109" s="174">
        <v>0</v>
      </c>
      <c r="BZ109" s="174">
        <v>0</v>
      </c>
      <c r="CA109" s="177">
        <v>0</v>
      </c>
      <c r="CB109" s="74">
        <v>0</v>
      </c>
      <c r="CC109" s="177">
        <v>0</v>
      </c>
      <c r="CD109" s="177">
        <v>0</v>
      </c>
      <c r="CE109" s="177">
        <v>0</v>
      </c>
      <c r="CF109" s="177">
        <v>0</v>
      </c>
      <c r="CG109" s="177">
        <v>0</v>
      </c>
      <c r="CH109" s="177">
        <v>0</v>
      </c>
      <c r="CI109" s="177">
        <v>0</v>
      </c>
      <c r="CJ109" s="177">
        <v>0</v>
      </c>
      <c r="CK109" s="177">
        <v>0</v>
      </c>
      <c r="CL109" s="177">
        <v>0</v>
      </c>
      <c r="CM109" s="177">
        <v>0</v>
      </c>
      <c r="CN109" s="177">
        <v>0</v>
      </c>
      <c r="CO109" s="177">
        <v>0</v>
      </c>
      <c r="CP109" s="177">
        <v>0</v>
      </c>
      <c r="CQ109" s="177">
        <v>0</v>
      </c>
      <c r="CR109" s="177">
        <v>0</v>
      </c>
      <c r="CS109" s="177">
        <v>0</v>
      </c>
    </row>
    <row r="110" spans="1:97" x14ac:dyDescent="0.25">
      <c r="A110" t="s">
        <v>426</v>
      </c>
      <c r="B110" s="168">
        <v>0</v>
      </c>
      <c r="C110" s="168">
        <v>0</v>
      </c>
      <c r="D110" s="168">
        <v>0</v>
      </c>
      <c r="E110" s="168">
        <v>0</v>
      </c>
      <c r="F110" s="168">
        <v>0</v>
      </c>
      <c r="G110" s="168">
        <v>0</v>
      </c>
      <c r="H110" s="168">
        <v>0</v>
      </c>
      <c r="I110" s="168">
        <v>0</v>
      </c>
      <c r="J110" s="168">
        <v>0</v>
      </c>
      <c r="K110" s="168">
        <v>0</v>
      </c>
      <c r="L110" s="168">
        <v>0</v>
      </c>
      <c r="M110" s="168">
        <v>0</v>
      </c>
      <c r="N110" s="168">
        <v>0</v>
      </c>
      <c r="O110" s="168">
        <v>0</v>
      </c>
      <c r="P110" s="168">
        <v>0</v>
      </c>
      <c r="Q110" s="168">
        <v>0</v>
      </c>
      <c r="R110" s="168">
        <v>0</v>
      </c>
      <c r="S110" s="168">
        <v>0</v>
      </c>
      <c r="T110" s="168">
        <v>0</v>
      </c>
      <c r="U110" s="171">
        <v>0</v>
      </c>
      <c r="V110" s="171">
        <v>0</v>
      </c>
      <c r="W110" s="171">
        <v>0</v>
      </c>
      <c r="X110" s="171">
        <v>0</v>
      </c>
      <c r="Y110" s="171">
        <v>0</v>
      </c>
      <c r="Z110" s="171">
        <v>0</v>
      </c>
      <c r="AA110" s="171">
        <v>0</v>
      </c>
      <c r="AB110" s="171">
        <v>0</v>
      </c>
      <c r="AC110" s="171">
        <v>0</v>
      </c>
      <c r="AD110" s="171">
        <v>0</v>
      </c>
      <c r="AE110" s="171">
        <v>0</v>
      </c>
      <c r="AF110" s="171">
        <v>0</v>
      </c>
      <c r="AG110" s="171">
        <v>0</v>
      </c>
      <c r="AH110" s="171">
        <v>0</v>
      </c>
      <c r="AI110" s="171">
        <v>0</v>
      </c>
      <c r="AJ110" s="171">
        <v>0</v>
      </c>
      <c r="AK110" s="171">
        <v>0</v>
      </c>
      <c r="AL110" s="172">
        <v>0</v>
      </c>
      <c r="AM110" s="172">
        <v>0</v>
      </c>
      <c r="AN110" s="172">
        <v>0</v>
      </c>
      <c r="AO110" s="172">
        <v>0</v>
      </c>
      <c r="AP110" s="172">
        <v>0</v>
      </c>
      <c r="AQ110" s="172">
        <v>0</v>
      </c>
      <c r="AR110" s="172">
        <v>0</v>
      </c>
      <c r="AS110" s="172">
        <v>0</v>
      </c>
      <c r="AT110" s="172">
        <v>0</v>
      </c>
      <c r="AU110" s="172">
        <v>0</v>
      </c>
      <c r="AV110" s="172">
        <v>0</v>
      </c>
      <c r="AW110" s="172">
        <v>0</v>
      </c>
      <c r="AX110" s="172">
        <v>0</v>
      </c>
      <c r="AY110" s="172">
        <v>0</v>
      </c>
      <c r="AZ110" s="172">
        <v>0</v>
      </c>
      <c r="BA110" s="172">
        <v>0</v>
      </c>
      <c r="BB110" s="172">
        <v>0</v>
      </c>
      <c r="BC110" s="172">
        <v>0</v>
      </c>
      <c r="BD110" s="172">
        <v>0</v>
      </c>
      <c r="BE110" s="172">
        <v>0</v>
      </c>
      <c r="BF110" s="172">
        <v>0</v>
      </c>
      <c r="BG110" s="172">
        <v>0</v>
      </c>
      <c r="BH110" s="174">
        <v>0</v>
      </c>
      <c r="BI110" s="174">
        <v>0</v>
      </c>
      <c r="BJ110" s="174">
        <v>0</v>
      </c>
      <c r="BK110" s="174">
        <v>0</v>
      </c>
      <c r="BL110" s="174">
        <v>0</v>
      </c>
      <c r="BM110" s="174">
        <v>0</v>
      </c>
      <c r="BN110" s="174">
        <v>0</v>
      </c>
      <c r="BO110" s="174">
        <v>0</v>
      </c>
      <c r="BP110" s="174">
        <v>0</v>
      </c>
      <c r="BQ110" s="174">
        <v>0</v>
      </c>
      <c r="BR110" s="174">
        <v>0</v>
      </c>
      <c r="BS110" s="174">
        <v>0</v>
      </c>
      <c r="BT110" s="174">
        <v>0</v>
      </c>
      <c r="BU110" s="174">
        <v>0</v>
      </c>
      <c r="BV110" s="174">
        <v>0</v>
      </c>
      <c r="BW110" s="174">
        <v>0</v>
      </c>
      <c r="BX110" s="174">
        <v>0</v>
      </c>
      <c r="BY110" s="174">
        <v>0</v>
      </c>
      <c r="BZ110" s="174">
        <v>0</v>
      </c>
      <c r="CA110" s="177">
        <v>0</v>
      </c>
      <c r="CB110" s="74">
        <v>0</v>
      </c>
      <c r="CC110" s="177">
        <v>0</v>
      </c>
      <c r="CD110" s="177">
        <v>0</v>
      </c>
      <c r="CE110" s="177">
        <v>0</v>
      </c>
      <c r="CF110" s="177">
        <v>0</v>
      </c>
      <c r="CG110" s="177">
        <v>0</v>
      </c>
      <c r="CH110" s="177">
        <v>0</v>
      </c>
      <c r="CI110" s="177">
        <v>0</v>
      </c>
      <c r="CJ110" s="177">
        <v>0</v>
      </c>
      <c r="CK110" s="177">
        <v>0</v>
      </c>
      <c r="CL110" s="177">
        <v>0</v>
      </c>
      <c r="CM110" s="177">
        <v>0</v>
      </c>
      <c r="CN110" s="177">
        <v>0</v>
      </c>
      <c r="CO110" s="177">
        <v>0</v>
      </c>
      <c r="CP110" s="177">
        <v>0</v>
      </c>
      <c r="CQ110" s="177">
        <v>0</v>
      </c>
      <c r="CR110" s="177">
        <v>0</v>
      </c>
      <c r="CS110" s="177">
        <v>0</v>
      </c>
    </row>
    <row r="111" spans="1:97" x14ac:dyDescent="0.25">
      <c r="A111" t="s">
        <v>438</v>
      </c>
      <c r="B111" s="168">
        <v>0</v>
      </c>
      <c r="C111" s="168">
        <v>0</v>
      </c>
      <c r="D111" s="168">
        <v>0</v>
      </c>
      <c r="E111" s="168">
        <v>0</v>
      </c>
      <c r="F111" s="168">
        <v>0</v>
      </c>
      <c r="G111" s="168">
        <v>0</v>
      </c>
      <c r="H111" s="168">
        <v>0</v>
      </c>
      <c r="I111" s="168">
        <v>0</v>
      </c>
      <c r="J111" s="168">
        <v>0</v>
      </c>
      <c r="K111" s="168">
        <v>0</v>
      </c>
      <c r="L111" s="168">
        <v>0</v>
      </c>
      <c r="M111" s="168">
        <v>0</v>
      </c>
      <c r="N111" s="168">
        <v>0</v>
      </c>
      <c r="O111" s="168">
        <v>0</v>
      </c>
      <c r="P111" s="168">
        <v>0</v>
      </c>
      <c r="Q111" s="168">
        <v>0</v>
      </c>
      <c r="R111" s="168">
        <v>0</v>
      </c>
      <c r="S111" s="168">
        <v>0</v>
      </c>
      <c r="T111" s="168">
        <v>0</v>
      </c>
      <c r="U111" s="171">
        <v>0</v>
      </c>
      <c r="V111" s="171">
        <v>0</v>
      </c>
      <c r="W111" s="171">
        <v>0</v>
      </c>
      <c r="X111" s="171">
        <v>0</v>
      </c>
      <c r="Y111" s="171">
        <v>0</v>
      </c>
      <c r="Z111" s="171">
        <v>0</v>
      </c>
      <c r="AA111" s="171">
        <v>0</v>
      </c>
      <c r="AB111" s="171">
        <v>0</v>
      </c>
      <c r="AC111" s="171">
        <v>0</v>
      </c>
      <c r="AD111" s="171">
        <v>0</v>
      </c>
      <c r="AE111" s="171">
        <v>0</v>
      </c>
      <c r="AF111" s="171">
        <v>0</v>
      </c>
      <c r="AG111" s="171">
        <v>0</v>
      </c>
      <c r="AH111" s="171">
        <v>0</v>
      </c>
      <c r="AI111" s="171">
        <v>0</v>
      </c>
      <c r="AJ111" s="171">
        <v>0</v>
      </c>
      <c r="AK111" s="171">
        <v>0</v>
      </c>
      <c r="AL111" s="172">
        <v>0</v>
      </c>
      <c r="AM111" s="172">
        <v>0</v>
      </c>
      <c r="AN111" s="172">
        <v>0</v>
      </c>
      <c r="AO111" s="172">
        <v>0</v>
      </c>
      <c r="AP111" s="172">
        <v>0</v>
      </c>
      <c r="AQ111" s="172">
        <v>0</v>
      </c>
      <c r="AR111" s="172">
        <v>0</v>
      </c>
      <c r="AS111" s="172">
        <v>0</v>
      </c>
      <c r="AT111" s="172">
        <v>0</v>
      </c>
      <c r="AU111" s="172">
        <v>0</v>
      </c>
      <c r="AV111" s="172">
        <v>0</v>
      </c>
      <c r="AW111" s="172">
        <v>0</v>
      </c>
      <c r="AX111" s="172">
        <v>0</v>
      </c>
      <c r="AY111" s="172">
        <v>0</v>
      </c>
      <c r="AZ111" s="172">
        <v>0</v>
      </c>
      <c r="BA111" s="172">
        <v>0</v>
      </c>
      <c r="BB111" s="172">
        <v>0</v>
      </c>
      <c r="BC111" s="172">
        <v>0</v>
      </c>
      <c r="BD111" s="172">
        <v>0</v>
      </c>
      <c r="BE111" s="172">
        <v>0</v>
      </c>
      <c r="BF111" s="172">
        <v>0</v>
      </c>
      <c r="BG111" s="172">
        <v>0</v>
      </c>
      <c r="BH111" s="174">
        <v>0</v>
      </c>
      <c r="BI111" s="174">
        <v>0</v>
      </c>
      <c r="BJ111" s="174">
        <v>0</v>
      </c>
      <c r="BK111" s="174">
        <v>0</v>
      </c>
      <c r="BL111" s="174">
        <v>0</v>
      </c>
      <c r="BM111" s="174">
        <v>0</v>
      </c>
      <c r="BN111" s="174">
        <v>0</v>
      </c>
      <c r="BO111" s="174">
        <v>0</v>
      </c>
      <c r="BP111" s="174">
        <v>0</v>
      </c>
      <c r="BQ111" s="174">
        <v>0</v>
      </c>
      <c r="BR111" s="174">
        <v>0</v>
      </c>
      <c r="BS111" s="174">
        <v>0</v>
      </c>
      <c r="BT111" s="174">
        <v>0</v>
      </c>
      <c r="BU111" s="174">
        <v>0</v>
      </c>
      <c r="BV111" s="174">
        <v>0</v>
      </c>
      <c r="BW111" s="174">
        <v>0</v>
      </c>
      <c r="BX111" s="174">
        <v>0</v>
      </c>
      <c r="BY111" s="174">
        <v>0</v>
      </c>
      <c r="BZ111" s="174">
        <v>0</v>
      </c>
      <c r="CA111" s="177">
        <v>0</v>
      </c>
      <c r="CB111" s="74">
        <v>0</v>
      </c>
      <c r="CC111" s="177">
        <v>0</v>
      </c>
      <c r="CD111" s="177">
        <v>0</v>
      </c>
      <c r="CE111" s="177">
        <v>0</v>
      </c>
      <c r="CF111" s="177">
        <v>0</v>
      </c>
      <c r="CG111" s="177">
        <v>0</v>
      </c>
      <c r="CH111" s="177">
        <v>0</v>
      </c>
      <c r="CI111" s="177">
        <v>0</v>
      </c>
      <c r="CJ111" s="177">
        <v>0</v>
      </c>
      <c r="CK111" s="177">
        <v>0</v>
      </c>
      <c r="CL111" s="177">
        <v>0</v>
      </c>
      <c r="CM111" s="177">
        <v>0</v>
      </c>
      <c r="CN111" s="177">
        <v>0</v>
      </c>
      <c r="CO111" s="177">
        <v>0</v>
      </c>
      <c r="CP111" s="177">
        <v>0</v>
      </c>
      <c r="CQ111" s="177">
        <v>0</v>
      </c>
      <c r="CR111" s="177">
        <v>0</v>
      </c>
      <c r="CS111" s="177">
        <v>0</v>
      </c>
    </row>
    <row r="112" spans="1:97" x14ac:dyDescent="0.25">
      <c r="A112" s="46" t="s">
        <v>62</v>
      </c>
      <c r="B112" s="178">
        <v>0</v>
      </c>
      <c r="C112" s="179">
        <v>0</v>
      </c>
      <c r="D112" s="204">
        <v>0</v>
      </c>
      <c r="E112" s="179">
        <v>0</v>
      </c>
      <c r="F112" s="204">
        <v>0</v>
      </c>
      <c r="G112" s="179">
        <v>0</v>
      </c>
      <c r="H112" s="179">
        <v>0</v>
      </c>
      <c r="I112" s="179">
        <v>0</v>
      </c>
      <c r="J112" s="179">
        <v>0</v>
      </c>
      <c r="K112" s="179">
        <v>0</v>
      </c>
      <c r="L112" s="179">
        <v>0</v>
      </c>
      <c r="M112" s="179">
        <v>0</v>
      </c>
      <c r="N112" s="179">
        <v>0</v>
      </c>
      <c r="O112" s="179">
        <v>0</v>
      </c>
      <c r="P112" s="204">
        <v>0</v>
      </c>
      <c r="Q112" s="204">
        <v>0</v>
      </c>
      <c r="R112" s="204">
        <v>0</v>
      </c>
      <c r="S112" s="179">
        <v>0</v>
      </c>
      <c r="T112" s="179">
        <v>0</v>
      </c>
      <c r="U112" s="180">
        <v>0</v>
      </c>
      <c r="V112" s="180">
        <v>0</v>
      </c>
      <c r="W112" s="180">
        <v>0</v>
      </c>
      <c r="X112" s="180">
        <v>0</v>
      </c>
      <c r="Y112" s="180" cm="1">
        <f t="array" ref="Y112">IF(char2WeapToggle,(char2FinalHP*(0.008+(char2Refine-1)*0.002))+(char2FinalHP*(0.01+(char2Refine-1)*0.002)),(char2FinalHP*(0.008+(char2Refine-1)*0.002)))</f>
        <v>482.61912000000007</v>
      </c>
      <c r="Z112" s="180">
        <v>0</v>
      </c>
      <c r="AA112" s="180">
        <v>0</v>
      </c>
      <c r="AB112" s="180">
        <v>0</v>
      </c>
      <c r="AC112" s="180">
        <v>0</v>
      </c>
      <c r="AD112" s="180">
        <v>0</v>
      </c>
      <c r="AE112" s="180">
        <v>0</v>
      </c>
      <c r="AF112" s="180">
        <v>0</v>
      </c>
      <c r="AG112" s="180">
        <v>0</v>
      </c>
      <c r="AH112" s="180">
        <v>0</v>
      </c>
      <c r="AI112" s="180">
        <v>0</v>
      </c>
      <c r="AJ112" s="180">
        <v>0</v>
      </c>
      <c r="AK112" s="180">
        <v>0</v>
      </c>
      <c r="AL112" s="181">
        <f>((1.2+(char2Refine-1)*0.3)/100)*char2FinalHP</f>
        <v>340.67232000000001</v>
      </c>
      <c r="AM112" s="181">
        <v>0</v>
      </c>
      <c r="AN112" s="181">
        <v>0</v>
      </c>
      <c r="AO112" s="181">
        <v>0</v>
      </c>
      <c r="AP112" s="181">
        <v>0</v>
      </c>
      <c r="AQ112" s="181">
        <v>0</v>
      </c>
      <c r="AR112" s="181">
        <v>0</v>
      </c>
      <c r="AS112" s="181">
        <v>0</v>
      </c>
      <c r="AT112" s="181">
        <v>0</v>
      </c>
      <c r="AU112" s="181">
        <v>0</v>
      </c>
      <c r="AV112" s="181">
        <v>0</v>
      </c>
      <c r="AW112" s="181">
        <v>0</v>
      </c>
      <c r="AX112" s="181">
        <v>0</v>
      </c>
      <c r="AY112" s="181">
        <v>0</v>
      </c>
      <c r="AZ112" s="181">
        <v>0</v>
      </c>
      <c r="BA112" s="181">
        <v>0</v>
      </c>
      <c r="BB112" s="181">
        <v>0</v>
      </c>
      <c r="BC112" s="181">
        <v>0</v>
      </c>
      <c r="BD112" s="181">
        <v>0</v>
      </c>
      <c r="BE112" s="181">
        <v>0</v>
      </c>
      <c r="BF112" s="181">
        <v>0</v>
      </c>
      <c r="BG112" s="181">
        <v>0</v>
      </c>
      <c r="BH112" s="166">
        <v>0</v>
      </c>
      <c r="BI112" s="166">
        <v>0</v>
      </c>
      <c r="BJ112" s="166">
        <v>0</v>
      </c>
      <c r="BK112" s="166">
        <v>0</v>
      </c>
      <c r="BL112" s="166">
        <v>0</v>
      </c>
      <c r="BM112" s="166">
        <v>0</v>
      </c>
      <c r="BN112" s="166">
        <v>0</v>
      </c>
      <c r="BO112" s="166">
        <v>0</v>
      </c>
      <c r="BP112" s="166">
        <v>0</v>
      </c>
      <c r="BQ112" s="166">
        <v>0</v>
      </c>
      <c r="BR112" s="166">
        <v>0</v>
      </c>
      <c r="BS112" s="166">
        <v>0</v>
      </c>
      <c r="BT112" s="166">
        <v>0</v>
      </c>
      <c r="BU112" s="166">
        <v>0</v>
      </c>
      <c r="BV112" s="166">
        <v>0</v>
      </c>
      <c r="BW112" s="166">
        <v>0</v>
      </c>
      <c r="BX112" s="166">
        <v>0</v>
      </c>
      <c r="BY112" s="166">
        <v>0</v>
      </c>
      <c r="BZ112" s="166">
        <v>0</v>
      </c>
      <c r="CA112" s="182">
        <v>0</v>
      </c>
      <c r="CB112" s="79">
        <v>0</v>
      </c>
      <c r="CC112" s="182">
        <v>0</v>
      </c>
      <c r="CD112" s="182">
        <v>0</v>
      </c>
      <c r="CE112" s="182">
        <v>0</v>
      </c>
      <c r="CF112" s="182">
        <v>0</v>
      </c>
      <c r="CG112" s="182">
        <v>0</v>
      </c>
      <c r="CH112" s="183">
        <v>0</v>
      </c>
      <c r="CI112" s="182">
        <v>0</v>
      </c>
      <c r="CJ112" s="182">
        <v>0</v>
      </c>
      <c r="CK112" s="182">
        <v>0</v>
      </c>
      <c r="CL112" s="182">
        <v>0</v>
      </c>
      <c r="CM112" s="182">
        <v>0</v>
      </c>
      <c r="CN112" s="183">
        <v>0</v>
      </c>
      <c r="CO112" s="182">
        <v>0</v>
      </c>
      <c r="CP112" s="182">
        <v>0</v>
      </c>
      <c r="CQ112" s="182">
        <v>0</v>
      </c>
      <c r="CR112" s="182">
        <v>0</v>
      </c>
      <c r="CS112" s="183">
        <v>0</v>
      </c>
    </row>
    <row r="113" spans="1:97" x14ac:dyDescent="0.25">
      <c r="A113" s="46" t="s">
        <v>64</v>
      </c>
      <c r="B113" s="178">
        <v>0</v>
      </c>
      <c r="C113" s="179">
        <v>0</v>
      </c>
      <c r="D113" s="204">
        <v>0</v>
      </c>
      <c r="E113" s="179">
        <v>0</v>
      </c>
      <c r="F113" s="204">
        <v>0</v>
      </c>
      <c r="G113" s="179">
        <v>0</v>
      </c>
      <c r="H113" s="179">
        <v>0</v>
      </c>
      <c r="I113" s="179">
        <v>0</v>
      </c>
      <c r="J113" s="179">
        <v>0</v>
      </c>
      <c r="K113" s="179">
        <v>0</v>
      </c>
      <c r="L113" s="179">
        <v>0</v>
      </c>
      <c r="M113" s="179">
        <v>0</v>
      </c>
      <c r="N113" s="179">
        <v>0</v>
      </c>
      <c r="O113" s="179">
        <v>0</v>
      </c>
      <c r="P113" s="204">
        <v>0</v>
      </c>
      <c r="Q113" s="204">
        <v>0</v>
      </c>
      <c r="R113" s="204">
        <v>0</v>
      </c>
      <c r="S113" s="179">
        <v>0</v>
      </c>
      <c r="T113" s="179">
        <v>0</v>
      </c>
      <c r="U113" s="180">
        <v>0</v>
      </c>
      <c r="V113" s="180">
        <v>0</v>
      </c>
      <c r="W113" s="180">
        <v>0</v>
      </c>
      <c r="X113" s="180">
        <v>0</v>
      </c>
      <c r="Y113" s="180">
        <v>0</v>
      </c>
      <c r="Z113" s="180">
        <v>0</v>
      </c>
      <c r="AA113" s="180">
        <v>0</v>
      </c>
      <c r="AB113" s="180">
        <v>0</v>
      </c>
      <c r="AC113" s="180">
        <v>0</v>
      </c>
      <c r="AD113" s="180">
        <v>0</v>
      </c>
      <c r="AE113" s="180">
        <v>0</v>
      </c>
      <c r="AF113" s="180">
        <v>0</v>
      </c>
      <c r="AG113" s="180">
        <v>0</v>
      </c>
      <c r="AH113" s="180">
        <v>0</v>
      </c>
      <c r="AI113" s="180">
        <v>0</v>
      </c>
      <c r="AJ113" s="180">
        <v>0</v>
      </c>
      <c r="AK113" s="180">
        <v>0</v>
      </c>
      <c r="AL113" s="181">
        <v>0</v>
      </c>
      <c r="AM113" s="181">
        <v>0</v>
      </c>
      <c r="AN113" s="181">
        <v>0</v>
      </c>
      <c r="AO113" s="181">
        <v>0</v>
      </c>
      <c r="AP113" s="181">
        <v>0</v>
      </c>
      <c r="AQ113" s="181">
        <v>0</v>
      </c>
      <c r="AR113" s="181">
        <v>0</v>
      </c>
      <c r="AS113" s="181">
        <v>0</v>
      </c>
      <c r="AT113" s="181">
        <v>0</v>
      </c>
      <c r="AU113" s="181">
        <v>0</v>
      </c>
      <c r="AV113" s="181">
        <v>0</v>
      </c>
      <c r="AW113" s="181">
        <v>0</v>
      </c>
      <c r="AX113" s="181">
        <v>0</v>
      </c>
      <c r="AY113" s="181">
        <v>0</v>
      </c>
      <c r="AZ113" s="181">
        <v>0</v>
      </c>
      <c r="BA113" s="181">
        <v>0</v>
      </c>
      <c r="BB113" s="181">
        <v>0</v>
      </c>
      <c r="BC113" s="181">
        <v>0</v>
      </c>
      <c r="BD113" s="181">
        <v>0</v>
      </c>
      <c r="BE113" s="181">
        <v>0</v>
      </c>
      <c r="BF113" s="181">
        <v>0</v>
      </c>
      <c r="BG113" s="181">
        <v>0</v>
      </c>
      <c r="BH113" s="166">
        <v>0</v>
      </c>
      <c r="BI113" s="166">
        <v>0</v>
      </c>
      <c r="BJ113" s="166">
        <v>0</v>
      </c>
      <c r="BK113" s="166">
        <v>0</v>
      </c>
      <c r="BL113" s="166">
        <v>0</v>
      </c>
      <c r="BM113" s="166">
        <v>0</v>
      </c>
      <c r="BN113" s="166">
        <v>0</v>
      </c>
      <c r="BO113" s="166">
        <v>0</v>
      </c>
      <c r="BP113" s="166">
        <v>0</v>
      </c>
      <c r="BQ113" s="166">
        <v>0</v>
      </c>
      <c r="BR113" s="166">
        <v>0</v>
      </c>
      <c r="BS113" s="166">
        <v>0</v>
      </c>
      <c r="BT113" s="166">
        <v>0</v>
      </c>
      <c r="BU113" s="166">
        <v>0</v>
      </c>
      <c r="BV113" s="166">
        <v>0</v>
      </c>
      <c r="BW113" s="166">
        <v>0</v>
      </c>
      <c r="BX113" s="166">
        <v>0</v>
      </c>
      <c r="BY113" s="166">
        <v>0</v>
      </c>
      <c r="BZ113" s="166">
        <v>0</v>
      </c>
      <c r="CA113" s="182">
        <v>0</v>
      </c>
      <c r="CB113" s="79">
        <v>0</v>
      </c>
      <c r="CC113" s="182">
        <v>0</v>
      </c>
      <c r="CD113" s="182">
        <v>0</v>
      </c>
      <c r="CE113" s="182">
        <v>0</v>
      </c>
      <c r="CF113" s="182">
        <v>0</v>
      </c>
      <c r="CG113" s="182">
        <v>0</v>
      </c>
      <c r="CH113" s="183">
        <v>0</v>
      </c>
      <c r="CI113" s="182">
        <v>0</v>
      </c>
      <c r="CJ113" s="182">
        <v>0</v>
      </c>
      <c r="CK113" s="182">
        <v>0</v>
      </c>
      <c r="CL113" s="182">
        <v>0</v>
      </c>
      <c r="CM113" s="182">
        <v>0</v>
      </c>
      <c r="CN113" s="183">
        <v>0</v>
      </c>
      <c r="CO113" s="182">
        <v>0</v>
      </c>
      <c r="CP113" s="182">
        <v>0</v>
      </c>
      <c r="CQ113" s="182">
        <v>0</v>
      </c>
      <c r="CR113" s="182">
        <v>0</v>
      </c>
      <c r="CS113" s="183">
        <v>0</v>
      </c>
    </row>
    <row r="114" spans="1:97" x14ac:dyDescent="0.25">
      <c r="A114" s="46" t="s">
        <v>63</v>
      </c>
      <c r="B114" s="178">
        <v>0</v>
      </c>
      <c r="C114" s="179">
        <v>0</v>
      </c>
      <c r="D114" s="204">
        <v>0</v>
      </c>
      <c r="E114" s="179">
        <v>0</v>
      </c>
      <c r="F114" s="204">
        <v>0</v>
      </c>
      <c r="G114" s="179">
        <v>0</v>
      </c>
      <c r="H114" s="179">
        <v>0</v>
      </c>
      <c r="I114" s="179">
        <v>0</v>
      </c>
      <c r="J114" s="179">
        <v>0</v>
      </c>
      <c r="K114" s="179">
        <v>0</v>
      </c>
      <c r="L114" s="179">
        <v>0</v>
      </c>
      <c r="M114" s="179">
        <v>0</v>
      </c>
      <c r="N114" s="179">
        <v>0</v>
      </c>
      <c r="O114" s="179">
        <v>0</v>
      </c>
      <c r="P114" s="204">
        <v>0</v>
      </c>
      <c r="Q114" s="204">
        <v>0</v>
      </c>
      <c r="R114" s="204">
        <v>0</v>
      </c>
      <c r="S114" s="179">
        <v>0</v>
      </c>
      <c r="T114" s="179">
        <v>0</v>
      </c>
      <c r="U114" s="180">
        <v>0</v>
      </c>
      <c r="V114" s="180">
        <v>0</v>
      </c>
      <c r="W114" s="180">
        <v>0</v>
      </c>
      <c r="X114" s="180">
        <v>0</v>
      </c>
      <c r="Y114" s="180">
        <v>0</v>
      </c>
      <c r="Z114" s="180">
        <v>0</v>
      </c>
      <c r="AA114" s="180">
        <v>0</v>
      </c>
      <c r="AB114" s="180">
        <v>0</v>
      </c>
      <c r="AC114" s="180">
        <v>0</v>
      </c>
      <c r="AD114" s="180">
        <v>0</v>
      </c>
      <c r="AE114" s="180">
        <v>0</v>
      </c>
      <c r="AF114" s="180">
        <v>0</v>
      </c>
      <c r="AG114" s="180">
        <v>0</v>
      </c>
      <c r="AH114" s="180">
        <v>0</v>
      </c>
      <c r="AI114" s="180">
        <v>0</v>
      </c>
      <c r="AJ114" s="180">
        <v>0</v>
      </c>
      <c r="AK114" s="180">
        <v>0</v>
      </c>
      <c r="AL114" s="181">
        <v>0</v>
      </c>
      <c r="AM114" s="181">
        <v>0</v>
      </c>
      <c r="AN114" s="181">
        <v>0</v>
      </c>
      <c r="AO114" s="181">
        <v>0</v>
      </c>
      <c r="AP114" s="181">
        <v>0</v>
      </c>
      <c r="AQ114" s="181">
        <v>0</v>
      </c>
      <c r="AR114" s="181">
        <v>0</v>
      </c>
      <c r="AS114" s="181">
        <v>0</v>
      </c>
      <c r="AT114" s="181">
        <v>0</v>
      </c>
      <c r="AU114" s="181">
        <v>0</v>
      </c>
      <c r="AV114" s="181">
        <v>0</v>
      </c>
      <c r="AW114" s="181">
        <v>0</v>
      </c>
      <c r="AX114" s="181">
        <v>0</v>
      </c>
      <c r="AY114" s="181">
        <v>0</v>
      </c>
      <c r="AZ114" s="181">
        <v>0</v>
      </c>
      <c r="BA114" s="181">
        <v>0</v>
      </c>
      <c r="BB114" s="181">
        <v>0</v>
      </c>
      <c r="BC114" s="181">
        <v>0</v>
      </c>
      <c r="BD114" s="181">
        <v>0</v>
      </c>
      <c r="BE114" s="181">
        <v>0</v>
      </c>
      <c r="BF114" s="181">
        <v>0</v>
      </c>
      <c r="BG114" s="181">
        <v>0</v>
      </c>
      <c r="BH114" s="166">
        <v>0</v>
      </c>
      <c r="BI114" s="166">
        <v>0</v>
      </c>
      <c r="BJ114" s="166">
        <v>0</v>
      </c>
      <c r="BK114" s="166">
        <v>0</v>
      </c>
      <c r="BL114" s="166">
        <v>0</v>
      </c>
      <c r="BM114" s="166">
        <v>0</v>
      </c>
      <c r="BN114" s="166">
        <v>0</v>
      </c>
      <c r="BO114" s="166">
        <v>0</v>
      </c>
      <c r="BP114" s="166">
        <v>0</v>
      </c>
      <c r="BQ114" s="166">
        <v>0</v>
      </c>
      <c r="BR114" s="166">
        <v>0</v>
      </c>
      <c r="BS114" s="166">
        <v>0</v>
      </c>
      <c r="BT114" s="166">
        <v>0</v>
      </c>
      <c r="BU114" s="166">
        <v>0</v>
      </c>
      <c r="BV114" s="166">
        <v>0</v>
      </c>
      <c r="BW114" s="166">
        <v>0</v>
      </c>
      <c r="BX114" s="166">
        <v>0</v>
      </c>
      <c r="BY114" s="166">
        <v>0</v>
      </c>
      <c r="BZ114" s="166">
        <v>0</v>
      </c>
      <c r="CA114" s="182">
        <v>0</v>
      </c>
      <c r="CB114" s="79">
        <v>0</v>
      </c>
      <c r="CC114" s="182">
        <v>0</v>
      </c>
      <c r="CD114" s="182">
        <v>0</v>
      </c>
      <c r="CE114" s="182">
        <v>0</v>
      </c>
      <c r="CF114" s="182">
        <v>0</v>
      </c>
      <c r="CG114" s="182">
        <v>0</v>
      </c>
      <c r="CH114" s="183">
        <v>0</v>
      </c>
      <c r="CI114" s="182">
        <v>0</v>
      </c>
      <c r="CJ114" s="182">
        <v>0</v>
      </c>
      <c r="CK114" s="182">
        <v>0</v>
      </c>
      <c r="CL114" s="182">
        <v>0</v>
      </c>
      <c r="CM114" s="182">
        <v>0</v>
      </c>
      <c r="CN114" s="183">
        <v>0</v>
      </c>
      <c r="CO114" s="182">
        <v>0</v>
      </c>
      <c r="CP114" s="182">
        <v>0</v>
      </c>
      <c r="CQ114" s="182">
        <v>0</v>
      </c>
      <c r="CR114" s="182">
        <v>0</v>
      </c>
      <c r="CS114" s="183">
        <v>0</v>
      </c>
    </row>
    <row r="115" spans="1:97" x14ac:dyDescent="0.25">
      <c r="A115" s="46" t="s">
        <v>727</v>
      </c>
      <c r="B115" s="178" t="b">
        <v>1</v>
      </c>
      <c r="C115" s="179" t="b">
        <v>0</v>
      </c>
      <c r="D115" s="179" t="b">
        <v>1</v>
      </c>
      <c r="E115" s="179" t="b">
        <v>0</v>
      </c>
      <c r="F115" s="179" t="b">
        <v>0</v>
      </c>
      <c r="G115" s="179" t="b">
        <v>0</v>
      </c>
      <c r="H115" s="179" t="b">
        <v>0</v>
      </c>
      <c r="I115" s="179" t="b">
        <v>0</v>
      </c>
      <c r="J115" s="179" t="b">
        <v>0</v>
      </c>
      <c r="K115" s="179" t="b">
        <v>0</v>
      </c>
      <c r="L115" s="179" t="b">
        <v>1</v>
      </c>
      <c r="M115" s="179" t="b">
        <v>0</v>
      </c>
      <c r="N115" s="179" t="b">
        <v>0</v>
      </c>
      <c r="O115" s="179" t="b">
        <v>1</v>
      </c>
      <c r="P115" s="179" t="b">
        <v>1</v>
      </c>
      <c r="Q115" s="179" t="b">
        <v>0</v>
      </c>
      <c r="R115" s="179" t="b">
        <v>0</v>
      </c>
      <c r="S115" s="179" t="b">
        <v>0</v>
      </c>
      <c r="T115" s="179" t="b">
        <v>0</v>
      </c>
      <c r="U115" s="180" t="b">
        <v>1</v>
      </c>
      <c r="V115" s="180" t="b">
        <v>0</v>
      </c>
      <c r="W115" s="180" t="b">
        <v>0</v>
      </c>
      <c r="X115" s="180" t="b">
        <v>0</v>
      </c>
      <c r="Y115" s="180" t="b">
        <v>0</v>
      </c>
      <c r="Z115" s="180" t="b">
        <v>0</v>
      </c>
      <c r="AA115" s="180" t="b">
        <v>0</v>
      </c>
      <c r="AB115" s="180" t="b">
        <v>1</v>
      </c>
      <c r="AC115" s="180" t="b">
        <v>0</v>
      </c>
      <c r="AD115" s="180" t="b">
        <v>0</v>
      </c>
      <c r="AE115" s="180" t="b">
        <v>0</v>
      </c>
      <c r="AF115" s="180" t="b">
        <v>0</v>
      </c>
      <c r="AG115" s="180" t="b">
        <v>0</v>
      </c>
      <c r="AH115" s="180" t="b">
        <v>1</v>
      </c>
      <c r="AI115" s="180" t="b">
        <v>0</v>
      </c>
      <c r="AJ115" s="180" t="b">
        <v>0</v>
      </c>
      <c r="AK115" s="180" t="b">
        <v>0</v>
      </c>
      <c r="AL115" s="181" t="b">
        <v>0</v>
      </c>
      <c r="AM115" s="181" t="b">
        <v>0</v>
      </c>
      <c r="AN115" s="181" t="b">
        <v>0</v>
      </c>
      <c r="AO115" s="181" t="b">
        <v>0</v>
      </c>
      <c r="AP115" s="181" t="b">
        <v>1</v>
      </c>
      <c r="AQ115" s="181" t="b">
        <v>1</v>
      </c>
      <c r="AR115" s="181" t="b">
        <v>0</v>
      </c>
      <c r="AS115" s="181" t="b">
        <v>1</v>
      </c>
      <c r="AT115" s="181" t="b">
        <v>0</v>
      </c>
      <c r="AU115" s="181" t="b">
        <v>0</v>
      </c>
      <c r="AV115" s="181" t="b">
        <v>0</v>
      </c>
      <c r="AW115" s="181" t="b">
        <v>0</v>
      </c>
      <c r="AX115" s="181" t="b">
        <v>0</v>
      </c>
      <c r="AY115" s="181" t="b">
        <v>0</v>
      </c>
      <c r="AZ115" s="181" t="b">
        <v>0</v>
      </c>
      <c r="BA115" s="181" t="b">
        <v>0</v>
      </c>
      <c r="BB115" s="181" t="b">
        <v>0</v>
      </c>
      <c r="BC115" s="181" t="b">
        <v>0</v>
      </c>
      <c r="BD115" s="181" t="b">
        <v>1</v>
      </c>
      <c r="BE115" s="181" t="b">
        <v>0</v>
      </c>
      <c r="BF115" s="181" t="b">
        <v>0</v>
      </c>
      <c r="BG115" s="181" t="b">
        <v>0</v>
      </c>
      <c r="BH115" s="166" t="b">
        <v>0</v>
      </c>
      <c r="BI115" s="166" t="b">
        <v>1</v>
      </c>
      <c r="BJ115" s="166" t="b">
        <v>0</v>
      </c>
      <c r="BK115" s="166" t="b">
        <v>1</v>
      </c>
      <c r="BL115" s="166" t="b">
        <v>1</v>
      </c>
      <c r="BM115" s="166" t="b">
        <v>1</v>
      </c>
      <c r="BN115" s="166" t="b">
        <v>0</v>
      </c>
      <c r="BO115" s="166" t="b">
        <v>0</v>
      </c>
      <c r="BP115" s="166" t="b">
        <v>0</v>
      </c>
      <c r="BQ115" s="166" t="b">
        <v>0</v>
      </c>
      <c r="BR115" s="166" t="b">
        <v>0</v>
      </c>
      <c r="BS115" s="166" t="b">
        <v>0</v>
      </c>
      <c r="BT115" s="166" t="b">
        <v>0</v>
      </c>
      <c r="BU115" s="166" t="b">
        <v>0</v>
      </c>
      <c r="BV115" s="166" t="b">
        <v>0</v>
      </c>
      <c r="BW115" s="166" t="b">
        <v>0</v>
      </c>
      <c r="BX115" s="166" t="b">
        <v>0</v>
      </c>
      <c r="BY115" s="166" t="b">
        <v>0</v>
      </c>
      <c r="BZ115" s="166" t="b">
        <v>0</v>
      </c>
      <c r="CA115" s="182" t="b">
        <v>0</v>
      </c>
      <c r="CB115" s="78" t="b">
        <v>0</v>
      </c>
      <c r="CC115" s="182" t="b">
        <v>1</v>
      </c>
      <c r="CD115" s="182" t="b">
        <v>0</v>
      </c>
      <c r="CE115" s="182" t="b">
        <v>0</v>
      </c>
      <c r="CF115" s="182" t="b">
        <v>1</v>
      </c>
      <c r="CG115" s="182" t="b">
        <v>0</v>
      </c>
      <c r="CH115" s="182" t="b">
        <v>0</v>
      </c>
      <c r="CI115" s="182" t="b">
        <v>0</v>
      </c>
      <c r="CJ115" s="182" t="b">
        <v>0</v>
      </c>
      <c r="CK115" s="182" t="b">
        <v>0</v>
      </c>
      <c r="CL115" s="182" t="b">
        <v>0</v>
      </c>
      <c r="CM115" s="182" t="b">
        <v>0</v>
      </c>
      <c r="CN115" s="182" t="b">
        <v>0</v>
      </c>
      <c r="CO115" s="182" t="b">
        <v>0</v>
      </c>
      <c r="CP115" s="182" t="b">
        <v>0</v>
      </c>
      <c r="CQ115" s="182" t="b">
        <v>0</v>
      </c>
      <c r="CR115" s="182" t="b">
        <v>0</v>
      </c>
      <c r="CS115" s="182" t="b">
        <v>0</v>
      </c>
    </row>
    <row r="116" spans="1:97" x14ac:dyDescent="0.25">
      <c r="A116" s="46" t="s">
        <v>728</v>
      </c>
      <c r="B116" s="178" t="b">
        <v>0</v>
      </c>
      <c r="C116" s="179" t="b">
        <v>0</v>
      </c>
      <c r="D116" s="179" t="b">
        <v>1</v>
      </c>
      <c r="E116" s="179" t="b">
        <v>0</v>
      </c>
      <c r="F116" s="179" t="b">
        <v>0</v>
      </c>
      <c r="G116" s="179" t="b">
        <v>0</v>
      </c>
      <c r="H116" s="179" t="b">
        <v>0</v>
      </c>
      <c r="I116" s="179" t="b">
        <v>0</v>
      </c>
      <c r="J116" s="179" t="b">
        <v>0</v>
      </c>
      <c r="K116" s="179" t="b">
        <v>0</v>
      </c>
      <c r="L116" s="179" t="b">
        <v>1</v>
      </c>
      <c r="M116" s="179" t="b">
        <v>0</v>
      </c>
      <c r="N116" s="179" t="b">
        <v>0</v>
      </c>
      <c r="O116" s="179" t="b">
        <v>0</v>
      </c>
      <c r="P116" s="179" t="b">
        <v>0</v>
      </c>
      <c r="Q116" s="179" t="b">
        <v>0</v>
      </c>
      <c r="R116" s="179" t="b">
        <v>0</v>
      </c>
      <c r="S116" s="179" t="b">
        <v>0</v>
      </c>
      <c r="T116" s="179" t="b">
        <v>0</v>
      </c>
      <c r="U116" s="180" t="b">
        <v>0</v>
      </c>
      <c r="V116" s="180" t="b">
        <v>0</v>
      </c>
      <c r="W116" s="180" t="b">
        <v>0</v>
      </c>
      <c r="X116" s="180" t="b">
        <v>0</v>
      </c>
      <c r="Y116" s="180" t="b">
        <v>0</v>
      </c>
      <c r="Z116" s="180" t="b">
        <v>0</v>
      </c>
      <c r="AA116" s="180" t="b">
        <v>0</v>
      </c>
      <c r="AB116" s="180" t="b">
        <v>1</v>
      </c>
      <c r="AC116" s="180" t="b">
        <v>0</v>
      </c>
      <c r="AD116" s="180" t="b">
        <v>0</v>
      </c>
      <c r="AE116" s="180" t="b">
        <v>0</v>
      </c>
      <c r="AF116" s="180" t="b">
        <v>0</v>
      </c>
      <c r="AG116" s="180" t="b">
        <v>0</v>
      </c>
      <c r="AH116" s="180" t="b">
        <v>0</v>
      </c>
      <c r="AI116" s="180" t="b">
        <v>0</v>
      </c>
      <c r="AJ116" s="180" t="b">
        <v>0</v>
      </c>
      <c r="AK116" s="180" t="b">
        <v>0</v>
      </c>
      <c r="AL116" s="181" t="b">
        <v>0</v>
      </c>
      <c r="AM116" s="181" t="b">
        <v>0</v>
      </c>
      <c r="AN116" s="181" t="b">
        <v>0</v>
      </c>
      <c r="AO116" s="181" t="b">
        <v>0</v>
      </c>
      <c r="AP116" s="181" t="b">
        <v>0</v>
      </c>
      <c r="AQ116" s="181" t="b">
        <v>0</v>
      </c>
      <c r="AR116" s="181" t="b">
        <v>0</v>
      </c>
      <c r="AS116" s="181" t="b">
        <v>0</v>
      </c>
      <c r="AT116" s="181" t="b">
        <v>0</v>
      </c>
      <c r="AU116" s="181" t="b">
        <v>0</v>
      </c>
      <c r="AV116" s="181" t="b">
        <v>0</v>
      </c>
      <c r="AW116" s="181" t="b">
        <v>0</v>
      </c>
      <c r="AX116" s="181" t="b">
        <v>0</v>
      </c>
      <c r="AY116" s="181" t="b">
        <v>0</v>
      </c>
      <c r="AZ116" s="181" t="b">
        <v>0</v>
      </c>
      <c r="BA116" s="181" t="b">
        <v>0</v>
      </c>
      <c r="BB116" s="181" t="b">
        <v>0</v>
      </c>
      <c r="BC116" s="181" t="b">
        <v>0</v>
      </c>
      <c r="BD116" s="181" t="b">
        <v>0</v>
      </c>
      <c r="BE116" s="181" t="b">
        <v>0</v>
      </c>
      <c r="BF116" s="181" t="b">
        <v>0</v>
      </c>
      <c r="BG116" s="181" t="b">
        <v>0</v>
      </c>
      <c r="BH116" s="166" t="b">
        <v>0</v>
      </c>
      <c r="BI116" s="166" t="b">
        <v>0</v>
      </c>
      <c r="BJ116" s="166" t="b">
        <v>0</v>
      </c>
      <c r="BK116" s="166" t="b">
        <v>0</v>
      </c>
      <c r="BL116" s="166" t="b">
        <v>1</v>
      </c>
      <c r="BM116" s="166" t="b">
        <v>0</v>
      </c>
      <c r="BN116" s="166" t="b">
        <v>0</v>
      </c>
      <c r="BO116" s="166" t="b">
        <v>0</v>
      </c>
      <c r="BP116" s="166" t="b">
        <v>0</v>
      </c>
      <c r="BQ116" s="166" t="b">
        <v>0</v>
      </c>
      <c r="BR116" s="166" t="b">
        <v>0</v>
      </c>
      <c r="BS116" s="166" t="b">
        <v>0</v>
      </c>
      <c r="BT116" s="166" t="b">
        <v>0</v>
      </c>
      <c r="BU116" s="166" t="b">
        <v>0</v>
      </c>
      <c r="BV116" s="166" t="b">
        <v>0</v>
      </c>
      <c r="BW116" s="166" t="b">
        <v>0</v>
      </c>
      <c r="BX116" s="166" t="b">
        <v>0</v>
      </c>
      <c r="BY116" s="166" t="b">
        <v>0</v>
      </c>
      <c r="BZ116" s="166" t="b">
        <v>0</v>
      </c>
      <c r="CA116" s="182" t="b">
        <v>0</v>
      </c>
      <c r="CB116" s="78" t="b">
        <v>0</v>
      </c>
      <c r="CC116" s="182" t="b">
        <v>0</v>
      </c>
      <c r="CD116" s="182" t="b">
        <v>0</v>
      </c>
      <c r="CE116" s="182" t="b">
        <v>0</v>
      </c>
      <c r="CF116" s="182" t="b">
        <v>0</v>
      </c>
      <c r="CG116" s="182" t="b">
        <v>0</v>
      </c>
      <c r="CH116" s="182" t="b">
        <v>0</v>
      </c>
      <c r="CI116" s="182" t="b">
        <v>0</v>
      </c>
      <c r="CJ116" s="182" t="b">
        <v>0</v>
      </c>
      <c r="CK116" s="182" t="b">
        <v>0</v>
      </c>
      <c r="CL116" s="182" t="b">
        <v>0</v>
      </c>
      <c r="CM116" s="182" t="b">
        <v>0</v>
      </c>
      <c r="CN116" s="182" t="b">
        <v>0</v>
      </c>
      <c r="CO116" s="182" t="b">
        <v>0</v>
      </c>
      <c r="CP116" s="182" t="b">
        <v>0</v>
      </c>
      <c r="CQ116" s="182" t="b">
        <v>0</v>
      </c>
      <c r="CR116" s="182" t="b">
        <v>0</v>
      </c>
      <c r="CS116" s="182" t="b">
        <v>0</v>
      </c>
    </row>
    <row r="117" spans="1:97" x14ac:dyDescent="0.25">
      <c r="A117" s="46" t="s">
        <v>729</v>
      </c>
      <c r="B117" s="178" t="b">
        <v>0</v>
      </c>
      <c r="C117" s="179" t="b">
        <v>0</v>
      </c>
      <c r="D117" s="179" t="b">
        <v>0</v>
      </c>
      <c r="E117" s="179" t="b">
        <v>0</v>
      </c>
      <c r="F117" s="179" t="b">
        <v>0</v>
      </c>
      <c r="G117" s="179" t="b">
        <v>0</v>
      </c>
      <c r="H117" s="179" t="b">
        <v>0</v>
      </c>
      <c r="I117" s="179" t="b">
        <v>0</v>
      </c>
      <c r="J117" s="179" t="b">
        <v>0</v>
      </c>
      <c r="K117" s="179" t="b">
        <v>0</v>
      </c>
      <c r="L117" s="179" t="b">
        <v>0</v>
      </c>
      <c r="M117" s="179" t="b">
        <v>0</v>
      </c>
      <c r="N117" s="179" t="b">
        <v>0</v>
      </c>
      <c r="O117" s="179" t="b">
        <v>0</v>
      </c>
      <c r="P117" s="179" t="b">
        <v>0</v>
      </c>
      <c r="Q117" s="179" t="b">
        <v>0</v>
      </c>
      <c r="R117" s="179" t="b">
        <v>0</v>
      </c>
      <c r="S117" s="179" t="b">
        <v>0</v>
      </c>
      <c r="T117" s="179" t="b">
        <v>0</v>
      </c>
      <c r="U117" s="180" t="b">
        <v>0</v>
      </c>
      <c r="V117" s="180" t="b">
        <v>0</v>
      </c>
      <c r="W117" s="180" t="b">
        <v>0</v>
      </c>
      <c r="X117" s="180" t="b">
        <v>0</v>
      </c>
      <c r="Y117" s="180" t="b">
        <v>0</v>
      </c>
      <c r="Z117" s="180" t="b">
        <v>0</v>
      </c>
      <c r="AA117" s="180" t="b">
        <v>0</v>
      </c>
      <c r="AB117" s="180" t="b">
        <v>0</v>
      </c>
      <c r="AC117" s="180" t="b">
        <v>0</v>
      </c>
      <c r="AD117" s="180" t="b">
        <v>0</v>
      </c>
      <c r="AE117" s="180" t="b">
        <v>0</v>
      </c>
      <c r="AF117" s="180" t="b">
        <v>0</v>
      </c>
      <c r="AG117" s="180" t="b">
        <v>0</v>
      </c>
      <c r="AH117" s="180" t="b">
        <v>0</v>
      </c>
      <c r="AI117" s="180" t="b">
        <v>0</v>
      </c>
      <c r="AJ117" s="180" t="b">
        <v>0</v>
      </c>
      <c r="AK117" s="180" t="b">
        <v>0</v>
      </c>
      <c r="AL117" s="181" t="b">
        <v>0</v>
      </c>
      <c r="AM117" s="181" t="b">
        <v>0</v>
      </c>
      <c r="AN117" s="181" t="b">
        <v>0</v>
      </c>
      <c r="AO117" s="181" t="b">
        <v>0</v>
      </c>
      <c r="AP117" s="181" t="b">
        <v>0</v>
      </c>
      <c r="AQ117" s="181" t="b">
        <v>0</v>
      </c>
      <c r="AR117" s="181" t="b">
        <v>0</v>
      </c>
      <c r="AS117" s="181" t="b">
        <v>0</v>
      </c>
      <c r="AT117" s="181" t="b">
        <v>0</v>
      </c>
      <c r="AU117" s="181" t="b">
        <v>0</v>
      </c>
      <c r="AV117" s="181" t="b">
        <v>0</v>
      </c>
      <c r="AW117" s="181" t="b">
        <v>0</v>
      </c>
      <c r="AX117" s="181" t="b">
        <v>0</v>
      </c>
      <c r="AY117" s="181" t="b">
        <v>0</v>
      </c>
      <c r="AZ117" s="181" t="b">
        <v>0</v>
      </c>
      <c r="BA117" s="181" t="b">
        <v>0</v>
      </c>
      <c r="BB117" s="181" t="b">
        <v>0</v>
      </c>
      <c r="BC117" s="181" t="b">
        <v>0</v>
      </c>
      <c r="BD117" s="181" t="b">
        <v>0</v>
      </c>
      <c r="BE117" s="181" t="b">
        <v>0</v>
      </c>
      <c r="BF117" s="181" t="b">
        <v>0</v>
      </c>
      <c r="BG117" s="181" t="b">
        <v>0</v>
      </c>
      <c r="BH117" s="166" t="b">
        <v>0</v>
      </c>
      <c r="BI117" s="166" t="b">
        <v>0</v>
      </c>
      <c r="BJ117" s="166" t="b">
        <v>0</v>
      </c>
      <c r="BK117" s="166" t="b">
        <v>0</v>
      </c>
      <c r="BL117" s="166" t="b">
        <v>0</v>
      </c>
      <c r="BM117" s="166" t="b">
        <v>0</v>
      </c>
      <c r="BN117" s="166" t="b">
        <v>0</v>
      </c>
      <c r="BO117" s="166" t="b">
        <v>0</v>
      </c>
      <c r="BP117" s="166" t="b">
        <v>0</v>
      </c>
      <c r="BQ117" s="166" t="b">
        <v>0</v>
      </c>
      <c r="BR117" s="166" t="b">
        <v>0</v>
      </c>
      <c r="BS117" s="166" t="b">
        <v>0</v>
      </c>
      <c r="BT117" s="166" t="b">
        <v>0</v>
      </c>
      <c r="BU117" s="166" t="b">
        <v>0</v>
      </c>
      <c r="BV117" s="166" t="b">
        <v>0</v>
      </c>
      <c r="BW117" s="166" t="b">
        <v>0</v>
      </c>
      <c r="BX117" s="166" t="b">
        <v>0</v>
      </c>
      <c r="BY117" s="166" t="b">
        <v>0</v>
      </c>
      <c r="BZ117" s="166" t="b">
        <v>0</v>
      </c>
      <c r="CA117" s="182" t="b">
        <v>0</v>
      </c>
      <c r="CB117" s="78" t="b">
        <v>0</v>
      </c>
      <c r="CC117" s="182" t="b">
        <v>0</v>
      </c>
      <c r="CD117" s="182" t="b">
        <v>0</v>
      </c>
      <c r="CE117" s="182" t="b">
        <v>0</v>
      </c>
      <c r="CF117" s="182" t="b">
        <v>0</v>
      </c>
      <c r="CG117" s="182" t="b">
        <v>0</v>
      </c>
      <c r="CH117" s="182" t="b">
        <v>0</v>
      </c>
      <c r="CI117" s="182" t="b">
        <v>0</v>
      </c>
      <c r="CJ117" s="182" t="b">
        <v>0</v>
      </c>
      <c r="CK117" s="182" t="b">
        <v>0</v>
      </c>
      <c r="CL117" s="182" t="b">
        <v>0</v>
      </c>
      <c r="CM117" s="182" t="b">
        <v>0</v>
      </c>
      <c r="CN117" s="182" t="b">
        <v>0</v>
      </c>
      <c r="CO117" s="182" t="b">
        <v>0</v>
      </c>
      <c r="CP117" s="182" t="b">
        <v>0</v>
      </c>
      <c r="CQ117" s="182" t="b">
        <v>0</v>
      </c>
      <c r="CR117" s="182" t="b">
        <v>0</v>
      </c>
      <c r="CS117" s="182" t="b">
        <v>0</v>
      </c>
    </row>
    <row r="118" spans="1:97" x14ac:dyDescent="0.25">
      <c r="A118" s="46" t="s">
        <v>730</v>
      </c>
      <c r="B118" s="178" t="s">
        <v>705</v>
      </c>
      <c r="C118" s="179"/>
      <c r="D118" s="179" t="s">
        <v>706</v>
      </c>
      <c r="E118" s="179"/>
      <c r="F118" s="184"/>
      <c r="G118" s="179"/>
      <c r="H118" s="179"/>
      <c r="I118" s="170"/>
      <c r="J118" s="179"/>
      <c r="K118" s="162"/>
      <c r="L118" s="179" t="s">
        <v>707</v>
      </c>
      <c r="M118" s="179"/>
      <c r="N118" s="162"/>
      <c r="O118" s="162" t="s">
        <v>708</v>
      </c>
      <c r="P118" s="179" t="s">
        <v>709</v>
      </c>
      <c r="Q118" s="184"/>
      <c r="R118" s="184"/>
      <c r="S118" s="184"/>
      <c r="T118" s="162"/>
      <c r="U118" s="171" t="s">
        <v>710</v>
      </c>
      <c r="V118" s="180"/>
      <c r="W118" s="171"/>
      <c r="X118" s="171"/>
      <c r="Y118" s="171"/>
      <c r="Z118" s="180"/>
      <c r="AA118" s="180"/>
      <c r="AB118" s="171" t="s">
        <v>711</v>
      </c>
      <c r="AC118" s="171"/>
      <c r="AD118" s="171"/>
      <c r="AE118" s="171"/>
      <c r="AF118" s="171"/>
      <c r="AG118" s="171"/>
      <c r="AH118" s="171" t="s">
        <v>712</v>
      </c>
      <c r="AI118" s="171"/>
      <c r="AJ118" s="171"/>
      <c r="AK118" s="171"/>
      <c r="AL118" s="172"/>
      <c r="AM118" s="181"/>
      <c r="AN118" s="181"/>
      <c r="AO118" s="172"/>
      <c r="AP118" s="172" t="s">
        <v>713</v>
      </c>
      <c r="AQ118" s="172" t="s">
        <v>714</v>
      </c>
      <c r="AR118" s="172"/>
      <c r="AS118" s="172" t="s">
        <v>715</v>
      </c>
      <c r="AT118" s="172"/>
      <c r="AU118" s="172"/>
      <c r="AV118" s="172"/>
      <c r="AW118" s="172"/>
      <c r="AX118" s="172"/>
      <c r="AY118" s="172"/>
      <c r="AZ118" s="172"/>
      <c r="BA118" s="172"/>
      <c r="BB118" s="172"/>
      <c r="BC118" s="181"/>
      <c r="BD118" s="172" t="s">
        <v>716</v>
      </c>
      <c r="BE118" s="172"/>
      <c r="BF118" s="181"/>
      <c r="BG118" s="172"/>
      <c r="BH118" s="174"/>
      <c r="BI118" s="174" t="s">
        <v>717</v>
      </c>
      <c r="BJ118" s="174"/>
      <c r="BK118" s="166" t="s">
        <v>718</v>
      </c>
      <c r="BL118" s="174" t="s">
        <v>719</v>
      </c>
      <c r="BM118" s="174" t="s">
        <v>720</v>
      </c>
      <c r="BN118" s="174"/>
      <c r="BO118" s="174"/>
      <c r="BP118" s="174"/>
      <c r="BQ118" s="174"/>
      <c r="BR118" s="174"/>
      <c r="BS118" s="174"/>
      <c r="BT118" s="174"/>
      <c r="BU118" s="174"/>
      <c r="BV118" s="174"/>
      <c r="BW118" s="166"/>
      <c r="BX118" s="166"/>
      <c r="BY118" s="166"/>
      <c r="BZ118" s="174"/>
      <c r="CA118" s="167"/>
      <c r="CB118" s="78"/>
      <c r="CC118" s="167" t="s">
        <v>721</v>
      </c>
      <c r="CD118" s="167"/>
      <c r="CE118" s="167"/>
      <c r="CF118" s="167" t="s">
        <v>722</v>
      </c>
      <c r="CG118" s="167"/>
      <c r="CH118" s="167"/>
      <c r="CI118" s="167"/>
      <c r="CJ118" s="167"/>
      <c r="CK118" s="167"/>
      <c r="CL118" s="167"/>
      <c r="CM118" s="167"/>
      <c r="CN118" s="167"/>
      <c r="CO118" s="167"/>
      <c r="CP118" s="167"/>
      <c r="CQ118" s="167"/>
      <c r="CR118" s="167"/>
      <c r="CS118" s="167"/>
    </row>
    <row r="119" spans="1:97" x14ac:dyDescent="0.25">
      <c r="A119" s="46" t="s">
        <v>731</v>
      </c>
      <c r="B119" s="178" t="s">
        <v>249</v>
      </c>
      <c r="C119" s="179"/>
      <c r="D119" s="179" t="s">
        <v>6</v>
      </c>
      <c r="E119" s="179"/>
      <c r="F119" s="184"/>
      <c r="G119" s="179"/>
      <c r="H119" s="179"/>
      <c r="I119" s="170"/>
      <c r="J119" s="179"/>
      <c r="K119" s="162"/>
      <c r="L119" s="179" t="s">
        <v>249</v>
      </c>
      <c r="M119" s="179"/>
      <c r="N119" s="162"/>
      <c r="O119" s="162" t="s">
        <v>249</v>
      </c>
      <c r="P119" s="179" t="s">
        <v>249</v>
      </c>
      <c r="Q119" s="184"/>
      <c r="R119" s="184"/>
      <c r="S119" s="184"/>
      <c r="T119" s="162"/>
      <c r="U119" s="171" t="s">
        <v>249</v>
      </c>
      <c r="V119" s="180"/>
      <c r="W119" s="171"/>
      <c r="X119" s="171"/>
      <c r="Y119" s="171"/>
      <c r="Z119" s="180"/>
      <c r="AA119" s="180"/>
      <c r="AB119" s="171" t="s">
        <v>249</v>
      </c>
      <c r="AC119" s="171"/>
      <c r="AD119" s="171"/>
      <c r="AE119" s="171"/>
      <c r="AF119" s="171"/>
      <c r="AG119" s="171"/>
      <c r="AH119" s="171" t="s">
        <v>249</v>
      </c>
      <c r="AI119" s="171"/>
      <c r="AJ119" s="171"/>
      <c r="AK119" s="171"/>
      <c r="AL119" s="172"/>
      <c r="AM119" s="181"/>
      <c r="AN119" s="181"/>
      <c r="AO119" s="172"/>
      <c r="AP119" s="172" t="s">
        <v>249</v>
      </c>
      <c r="AQ119" s="172" t="s">
        <v>249</v>
      </c>
      <c r="AR119" s="172"/>
      <c r="AS119" s="172" t="s">
        <v>249</v>
      </c>
      <c r="AT119" s="172"/>
      <c r="AU119" s="172"/>
      <c r="AV119" s="172"/>
      <c r="AW119" s="172"/>
      <c r="AX119" s="172"/>
      <c r="AY119" s="172"/>
      <c r="AZ119" s="172"/>
      <c r="BA119" s="172"/>
      <c r="BB119" s="172"/>
      <c r="BC119" s="181"/>
      <c r="BD119" s="172" t="s">
        <v>19</v>
      </c>
      <c r="BE119" s="172"/>
      <c r="BF119" s="181"/>
      <c r="BG119" s="172"/>
      <c r="BH119" s="174"/>
      <c r="BI119" s="174" t="s">
        <v>249</v>
      </c>
      <c r="BJ119" s="174"/>
      <c r="BK119" s="166" t="s">
        <v>6</v>
      </c>
      <c r="BL119" s="174" t="s">
        <v>249</v>
      </c>
      <c r="BM119" s="174" t="s">
        <v>249</v>
      </c>
      <c r="BN119" s="174"/>
      <c r="BO119" s="174"/>
      <c r="BP119" s="174"/>
      <c r="BQ119" s="174"/>
      <c r="BR119" s="174"/>
      <c r="BS119" s="174"/>
      <c r="BT119" s="174"/>
      <c r="BU119" s="174"/>
      <c r="BV119" s="174"/>
      <c r="BW119" s="166"/>
      <c r="BX119" s="166"/>
      <c r="BY119" s="166"/>
      <c r="BZ119" s="174"/>
      <c r="CA119" s="167"/>
      <c r="CB119" s="78"/>
      <c r="CC119" s="167" t="s">
        <v>249</v>
      </c>
      <c r="CD119" s="167"/>
      <c r="CE119" s="167"/>
      <c r="CF119" s="167" t="s">
        <v>249</v>
      </c>
      <c r="CG119" s="167"/>
      <c r="CH119" s="167"/>
      <c r="CI119" s="167"/>
      <c r="CJ119" s="167"/>
      <c r="CK119" s="167"/>
      <c r="CL119" s="167"/>
      <c r="CM119" s="167"/>
      <c r="CN119" s="167"/>
      <c r="CO119" s="167"/>
      <c r="CP119" s="167"/>
      <c r="CQ119" s="167"/>
      <c r="CR119" s="167"/>
      <c r="CS119" s="167"/>
    </row>
    <row r="120" spans="1:97" x14ac:dyDescent="0.25">
      <c r="A120" s="46" t="s">
        <v>732</v>
      </c>
      <c r="B120" s="178" t="s">
        <v>127</v>
      </c>
      <c r="C120" s="179"/>
      <c r="D120" s="179" t="s">
        <v>130</v>
      </c>
      <c r="E120" s="179"/>
      <c r="F120" s="184"/>
      <c r="G120" s="179"/>
      <c r="H120" s="179"/>
      <c r="I120" s="170"/>
      <c r="J120" s="179"/>
      <c r="K120" s="162"/>
      <c r="L120" s="179" t="s">
        <v>127</v>
      </c>
      <c r="M120" s="179"/>
      <c r="N120" s="162"/>
      <c r="O120" s="162" t="s">
        <v>127</v>
      </c>
      <c r="P120" s="179" t="s">
        <v>127</v>
      </c>
      <c r="Q120" s="184"/>
      <c r="R120" s="184"/>
      <c r="S120" s="184"/>
      <c r="T120" s="162"/>
      <c r="U120" s="171" t="s">
        <v>127</v>
      </c>
      <c r="V120" s="180"/>
      <c r="W120" s="171"/>
      <c r="X120" s="171"/>
      <c r="Y120" s="171"/>
      <c r="Z120" s="180"/>
      <c r="AA120" s="180"/>
      <c r="AB120" s="171" t="s">
        <v>127</v>
      </c>
      <c r="AC120" s="171"/>
      <c r="AD120" s="171"/>
      <c r="AE120" s="171"/>
      <c r="AF120" s="171"/>
      <c r="AG120" s="171"/>
      <c r="AH120" s="171" t="s">
        <v>127</v>
      </c>
      <c r="AI120" s="171"/>
      <c r="AJ120" s="171"/>
      <c r="AK120" s="171"/>
      <c r="AL120" s="172"/>
      <c r="AM120" s="181"/>
      <c r="AN120" s="181"/>
      <c r="AO120" s="172"/>
      <c r="AP120" s="172" t="s">
        <v>127</v>
      </c>
      <c r="AQ120" s="172" t="s">
        <v>127</v>
      </c>
      <c r="AR120" s="172"/>
      <c r="AS120" s="172" t="s">
        <v>127</v>
      </c>
      <c r="AT120" s="172"/>
      <c r="AU120" s="172"/>
      <c r="AV120" s="172"/>
      <c r="AW120" s="172"/>
      <c r="AX120" s="172"/>
      <c r="AY120" s="172"/>
      <c r="AZ120" s="172"/>
      <c r="BA120" s="172"/>
      <c r="BB120" s="172"/>
      <c r="BC120" s="181"/>
      <c r="BD120" s="172" t="s">
        <v>130</v>
      </c>
      <c r="BE120" s="172"/>
      <c r="BF120" s="181"/>
      <c r="BG120" s="172"/>
      <c r="BH120" s="174"/>
      <c r="BI120" s="174" t="s">
        <v>127</v>
      </c>
      <c r="BJ120" s="174"/>
      <c r="BK120" s="166" t="s">
        <v>226</v>
      </c>
      <c r="BL120" s="174" t="s">
        <v>127</v>
      </c>
      <c r="BM120" s="174" t="s">
        <v>127</v>
      </c>
      <c r="BN120" s="174"/>
      <c r="BO120" s="174"/>
      <c r="BP120" s="174"/>
      <c r="BQ120" s="174"/>
      <c r="BR120" s="174"/>
      <c r="BS120" s="174"/>
      <c r="BT120" s="174"/>
      <c r="BU120" s="174"/>
      <c r="BV120" s="174"/>
      <c r="BW120" s="166"/>
      <c r="BX120" s="166"/>
      <c r="BY120" s="166"/>
      <c r="BZ120" s="174"/>
      <c r="CA120" s="167"/>
      <c r="CB120" s="78"/>
      <c r="CC120" s="167" t="s">
        <v>127</v>
      </c>
      <c r="CD120" s="167"/>
      <c r="CE120" s="167"/>
      <c r="CF120" s="167" t="s">
        <v>127</v>
      </c>
      <c r="CG120" s="167"/>
      <c r="CH120" s="167"/>
      <c r="CI120" s="167"/>
      <c r="CJ120" s="167"/>
      <c r="CK120" s="167"/>
      <c r="CL120" s="167"/>
      <c r="CM120" s="167"/>
      <c r="CN120" s="167"/>
      <c r="CO120" s="167"/>
      <c r="CP120" s="167"/>
      <c r="CQ120" s="167"/>
      <c r="CR120" s="167"/>
      <c r="CS120" s="167"/>
    </row>
    <row r="121" spans="1:97" x14ac:dyDescent="0.25">
      <c r="A121" s="46" t="s">
        <v>733</v>
      </c>
      <c r="B121" s="168">
        <f>80%+(char2Refine-1)*20%</f>
        <v>1.6</v>
      </c>
      <c r="C121" s="179"/>
      <c r="D121" s="185">
        <f>40%+(char2Refine-1)*10%</f>
        <v>0.8</v>
      </c>
      <c r="E121" s="179"/>
      <c r="F121" s="184"/>
      <c r="G121" s="179"/>
      <c r="H121" s="179"/>
      <c r="I121" s="170"/>
      <c r="J121" s="179"/>
      <c r="K121" s="162"/>
      <c r="L121" s="185">
        <f>80%+(char2Refine-1)*15%</f>
        <v>1.4</v>
      </c>
      <c r="M121" s="179"/>
      <c r="N121" s="162"/>
      <c r="O121" s="185">
        <f>240%+(char2Refine-1)*60%</f>
        <v>4.8</v>
      </c>
      <c r="P121" s="170">
        <f>100%+(char2Refine-1)*25%</f>
        <v>2</v>
      </c>
      <c r="Q121" s="184"/>
      <c r="R121" s="184"/>
      <c r="S121" s="184"/>
      <c r="T121" s="162"/>
      <c r="U121" s="171">
        <f>40%+(char2Refine-1)*15%</f>
        <v>1</v>
      </c>
      <c r="V121" s="180"/>
      <c r="W121" s="171"/>
      <c r="X121" s="171"/>
      <c r="Y121" s="171"/>
      <c r="Z121" s="180"/>
      <c r="AA121" s="180"/>
      <c r="AB121" s="171">
        <f>60%+(char2Refine-1)*15%</f>
        <v>1.2</v>
      </c>
      <c r="AC121" s="171"/>
      <c r="AD121" s="171"/>
      <c r="AE121" s="171"/>
      <c r="AF121" s="171"/>
      <c r="AG121" s="171"/>
      <c r="AH121" s="171">
        <f>20%+(char2Refine-1)*5%</f>
        <v>0.4</v>
      </c>
      <c r="AI121" s="171"/>
      <c r="AJ121" s="171"/>
      <c r="AK121" s="171"/>
      <c r="AL121" s="172"/>
      <c r="AM121" s="181"/>
      <c r="AN121" s="181"/>
      <c r="AO121" s="172"/>
      <c r="AP121" s="172">
        <f>20%+(char2Refine-1)*5%</f>
        <v>0.4</v>
      </c>
      <c r="AQ121" s="172">
        <f>200%+(char2Refine-1)*30%</f>
        <v>3.2</v>
      </c>
      <c r="AR121" s="172"/>
      <c r="AS121" s="172">
        <f>100%+(char2Refine-1)*25%</f>
        <v>2</v>
      </c>
      <c r="AT121" s="172"/>
      <c r="AU121" s="172"/>
      <c r="AV121" s="172"/>
      <c r="AW121" s="172"/>
      <c r="AX121" s="172"/>
      <c r="AY121" s="172"/>
      <c r="AZ121" s="172"/>
      <c r="BA121" s="172"/>
      <c r="BB121" s="172"/>
      <c r="BC121" s="181"/>
      <c r="BD121" s="172">
        <f>40%+(char2Refine-1)*10%</f>
        <v>0.8</v>
      </c>
      <c r="BE121" s="172"/>
      <c r="BF121" s="181"/>
      <c r="BG121" s="172"/>
      <c r="BH121" s="174"/>
      <c r="BI121" s="174">
        <f>160%+(char2Refine-1)*40%</f>
        <v>3.2</v>
      </c>
      <c r="BJ121" s="174"/>
      <c r="BK121" s="174">
        <f>1%+(char2Refine-1)*0.5%</f>
        <v>0.03</v>
      </c>
      <c r="BL121" s="174">
        <f>60%+(char2Refine-1)*15%</f>
        <v>1.2</v>
      </c>
      <c r="BM121" s="174">
        <f>240%+(char2Refine-1)*30%</f>
        <v>3.5999999999999996</v>
      </c>
      <c r="BN121" s="174"/>
      <c r="BO121" s="174"/>
      <c r="BP121" s="174"/>
      <c r="BQ121" s="174"/>
      <c r="BR121" s="174"/>
      <c r="BS121" s="174"/>
      <c r="BT121" s="174"/>
      <c r="BU121" s="174"/>
      <c r="BV121" s="174"/>
      <c r="BW121" s="166"/>
      <c r="BX121" s="166"/>
      <c r="BY121" s="166"/>
      <c r="BZ121" s="174"/>
      <c r="CA121" s="167"/>
      <c r="CB121" s="78"/>
      <c r="CC121" s="177">
        <v>1.25</v>
      </c>
      <c r="CD121" s="167"/>
      <c r="CE121" s="167"/>
      <c r="CF121" s="186">
        <f>40%+(char2Refine-1)*10%</f>
        <v>0.8</v>
      </c>
      <c r="CG121" s="167"/>
      <c r="CH121" s="167"/>
      <c r="CI121" s="167"/>
      <c r="CJ121" s="167"/>
      <c r="CK121" s="167"/>
      <c r="CL121" s="167"/>
      <c r="CM121" s="167"/>
      <c r="CN121" s="167"/>
      <c r="CO121" s="167"/>
      <c r="CP121" s="167"/>
      <c r="CQ121" s="167"/>
      <c r="CR121" s="167"/>
      <c r="CS121" s="167"/>
    </row>
    <row r="122" spans="1:97" x14ac:dyDescent="0.25">
      <c r="A122" s="46" t="s">
        <v>734</v>
      </c>
      <c r="B122" s="178" t="s">
        <v>723</v>
      </c>
      <c r="C122" s="179"/>
      <c r="D122" s="179" t="str">
        <f>char2NAElement</f>
        <v>Pyro</v>
      </c>
      <c r="E122" s="179"/>
      <c r="F122" s="184"/>
      <c r="G122" s="179"/>
      <c r="H122" s="179"/>
      <c r="I122" s="170"/>
      <c r="J122" s="179"/>
      <c r="K122" s="162"/>
      <c r="L122" s="179" t="s">
        <v>723</v>
      </c>
      <c r="M122" s="179"/>
      <c r="N122" s="162"/>
      <c r="O122" s="162" t="s">
        <v>723</v>
      </c>
      <c r="P122" s="179" t="s">
        <v>723</v>
      </c>
      <c r="Q122" s="184"/>
      <c r="R122" s="184"/>
      <c r="S122" s="184"/>
      <c r="T122" s="162"/>
      <c r="U122" s="171" t="s">
        <v>723</v>
      </c>
      <c r="V122" s="180"/>
      <c r="W122" s="171"/>
      <c r="X122" s="171"/>
      <c r="Y122" s="171"/>
      <c r="Z122" s="180"/>
      <c r="AA122" s="180"/>
      <c r="AB122" s="171" t="s">
        <v>723</v>
      </c>
      <c r="AC122" s="171"/>
      <c r="AD122" s="171"/>
      <c r="AE122" s="171"/>
      <c r="AF122" s="171"/>
      <c r="AG122" s="171"/>
      <c r="AH122" s="171"/>
      <c r="AI122" s="171"/>
      <c r="AJ122" s="171"/>
      <c r="AK122" s="171"/>
      <c r="AL122" s="172"/>
      <c r="AM122" s="181"/>
      <c r="AN122" s="181"/>
      <c r="AO122" s="172"/>
      <c r="AP122" s="172" t="s">
        <v>723</v>
      </c>
      <c r="AQ122" s="172" t="s">
        <v>723</v>
      </c>
      <c r="AR122" s="172"/>
      <c r="AS122" s="172" t="s">
        <v>723</v>
      </c>
      <c r="AT122" s="172"/>
      <c r="AU122" s="172"/>
      <c r="AV122" s="172"/>
      <c r="AW122" s="172"/>
      <c r="AX122" s="172"/>
      <c r="AY122" s="172"/>
      <c r="AZ122" s="172"/>
      <c r="BA122" s="172"/>
      <c r="BB122" s="172"/>
      <c r="BC122" s="181"/>
      <c r="BD122" s="172" t="str">
        <f>char2SkillElement</f>
        <v>Pyro</v>
      </c>
      <c r="BE122" s="172"/>
      <c r="BF122" s="181"/>
      <c r="BG122" s="172"/>
      <c r="BH122" s="174"/>
      <c r="BI122" s="174" t="s">
        <v>723</v>
      </c>
      <c r="BJ122" s="174"/>
      <c r="BK122" s="166" t="str">
        <f>char2NAElement</f>
        <v>Pyro</v>
      </c>
      <c r="BL122" s="174" t="s">
        <v>723</v>
      </c>
      <c r="BM122" s="174" t="s">
        <v>723</v>
      </c>
      <c r="BN122" s="174"/>
      <c r="BO122" s="174"/>
      <c r="BP122" s="174"/>
      <c r="BQ122" s="174"/>
      <c r="BR122" s="174"/>
      <c r="BS122" s="174"/>
      <c r="BT122" s="174"/>
      <c r="BU122" s="174"/>
      <c r="BV122" s="174"/>
      <c r="BW122" s="166"/>
      <c r="BX122" s="166"/>
      <c r="BY122" s="166"/>
      <c r="BZ122" s="174"/>
      <c r="CA122" s="167"/>
      <c r="CB122" s="78"/>
      <c r="CC122" s="167" t="s">
        <v>723</v>
      </c>
      <c r="CD122" s="167"/>
      <c r="CE122" s="167"/>
      <c r="CF122" s="167" t="s">
        <v>723</v>
      </c>
      <c r="CG122" s="167"/>
      <c r="CH122" s="167"/>
      <c r="CI122" s="167"/>
      <c r="CJ122" s="167"/>
      <c r="CK122" s="167"/>
      <c r="CL122" s="167"/>
      <c r="CM122" s="167"/>
      <c r="CN122" s="167"/>
      <c r="CO122" s="167"/>
      <c r="CP122" s="167"/>
      <c r="CQ122" s="167"/>
      <c r="CR122" s="167"/>
      <c r="CS122" s="167"/>
    </row>
    <row r="123" spans="1:97" x14ac:dyDescent="0.25">
      <c r="A123" s="46" t="s">
        <v>735</v>
      </c>
      <c r="B123" s="178"/>
      <c r="C123" s="179"/>
      <c r="D123" s="179" t="s">
        <v>724</v>
      </c>
      <c r="E123" s="179"/>
      <c r="F123" s="184"/>
      <c r="G123" s="179"/>
      <c r="H123" s="179"/>
      <c r="I123" s="170"/>
      <c r="J123" s="179"/>
      <c r="K123" s="162"/>
      <c r="L123" s="179" t="s">
        <v>725</v>
      </c>
      <c r="M123" s="179"/>
      <c r="N123" s="162"/>
      <c r="O123" s="162"/>
      <c r="P123" s="179"/>
      <c r="Q123" s="184"/>
      <c r="R123" s="184"/>
      <c r="S123" s="184"/>
      <c r="T123" s="162"/>
      <c r="U123" s="171"/>
      <c r="V123" s="180"/>
      <c r="W123" s="171"/>
      <c r="X123" s="171"/>
      <c r="Y123" s="171"/>
      <c r="Z123" s="180"/>
      <c r="AA123" s="180"/>
      <c r="AB123" s="171" t="s">
        <v>726</v>
      </c>
      <c r="AC123" s="171"/>
      <c r="AD123" s="171"/>
      <c r="AE123" s="171"/>
      <c r="AF123" s="171"/>
      <c r="AG123" s="171"/>
      <c r="AH123" s="171"/>
      <c r="AI123" s="171"/>
      <c r="AJ123" s="171"/>
      <c r="AK123" s="171"/>
      <c r="AL123" s="172"/>
      <c r="AM123" s="181"/>
      <c r="AN123" s="181"/>
      <c r="AO123" s="172"/>
      <c r="AP123" s="172"/>
      <c r="AQ123" s="172"/>
      <c r="AR123" s="172"/>
      <c r="AS123" s="172"/>
      <c r="AT123" s="172"/>
      <c r="AU123" s="172"/>
      <c r="AV123" s="172"/>
      <c r="AW123" s="172"/>
      <c r="AX123" s="172"/>
      <c r="AY123" s="172"/>
      <c r="AZ123" s="172"/>
      <c r="BA123" s="172"/>
      <c r="BB123" s="172"/>
      <c r="BC123" s="181"/>
      <c r="BD123" s="172"/>
      <c r="BE123" s="172"/>
      <c r="BF123" s="181"/>
      <c r="BG123" s="172"/>
      <c r="BH123" s="174"/>
      <c r="BI123" s="174"/>
      <c r="BJ123" s="174"/>
      <c r="BK123" s="166"/>
      <c r="BL123" s="174" t="s">
        <v>726</v>
      </c>
      <c r="BM123" s="174"/>
      <c r="BN123" s="174"/>
      <c r="BO123" s="174"/>
      <c r="BP123" s="174"/>
      <c r="BQ123" s="174"/>
      <c r="BR123" s="174"/>
      <c r="BS123" s="174"/>
      <c r="BT123" s="174"/>
      <c r="BU123" s="174"/>
      <c r="BV123" s="174"/>
      <c r="BW123" s="166"/>
      <c r="BX123" s="166"/>
      <c r="BY123" s="166"/>
      <c r="BZ123" s="174"/>
      <c r="CA123" s="167"/>
      <c r="CB123" s="78"/>
      <c r="CC123" s="167"/>
      <c r="CD123" s="167"/>
      <c r="CE123" s="167"/>
      <c r="CF123" s="167"/>
      <c r="CG123" s="167"/>
      <c r="CH123" s="167"/>
      <c r="CI123" s="167"/>
      <c r="CJ123" s="167"/>
      <c r="CK123" s="167"/>
      <c r="CL123" s="167"/>
      <c r="CM123" s="167"/>
      <c r="CN123" s="167"/>
      <c r="CO123" s="167"/>
      <c r="CP123" s="167"/>
      <c r="CQ123" s="167"/>
      <c r="CR123" s="167"/>
      <c r="CS123" s="167"/>
    </row>
    <row r="124" spans="1:97" x14ac:dyDescent="0.25">
      <c r="A124" s="46" t="s">
        <v>736</v>
      </c>
      <c r="B124" s="178"/>
      <c r="C124" s="179"/>
      <c r="D124" s="179" t="s">
        <v>5</v>
      </c>
      <c r="E124" s="179"/>
      <c r="F124" s="184"/>
      <c r="G124" s="179"/>
      <c r="H124" s="179"/>
      <c r="I124" s="170"/>
      <c r="J124" s="179"/>
      <c r="K124" s="162"/>
      <c r="L124" s="179" t="s">
        <v>249</v>
      </c>
      <c r="M124" s="179"/>
      <c r="N124" s="162"/>
      <c r="O124" s="162"/>
      <c r="P124" s="179"/>
      <c r="Q124" s="184"/>
      <c r="R124" s="184"/>
      <c r="S124" s="184"/>
      <c r="T124" s="162"/>
      <c r="U124" s="171"/>
      <c r="V124" s="180"/>
      <c r="W124" s="171"/>
      <c r="X124" s="171"/>
      <c r="Y124" s="171"/>
      <c r="Z124" s="180"/>
      <c r="AA124" s="180"/>
      <c r="AB124" s="171" t="s">
        <v>249</v>
      </c>
      <c r="AC124" s="171"/>
      <c r="AD124" s="171"/>
      <c r="AE124" s="171"/>
      <c r="AF124" s="171"/>
      <c r="AG124" s="171"/>
      <c r="AH124" s="171"/>
      <c r="AI124" s="171"/>
      <c r="AJ124" s="171"/>
      <c r="AK124" s="171"/>
      <c r="AL124" s="172"/>
      <c r="AM124" s="181"/>
      <c r="AN124" s="181"/>
      <c r="AO124" s="172"/>
      <c r="AP124" s="172"/>
      <c r="AQ124" s="172"/>
      <c r="AR124" s="172"/>
      <c r="AS124" s="172"/>
      <c r="AT124" s="172"/>
      <c r="AU124" s="172"/>
      <c r="AV124" s="172"/>
      <c r="AW124" s="172"/>
      <c r="AX124" s="172"/>
      <c r="AY124" s="172"/>
      <c r="AZ124" s="172"/>
      <c r="BA124" s="172"/>
      <c r="BB124" s="172"/>
      <c r="BC124" s="181"/>
      <c r="BD124" s="172"/>
      <c r="BE124" s="172"/>
      <c r="BF124" s="181"/>
      <c r="BG124" s="172"/>
      <c r="BH124" s="174"/>
      <c r="BI124" s="174"/>
      <c r="BJ124" s="174"/>
      <c r="BK124" s="166"/>
      <c r="BL124" s="174" t="s">
        <v>249</v>
      </c>
      <c r="BM124" s="174"/>
      <c r="BN124" s="174"/>
      <c r="BO124" s="174"/>
      <c r="BP124" s="174"/>
      <c r="BQ124" s="174"/>
      <c r="BR124" s="174"/>
      <c r="BS124" s="174"/>
      <c r="BT124" s="174"/>
      <c r="BU124" s="174"/>
      <c r="BV124" s="174"/>
      <c r="BW124" s="166"/>
      <c r="BX124" s="166"/>
      <c r="BY124" s="166"/>
      <c r="BZ124" s="174"/>
      <c r="CA124" s="167"/>
      <c r="CB124" s="78"/>
      <c r="CC124" s="167"/>
      <c r="CD124" s="167"/>
      <c r="CE124" s="167"/>
      <c r="CF124" s="167"/>
      <c r="CG124" s="167"/>
      <c r="CH124" s="167"/>
      <c r="CI124" s="167"/>
      <c r="CJ124" s="167"/>
      <c r="CK124" s="167"/>
      <c r="CL124" s="167"/>
      <c r="CM124" s="167"/>
      <c r="CN124" s="167"/>
      <c r="CO124" s="167"/>
      <c r="CP124" s="167"/>
      <c r="CQ124" s="167"/>
      <c r="CR124" s="167"/>
      <c r="CS124" s="167"/>
    </row>
    <row r="125" spans="1:97" x14ac:dyDescent="0.25">
      <c r="A125" s="46" t="s">
        <v>737</v>
      </c>
      <c r="B125" s="178"/>
      <c r="C125" s="179"/>
      <c r="D125" s="179" t="s">
        <v>130</v>
      </c>
      <c r="E125" s="179"/>
      <c r="F125" s="184"/>
      <c r="G125" s="179"/>
      <c r="H125" s="179"/>
      <c r="I125" s="170"/>
      <c r="J125" s="179"/>
      <c r="K125" s="162"/>
      <c r="L125" s="179" t="s">
        <v>127</v>
      </c>
      <c r="M125" s="179"/>
      <c r="N125" s="162"/>
      <c r="O125" s="162"/>
      <c r="P125" s="179"/>
      <c r="Q125" s="184"/>
      <c r="R125" s="184"/>
      <c r="S125" s="184"/>
      <c r="T125" s="162"/>
      <c r="U125" s="171"/>
      <c r="V125" s="180"/>
      <c r="W125" s="171"/>
      <c r="X125" s="171"/>
      <c r="Y125" s="171"/>
      <c r="Z125" s="180"/>
      <c r="AA125" s="180"/>
      <c r="AB125" s="171" t="s">
        <v>127</v>
      </c>
      <c r="AC125" s="171"/>
      <c r="AD125" s="171"/>
      <c r="AE125" s="171"/>
      <c r="AF125" s="171"/>
      <c r="AG125" s="171"/>
      <c r="AH125" s="171"/>
      <c r="AI125" s="171"/>
      <c r="AJ125" s="171"/>
      <c r="AK125" s="171"/>
      <c r="AL125" s="172"/>
      <c r="AM125" s="181"/>
      <c r="AN125" s="181"/>
      <c r="AO125" s="172"/>
      <c r="AP125" s="172"/>
      <c r="AQ125" s="172"/>
      <c r="AR125" s="172"/>
      <c r="AS125" s="172"/>
      <c r="AT125" s="172"/>
      <c r="AU125" s="172"/>
      <c r="AV125" s="172"/>
      <c r="AW125" s="172"/>
      <c r="AX125" s="172"/>
      <c r="AY125" s="172"/>
      <c r="AZ125" s="172"/>
      <c r="BA125" s="172"/>
      <c r="BB125" s="172"/>
      <c r="BC125" s="181"/>
      <c r="BD125" s="172"/>
      <c r="BE125" s="172"/>
      <c r="BF125" s="181"/>
      <c r="BG125" s="172"/>
      <c r="BH125" s="174"/>
      <c r="BI125" s="174"/>
      <c r="BJ125" s="174"/>
      <c r="BK125" s="166"/>
      <c r="BL125" s="174" t="s">
        <v>127</v>
      </c>
      <c r="BM125" s="174"/>
      <c r="BN125" s="174"/>
      <c r="BO125" s="174"/>
      <c r="BP125" s="174"/>
      <c r="BQ125" s="174"/>
      <c r="BR125" s="174"/>
      <c r="BS125" s="174"/>
      <c r="BT125" s="174"/>
      <c r="BU125" s="174"/>
      <c r="BV125" s="174"/>
      <c r="BW125" s="166"/>
      <c r="BX125" s="166"/>
      <c r="BY125" s="166"/>
      <c r="BZ125" s="174"/>
      <c r="CA125" s="167"/>
      <c r="CB125" s="78"/>
      <c r="CC125" s="167"/>
      <c r="CD125" s="167"/>
      <c r="CE125" s="167"/>
      <c r="CF125" s="167"/>
      <c r="CG125" s="167"/>
      <c r="CH125" s="167"/>
      <c r="CI125" s="167"/>
      <c r="CJ125" s="167"/>
      <c r="CK125" s="167"/>
      <c r="CL125" s="167"/>
      <c r="CM125" s="167"/>
      <c r="CN125" s="167"/>
      <c r="CO125" s="167"/>
      <c r="CP125" s="167"/>
      <c r="CQ125" s="167"/>
      <c r="CR125" s="167"/>
      <c r="CS125" s="167"/>
    </row>
    <row r="126" spans="1:97" x14ac:dyDescent="0.25">
      <c r="A126" s="46" t="s">
        <v>738</v>
      </c>
      <c r="B126" s="178"/>
      <c r="C126" s="179"/>
      <c r="D126" s="169">
        <f>0.4+(char2Refine-1)*0.1</f>
        <v>0.8</v>
      </c>
      <c r="E126" s="179"/>
      <c r="F126" s="184"/>
      <c r="G126" s="179"/>
      <c r="H126" s="179"/>
      <c r="I126" s="170"/>
      <c r="J126" s="179"/>
      <c r="K126" s="162"/>
      <c r="L126" s="185">
        <f>200%+(char2Refine-1)*40%</f>
        <v>3.6</v>
      </c>
      <c r="M126" s="179"/>
      <c r="N126" s="162"/>
      <c r="O126" s="162"/>
      <c r="P126" s="179"/>
      <c r="Q126" s="184"/>
      <c r="R126" s="184"/>
      <c r="S126" s="184"/>
      <c r="T126" s="162"/>
      <c r="U126" s="171"/>
      <c r="V126" s="180"/>
      <c r="W126" s="171"/>
      <c r="X126" s="171"/>
      <c r="Y126" s="171"/>
      <c r="Z126" s="180"/>
      <c r="AA126" s="180"/>
      <c r="AB126" s="171">
        <f>200%+(char2Refine-1)*40%</f>
        <v>3.6</v>
      </c>
      <c r="AC126" s="171"/>
      <c r="AD126" s="171"/>
      <c r="AE126" s="171"/>
      <c r="AF126" s="171"/>
      <c r="AG126" s="171"/>
      <c r="AH126" s="171"/>
      <c r="AI126" s="171"/>
      <c r="AJ126" s="171"/>
      <c r="AK126" s="171"/>
      <c r="AL126" s="172"/>
      <c r="AM126" s="181"/>
      <c r="AN126" s="181"/>
      <c r="AO126" s="172"/>
      <c r="AP126" s="172"/>
      <c r="AQ126" s="172"/>
      <c r="AR126" s="172"/>
      <c r="AS126" s="172"/>
      <c r="AT126" s="172"/>
      <c r="AU126" s="172"/>
      <c r="AV126" s="172"/>
      <c r="AW126" s="172"/>
      <c r="AX126" s="172"/>
      <c r="AY126" s="172"/>
      <c r="AZ126" s="172"/>
      <c r="BA126" s="172"/>
      <c r="BB126" s="172"/>
      <c r="BC126" s="181"/>
      <c r="BD126" s="172"/>
      <c r="BE126" s="172"/>
      <c r="BF126" s="181"/>
      <c r="BG126" s="172"/>
      <c r="BH126" s="174"/>
      <c r="BI126" s="174"/>
      <c r="BJ126" s="174"/>
      <c r="BK126" s="166"/>
      <c r="BL126" s="174">
        <f>200%+(char2Refine-1)*40%</f>
        <v>3.6</v>
      </c>
      <c r="BM126" s="174"/>
      <c r="BN126" s="174"/>
      <c r="BO126" s="174"/>
      <c r="BP126" s="174"/>
      <c r="BQ126" s="174"/>
      <c r="BR126" s="174"/>
      <c r="BS126" s="174"/>
      <c r="BT126" s="174"/>
      <c r="BU126" s="174"/>
      <c r="BV126" s="174"/>
      <c r="BW126" s="166"/>
      <c r="BX126" s="166"/>
      <c r="BY126" s="166"/>
      <c r="BZ126" s="174"/>
      <c r="CA126" s="167"/>
      <c r="CB126" s="78"/>
      <c r="CC126" s="167"/>
      <c r="CD126" s="167"/>
      <c r="CE126" s="167"/>
      <c r="CF126" s="167"/>
      <c r="CG126" s="167"/>
      <c r="CH126" s="167"/>
      <c r="CI126" s="167"/>
      <c r="CJ126" s="167"/>
      <c r="CK126" s="167"/>
      <c r="CL126" s="167"/>
      <c r="CM126" s="167"/>
      <c r="CN126" s="167"/>
      <c r="CO126" s="167"/>
      <c r="CP126" s="167"/>
      <c r="CQ126" s="167"/>
      <c r="CR126" s="167"/>
      <c r="CS126" s="167"/>
    </row>
    <row r="127" spans="1:97" x14ac:dyDescent="0.25">
      <c r="A127" s="46" t="s">
        <v>739</v>
      </c>
      <c r="B127" s="178"/>
      <c r="C127" s="179"/>
      <c r="D127" s="169" t="str">
        <f>char2CAElement</f>
        <v>Phys</v>
      </c>
      <c r="E127" s="179"/>
      <c r="F127" s="184"/>
      <c r="G127" s="179"/>
      <c r="H127" s="179"/>
      <c r="I127" s="170"/>
      <c r="J127" s="179"/>
      <c r="K127" s="162"/>
      <c r="L127" s="179" t="s">
        <v>723</v>
      </c>
      <c r="M127" s="179"/>
      <c r="N127" s="162"/>
      <c r="O127" s="162"/>
      <c r="P127" s="179"/>
      <c r="Q127" s="184"/>
      <c r="R127" s="184"/>
      <c r="S127" s="184"/>
      <c r="T127" s="162"/>
      <c r="U127" s="171"/>
      <c r="V127" s="180"/>
      <c r="W127" s="171"/>
      <c r="X127" s="171"/>
      <c r="Y127" s="171"/>
      <c r="Z127" s="180"/>
      <c r="AA127" s="180"/>
      <c r="AB127" s="171" t="s">
        <v>723</v>
      </c>
      <c r="AC127" s="171"/>
      <c r="AD127" s="171"/>
      <c r="AE127" s="171"/>
      <c r="AF127" s="171"/>
      <c r="AG127" s="171"/>
      <c r="AH127" s="171"/>
      <c r="AI127" s="171"/>
      <c r="AJ127" s="171"/>
      <c r="AK127" s="171"/>
      <c r="AL127" s="172"/>
      <c r="AM127" s="181"/>
      <c r="AN127" s="181"/>
      <c r="AO127" s="172"/>
      <c r="AP127" s="172"/>
      <c r="AQ127" s="172"/>
      <c r="AR127" s="172"/>
      <c r="AS127" s="172"/>
      <c r="AT127" s="172"/>
      <c r="AU127" s="172"/>
      <c r="AV127" s="172"/>
      <c r="AW127" s="172"/>
      <c r="AX127" s="172"/>
      <c r="AY127" s="172"/>
      <c r="AZ127" s="172"/>
      <c r="BA127" s="172"/>
      <c r="BB127" s="172"/>
      <c r="BC127" s="181"/>
      <c r="BD127" s="172"/>
      <c r="BE127" s="172"/>
      <c r="BF127" s="181"/>
      <c r="BG127" s="172"/>
      <c r="BH127" s="174"/>
      <c r="BI127" s="174"/>
      <c r="BJ127" s="174"/>
      <c r="BK127" s="166"/>
      <c r="BL127" s="174" t="s">
        <v>723</v>
      </c>
      <c r="BM127" s="174"/>
      <c r="BN127" s="174"/>
      <c r="BO127" s="174"/>
      <c r="BP127" s="174"/>
      <c r="BQ127" s="174"/>
      <c r="BR127" s="174"/>
      <c r="BS127" s="174"/>
      <c r="BT127" s="174"/>
      <c r="BU127" s="174"/>
      <c r="BV127" s="174"/>
      <c r="BW127" s="166"/>
      <c r="BX127" s="166"/>
      <c r="BY127" s="166"/>
      <c r="BZ127" s="174"/>
      <c r="CA127" s="167"/>
      <c r="CB127" s="78"/>
      <c r="CC127" s="167"/>
      <c r="CD127" s="167"/>
      <c r="CE127" s="167"/>
      <c r="CF127" s="167"/>
      <c r="CG127" s="167"/>
      <c r="CH127" s="167"/>
      <c r="CI127" s="167"/>
      <c r="CJ127" s="167"/>
      <c r="CK127" s="167"/>
      <c r="CL127" s="167"/>
      <c r="CM127" s="167"/>
      <c r="CN127" s="167"/>
      <c r="CO127" s="167"/>
      <c r="CP127" s="167"/>
      <c r="CQ127" s="167"/>
      <c r="CR127" s="167"/>
      <c r="CS127" s="167"/>
    </row>
    <row r="128" spans="1:97" x14ac:dyDescent="0.25">
      <c r="A128" s="46" t="s">
        <v>740</v>
      </c>
      <c r="B128" s="178"/>
      <c r="C128" s="179"/>
      <c r="D128" s="179"/>
      <c r="E128" s="179"/>
      <c r="F128" s="184"/>
      <c r="G128" s="179"/>
      <c r="H128" s="179"/>
      <c r="I128" s="170"/>
      <c r="J128" s="179"/>
      <c r="K128" s="162"/>
      <c r="L128" s="179"/>
      <c r="M128" s="179"/>
      <c r="N128" s="162"/>
      <c r="O128" s="162"/>
      <c r="P128" s="179"/>
      <c r="Q128" s="184"/>
      <c r="R128" s="184"/>
      <c r="S128" s="184"/>
      <c r="T128" s="162"/>
      <c r="U128" s="171"/>
      <c r="V128" s="180"/>
      <c r="W128" s="171"/>
      <c r="X128" s="171"/>
      <c r="Y128" s="171"/>
      <c r="Z128" s="180"/>
      <c r="AA128" s="180"/>
      <c r="AB128" s="171"/>
      <c r="AC128" s="171"/>
      <c r="AD128" s="171"/>
      <c r="AE128" s="171"/>
      <c r="AF128" s="171"/>
      <c r="AG128" s="171"/>
      <c r="AH128" s="171"/>
      <c r="AI128" s="171"/>
      <c r="AJ128" s="171"/>
      <c r="AK128" s="171"/>
      <c r="AL128" s="172"/>
      <c r="AM128" s="181"/>
      <c r="AN128" s="181"/>
      <c r="AO128" s="172"/>
      <c r="AP128" s="172"/>
      <c r="AQ128" s="172"/>
      <c r="AR128" s="172"/>
      <c r="AS128" s="172"/>
      <c r="AT128" s="172"/>
      <c r="AU128" s="172"/>
      <c r="AV128" s="172"/>
      <c r="AW128" s="172"/>
      <c r="AX128" s="172"/>
      <c r="AY128" s="172"/>
      <c r="AZ128" s="172"/>
      <c r="BA128" s="172"/>
      <c r="BB128" s="172"/>
      <c r="BC128" s="181"/>
      <c r="BD128" s="172"/>
      <c r="BE128" s="172"/>
      <c r="BF128" s="181"/>
      <c r="BG128" s="172"/>
      <c r="BH128" s="174"/>
      <c r="BI128" s="174"/>
      <c r="BJ128" s="174"/>
      <c r="BK128" s="166"/>
      <c r="BL128" s="174"/>
      <c r="BM128" s="174"/>
      <c r="BN128" s="174"/>
      <c r="BO128" s="174"/>
      <c r="BP128" s="174"/>
      <c r="BQ128" s="174"/>
      <c r="BR128" s="174"/>
      <c r="BS128" s="174"/>
      <c r="BT128" s="174"/>
      <c r="BU128" s="174"/>
      <c r="BV128" s="174"/>
      <c r="BW128" s="166"/>
      <c r="BX128" s="166"/>
      <c r="BY128" s="166"/>
      <c r="BZ128" s="174"/>
      <c r="CA128" s="167"/>
      <c r="CB128" s="78"/>
      <c r="CC128" s="167"/>
      <c r="CD128" s="167"/>
      <c r="CE128" s="167"/>
      <c r="CF128" s="167"/>
      <c r="CG128" s="167"/>
      <c r="CH128" s="167"/>
      <c r="CI128" s="167"/>
      <c r="CJ128" s="167"/>
      <c r="CK128" s="167"/>
      <c r="CL128" s="167"/>
      <c r="CM128" s="167"/>
      <c r="CN128" s="167"/>
      <c r="CO128" s="167"/>
      <c r="CP128" s="167"/>
      <c r="CQ128" s="167"/>
      <c r="CR128" s="167"/>
      <c r="CS128" s="167"/>
    </row>
    <row r="129" spans="1:97" x14ac:dyDescent="0.25">
      <c r="A129" s="46" t="s">
        <v>741</v>
      </c>
      <c r="B129" s="178"/>
      <c r="C129" s="179"/>
      <c r="D129" s="179"/>
      <c r="E129" s="179"/>
      <c r="F129" s="184"/>
      <c r="G129" s="179"/>
      <c r="H129" s="179"/>
      <c r="I129" s="170"/>
      <c r="J129" s="179"/>
      <c r="K129" s="162"/>
      <c r="L129" s="179"/>
      <c r="M129" s="179"/>
      <c r="N129" s="162"/>
      <c r="O129" s="162"/>
      <c r="P129" s="179"/>
      <c r="Q129" s="184"/>
      <c r="R129" s="184"/>
      <c r="S129" s="184"/>
      <c r="T129" s="162"/>
      <c r="U129" s="171"/>
      <c r="V129" s="180"/>
      <c r="W129" s="171"/>
      <c r="X129" s="171"/>
      <c r="Y129" s="171"/>
      <c r="Z129" s="180"/>
      <c r="AA129" s="180"/>
      <c r="AB129" s="171"/>
      <c r="AC129" s="171"/>
      <c r="AD129" s="171"/>
      <c r="AE129" s="171"/>
      <c r="AF129" s="171"/>
      <c r="AG129" s="171"/>
      <c r="AH129" s="171"/>
      <c r="AI129" s="171"/>
      <c r="AJ129" s="171"/>
      <c r="AK129" s="171"/>
      <c r="AL129" s="172"/>
      <c r="AM129" s="181"/>
      <c r="AN129" s="181"/>
      <c r="AO129" s="172"/>
      <c r="AP129" s="172"/>
      <c r="AQ129" s="172"/>
      <c r="AR129" s="172"/>
      <c r="AS129" s="172"/>
      <c r="AT129" s="172"/>
      <c r="AU129" s="172"/>
      <c r="AV129" s="172"/>
      <c r="AW129" s="172"/>
      <c r="AX129" s="172"/>
      <c r="AY129" s="172"/>
      <c r="AZ129" s="172"/>
      <c r="BA129" s="172"/>
      <c r="BB129" s="172"/>
      <c r="BC129" s="181"/>
      <c r="BD129" s="172"/>
      <c r="BE129" s="172"/>
      <c r="BF129" s="181"/>
      <c r="BG129" s="172"/>
      <c r="BH129" s="174"/>
      <c r="BI129" s="174"/>
      <c r="BJ129" s="174"/>
      <c r="BK129" s="166"/>
      <c r="BL129" s="174"/>
      <c r="BM129" s="174"/>
      <c r="BN129" s="174"/>
      <c r="BO129" s="174"/>
      <c r="BP129" s="174"/>
      <c r="BQ129" s="174"/>
      <c r="BR129" s="174"/>
      <c r="BS129" s="174"/>
      <c r="BT129" s="174"/>
      <c r="BU129" s="174"/>
      <c r="BV129" s="174"/>
      <c r="BW129" s="166"/>
      <c r="BX129" s="166"/>
      <c r="BY129" s="166"/>
      <c r="BZ129" s="174"/>
      <c r="CA129" s="167"/>
      <c r="CB129" s="78"/>
      <c r="CC129" s="167"/>
      <c r="CD129" s="167"/>
      <c r="CE129" s="167"/>
      <c r="CF129" s="167"/>
      <c r="CG129" s="167"/>
      <c r="CH129" s="167"/>
      <c r="CI129" s="167"/>
      <c r="CJ129" s="167"/>
      <c r="CK129" s="167"/>
      <c r="CL129" s="167"/>
      <c r="CM129" s="167"/>
      <c r="CN129" s="167"/>
      <c r="CO129" s="167"/>
      <c r="CP129" s="167"/>
      <c r="CQ129" s="167"/>
      <c r="CR129" s="167"/>
      <c r="CS129" s="167"/>
    </row>
    <row r="130" spans="1:97" x14ac:dyDescent="0.25">
      <c r="A130" s="46" t="s">
        <v>742</v>
      </c>
      <c r="B130" s="178"/>
      <c r="C130" s="179"/>
      <c r="D130" s="179"/>
      <c r="E130" s="179"/>
      <c r="F130" s="184"/>
      <c r="G130" s="179"/>
      <c r="H130" s="179"/>
      <c r="I130" s="170"/>
      <c r="J130" s="179"/>
      <c r="K130" s="162"/>
      <c r="L130" s="179"/>
      <c r="M130" s="179"/>
      <c r="N130" s="162"/>
      <c r="O130" s="162"/>
      <c r="P130" s="179"/>
      <c r="Q130" s="184"/>
      <c r="R130" s="184"/>
      <c r="S130" s="184"/>
      <c r="T130" s="162"/>
      <c r="U130" s="171"/>
      <c r="V130" s="180"/>
      <c r="W130" s="171"/>
      <c r="X130" s="171"/>
      <c r="Y130" s="171"/>
      <c r="Z130" s="180"/>
      <c r="AA130" s="180"/>
      <c r="AB130" s="171"/>
      <c r="AC130" s="171"/>
      <c r="AD130" s="171"/>
      <c r="AE130" s="171"/>
      <c r="AF130" s="171"/>
      <c r="AG130" s="171"/>
      <c r="AH130" s="171"/>
      <c r="AI130" s="171"/>
      <c r="AJ130" s="171"/>
      <c r="AK130" s="171"/>
      <c r="AL130" s="172"/>
      <c r="AM130" s="181"/>
      <c r="AN130" s="181"/>
      <c r="AO130" s="172"/>
      <c r="AP130" s="172"/>
      <c r="AQ130" s="172"/>
      <c r="AR130" s="172"/>
      <c r="AS130" s="172"/>
      <c r="AT130" s="172"/>
      <c r="AU130" s="172"/>
      <c r="AV130" s="172"/>
      <c r="AW130" s="172"/>
      <c r="AX130" s="172"/>
      <c r="AY130" s="172"/>
      <c r="AZ130" s="172"/>
      <c r="BA130" s="172"/>
      <c r="BB130" s="172"/>
      <c r="BC130" s="181"/>
      <c r="BD130" s="172"/>
      <c r="BE130" s="172"/>
      <c r="BF130" s="181"/>
      <c r="BG130" s="172"/>
      <c r="BH130" s="174"/>
      <c r="BI130" s="174"/>
      <c r="BJ130" s="174"/>
      <c r="BK130" s="166"/>
      <c r="BL130" s="174"/>
      <c r="BM130" s="174"/>
      <c r="BN130" s="174"/>
      <c r="BO130" s="174"/>
      <c r="BP130" s="174"/>
      <c r="BQ130" s="174"/>
      <c r="BR130" s="174"/>
      <c r="BS130" s="174"/>
      <c r="BT130" s="174"/>
      <c r="BU130" s="174"/>
      <c r="BV130" s="174"/>
      <c r="BW130" s="166"/>
      <c r="BX130" s="166"/>
      <c r="BY130" s="166"/>
      <c r="BZ130" s="174"/>
      <c r="CA130" s="167"/>
      <c r="CB130" s="78"/>
      <c r="CC130" s="167"/>
      <c r="CD130" s="167"/>
      <c r="CE130" s="167"/>
      <c r="CF130" s="167"/>
      <c r="CG130" s="167"/>
      <c r="CH130" s="167"/>
      <c r="CI130" s="167"/>
      <c r="CJ130" s="167"/>
      <c r="CK130" s="167"/>
      <c r="CL130" s="167"/>
      <c r="CM130" s="167"/>
      <c r="CN130" s="167"/>
      <c r="CO130" s="167"/>
      <c r="CP130" s="167"/>
      <c r="CQ130" s="167"/>
      <c r="CR130" s="167"/>
      <c r="CS130" s="167"/>
    </row>
    <row r="131" spans="1:97" x14ac:dyDescent="0.25">
      <c r="A131" s="46" t="s">
        <v>743</v>
      </c>
      <c r="B131" s="178"/>
      <c r="C131" s="179"/>
      <c r="D131" s="179"/>
      <c r="E131" s="179"/>
      <c r="F131" s="184"/>
      <c r="G131" s="179"/>
      <c r="H131" s="179"/>
      <c r="I131" s="170"/>
      <c r="J131" s="179"/>
      <c r="K131" s="162"/>
      <c r="L131" s="179"/>
      <c r="M131" s="179"/>
      <c r="N131" s="162"/>
      <c r="O131" s="162"/>
      <c r="P131" s="179"/>
      <c r="Q131" s="184"/>
      <c r="R131" s="184"/>
      <c r="S131" s="184"/>
      <c r="T131" s="162"/>
      <c r="U131" s="171"/>
      <c r="V131" s="180"/>
      <c r="W131" s="171"/>
      <c r="X131" s="171"/>
      <c r="Y131" s="171"/>
      <c r="Z131" s="180"/>
      <c r="AA131" s="180"/>
      <c r="AB131" s="171"/>
      <c r="AC131" s="171"/>
      <c r="AD131" s="171"/>
      <c r="AE131" s="171"/>
      <c r="AF131" s="171"/>
      <c r="AG131" s="171"/>
      <c r="AH131" s="171"/>
      <c r="AI131" s="171"/>
      <c r="AJ131" s="171"/>
      <c r="AK131" s="171"/>
      <c r="AL131" s="172"/>
      <c r="AM131" s="181"/>
      <c r="AN131" s="181"/>
      <c r="AO131" s="172"/>
      <c r="AP131" s="172"/>
      <c r="AQ131" s="172"/>
      <c r="AR131" s="172"/>
      <c r="AS131" s="172"/>
      <c r="AT131" s="172"/>
      <c r="AU131" s="172"/>
      <c r="AV131" s="172"/>
      <c r="AW131" s="172"/>
      <c r="AX131" s="172"/>
      <c r="AY131" s="172"/>
      <c r="AZ131" s="172"/>
      <c r="BA131" s="172"/>
      <c r="BB131" s="172"/>
      <c r="BC131" s="181"/>
      <c r="BD131" s="172"/>
      <c r="BE131" s="172"/>
      <c r="BF131" s="181"/>
      <c r="BG131" s="172"/>
      <c r="BH131" s="174"/>
      <c r="BI131" s="174"/>
      <c r="BJ131" s="174"/>
      <c r="BK131" s="166"/>
      <c r="BL131" s="174"/>
      <c r="BM131" s="174"/>
      <c r="BN131" s="174"/>
      <c r="BO131" s="174"/>
      <c r="BP131" s="174"/>
      <c r="BQ131" s="174"/>
      <c r="BR131" s="174"/>
      <c r="BS131" s="174"/>
      <c r="BT131" s="174"/>
      <c r="BU131" s="174"/>
      <c r="BV131" s="174"/>
      <c r="BW131" s="166"/>
      <c r="BX131" s="166"/>
      <c r="BY131" s="166"/>
      <c r="BZ131" s="174"/>
      <c r="CA131" s="167"/>
      <c r="CB131" s="78"/>
      <c r="CC131" s="167"/>
      <c r="CD131" s="167"/>
      <c r="CE131" s="167"/>
      <c r="CF131" s="167"/>
      <c r="CG131" s="167"/>
      <c r="CH131" s="167"/>
      <c r="CI131" s="167"/>
      <c r="CJ131" s="167"/>
      <c r="CK131" s="167"/>
      <c r="CL131" s="167"/>
      <c r="CM131" s="167"/>
      <c r="CN131" s="167"/>
      <c r="CO131" s="167"/>
      <c r="CP131" s="167"/>
      <c r="CQ131" s="167"/>
      <c r="CR131" s="167"/>
      <c r="CS131" s="167"/>
    </row>
    <row r="132" spans="1:97" x14ac:dyDescent="0.25">
      <c r="A132" s="46" t="s">
        <v>744</v>
      </c>
      <c r="B132" s="187"/>
      <c r="C132" s="188"/>
      <c r="D132" s="188"/>
      <c r="E132" s="188"/>
      <c r="F132" s="133"/>
      <c r="G132" s="188"/>
      <c r="H132" s="188"/>
      <c r="I132" s="189"/>
      <c r="J132" s="188"/>
      <c r="K132" s="190"/>
      <c r="L132" s="188"/>
      <c r="M132" s="188"/>
      <c r="N132" s="190"/>
      <c r="O132" s="190"/>
      <c r="P132" s="188"/>
      <c r="Q132" s="133"/>
      <c r="R132" s="133"/>
      <c r="S132" s="133"/>
      <c r="T132" s="190"/>
      <c r="U132" s="191"/>
      <c r="V132" s="192"/>
      <c r="W132" s="191"/>
      <c r="X132" s="191"/>
      <c r="Y132" s="191"/>
      <c r="Z132" s="192"/>
      <c r="AA132" s="192"/>
      <c r="AB132" s="191"/>
      <c r="AC132" s="191"/>
      <c r="AD132" s="191"/>
      <c r="AE132" s="191"/>
      <c r="AF132" s="191"/>
      <c r="AG132" s="191"/>
      <c r="AH132" s="191"/>
      <c r="AI132" s="191"/>
      <c r="AJ132" s="191"/>
      <c r="AK132" s="191"/>
      <c r="AL132" s="193"/>
      <c r="AM132" s="194"/>
      <c r="AN132" s="194"/>
      <c r="AO132" s="193"/>
      <c r="AP132" s="193"/>
      <c r="AQ132" s="193"/>
      <c r="AR132" s="193"/>
      <c r="AS132" s="193"/>
      <c r="AT132" s="193"/>
      <c r="AU132" s="193"/>
      <c r="AV132" s="193"/>
      <c r="AW132" s="193"/>
      <c r="AX132" s="193"/>
      <c r="AY132" s="193"/>
      <c r="AZ132" s="193"/>
      <c r="BA132" s="193"/>
      <c r="BB132" s="193"/>
      <c r="BC132" s="194"/>
      <c r="BD132" s="193"/>
      <c r="BE132" s="193"/>
      <c r="BF132" s="194"/>
      <c r="BG132" s="193"/>
      <c r="BH132" s="195"/>
      <c r="BI132" s="195"/>
      <c r="BJ132" s="195"/>
      <c r="BK132" s="196"/>
      <c r="BL132" s="195"/>
      <c r="BM132" s="195"/>
      <c r="BN132" s="195"/>
      <c r="BO132" s="195"/>
      <c r="BP132" s="195"/>
      <c r="BQ132" s="195"/>
      <c r="BR132" s="195"/>
      <c r="BS132" s="195"/>
      <c r="BT132" s="195"/>
      <c r="BU132" s="195"/>
      <c r="BV132" s="195"/>
      <c r="BW132" s="196"/>
      <c r="BX132" s="196"/>
      <c r="BY132" s="196"/>
      <c r="BZ132" s="195"/>
      <c r="CA132" s="197"/>
      <c r="CB132" s="78"/>
      <c r="CC132" s="197"/>
      <c r="CD132" s="197"/>
      <c r="CE132" s="197"/>
      <c r="CF132" s="197"/>
      <c r="CG132" s="197"/>
      <c r="CH132" s="197"/>
      <c r="CI132" s="197"/>
      <c r="CJ132" s="197"/>
      <c r="CK132" s="197"/>
      <c r="CL132" s="197"/>
      <c r="CM132" s="197"/>
      <c r="CN132" s="197"/>
      <c r="CO132" s="197"/>
      <c r="CP132" s="197"/>
      <c r="CQ132" s="197"/>
      <c r="CR132" s="197"/>
      <c r="CS132" s="197"/>
    </row>
    <row r="134" spans="1:97" x14ac:dyDescent="0.25">
      <c r="A134" s="81" t="s">
        <v>747</v>
      </c>
      <c r="B134" s="155" t="s">
        <v>466</v>
      </c>
      <c r="C134" s="156" t="s">
        <v>467</v>
      </c>
      <c r="D134" s="156" t="s">
        <v>468</v>
      </c>
      <c r="E134" s="156" t="s">
        <v>469</v>
      </c>
      <c r="F134" s="156" t="s">
        <v>470</v>
      </c>
      <c r="G134" s="156" t="s">
        <v>471</v>
      </c>
      <c r="H134" s="156" t="s">
        <v>472</v>
      </c>
      <c r="I134" s="156" t="s">
        <v>473</v>
      </c>
      <c r="J134" s="156" t="s">
        <v>474</v>
      </c>
      <c r="K134" s="156" t="s">
        <v>475</v>
      </c>
      <c r="L134" s="156" t="s">
        <v>476</v>
      </c>
      <c r="M134" s="156" t="s">
        <v>477</v>
      </c>
      <c r="N134" s="156" t="s">
        <v>478</v>
      </c>
      <c r="O134" s="156" t="s">
        <v>479</v>
      </c>
      <c r="P134" s="156" t="s">
        <v>480</v>
      </c>
      <c r="Q134" s="156" t="s">
        <v>481</v>
      </c>
      <c r="R134" s="156" t="s">
        <v>482</v>
      </c>
      <c r="S134" s="156" t="s">
        <v>483</v>
      </c>
      <c r="T134" s="156" t="s">
        <v>484</v>
      </c>
      <c r="U134" s="157" t="s">
        <v>485</v>
      </c>
      <c r="V134" s="157" t="s">
        <v>486</v>
      </c>
      <c r="W134" s="157" t="s">
        <v>487</v>
      </c>
      <c r="X134" s="157" t="s">
        <v>488</v>
      </c>
      <c r="Y134" s="157" t="s">
        <v>489</v>
      </c>
      <c r="Z134" s="157" t="s">
        <v>490</v>
      </c>
      <c r="AA134" s="157" t="s">
        <v>491</v>
      </c>
      <c r="AB134" s="157" t="s">
        <v>492</v>
      </c>
      <c r="AC134" s="157" t="s">
        <v>493</v>
      </c>
      <c r="AD134" s="157" t="s">
        <v>494</v>
      </c>
      <c r="AE134" s="157" t="s">
        <v>495</v>
      </c>
      <c r="AF134" s="157" t="s">
        <v>496</v>
      </c>
      <c r="AG134" s="157" t="s">
        <v>497</v>
      </c>
      <c r="AH134" s="157" t="s">
        <v>498</v>
      </c>
      <c r="AI134" s="157" t="s">
        <v>499</v>
      </c>
      <c r="AJ134" s="157" t="s">
        <v>500</v>
      </c>
      <c r="AK134" s="157" t="s">
        <v>501</v>
      </c>
      <c r="AL134" s="158" t="s">
        <v>502</v>
      </c>
      <c r="AM134" s="158" t="s">
        <v>503</v>
      </c>
      <c r="AN134" s="158" t="s">
        <v>504</v>
      </c>
      <c r="AO134" s="158" t="s">
        <v>505</v>
      </c>
      <c r="AP134" s="158" t="s">
        <v>506</v>
      </c>
      <c r="AQ134" s="158" t="s">
        <v>507</v>
      </c>
      <c r="AR134" s="158" t="s">
        <v>508</v>
      </c>
      <c r="AS134" s="158" t="s">
        <v>509</v>
      </c>
      <c r="AT134" s="158" t="s">
        <v>510</v>
      </c>
      <c r="AU134" s="158" t="s">
        <v>511</v>
      </c>
      <c r="AV134" s="158" t="s">
        <v>512</v>
      </c>
      <c r="AW134" s="158" t="s">
        <v>513</v>
      </c>
      <c r="AX134" s="158" t="s">
        <v>514</v>
      </c>
      <c r="AY134" s="158" t="s">
        <v>515</v>
      </c>
      <c r="AZ134" s="158" t="s">
        <v>516</v>
      </c>
      <c r="BA134" s="158" t="s">
        <v>517</v>
      </c>
      <c r="BB134" s="158" t="s">
        <v>518</v>
      </c>
      <c r="BC134" s="158" t="s">
        <v>519</v>
      </c>
      <c r="BD134" s="158" t="s">
        <v>520</v>
      </c>
      <c r="BE134" s="158" t="s">
        <v>521</v>
      </c>
      <c r="BF134" s="158" t="s">
        <v>522</v>
      </c>
      <c r="BG134" s="158" t="s">
        <v>523</v>
      </c>
      <c r="BH134" s="159" t="s">
        <v>524</v>
      </c>
      <c r="BI134" s="159" t="s">
        <v>525</v>
      </c>
      <c r="BJ134" s="159" t="s">
        <v>526</v>
      </c>
      <c r="BK134" s="159" t="s">
        <v>527</v>
      </c>
      <c r="BL134" s="159" t="s">
        <v>528</v>
      </c>
      <c r="BM134" s="159" t="s">
        <v>529</v>
      </c>
      <c r="BN134" s="159" t="s">
        <v>530</v>
      </c>
      <c r="BO134" s="159" t="s">
        <v>531</v>
      </c>
      <c r="BP134" s="159" t="s">
        <v>532</v>
      </c>
      <c r="BQ134" s="159" t="s">
        <v>533</v>
      </c>
      <c r="BR134" s="159" t="s">
        <v>534</v>
      </c>
      <c r="BS134" s="159" t="s">
        <v>535</v>
      </c>
      <c r="BT134" s="159" t="s">
        <v>536</v>
      </c>
      <c r="BU134" s="159" t="s">
        <v>537</v>
      </c>
      <c r="BV134" s="159" t="s">
        <v>538</v>
      </c>
      <c r="BW134" s="159" t="s">
        <v>539</v>
      </c>
      <c r="BX134" s="159" t="s">
        <v>540</v>
      </c>
      <c r="BY134" s="159" t="s">
        <v>541</v>
      </c>
      <c r="BZ134" s="159" t="s">
        <v>542</v>
      </c>
      <c r="CA134" s="160" t="s">
        <v>543</v>
      </c>
      <c r="CB134" s="61" t="s">
        <v>544</v>
      </c>
      <c r="CC134" s="160" t="s">
        <v>545</v>
      </c>
      <c r="CD134" s="160" t="s">
        <v>546</v>
      </c>
      <c r="CE134" s="160" t="s">
        <v>547</v>
      </c>
      <c r="CF134" s="160" t="s">
        <v>548</v>
      </c>
      <c r="CG134" s="160" t="s">
        <v>549</v>
      </c>
      <c r="CH134" s="160" t="s">
        <v>550</v>
      </c>
      <c r="CI134" s="160" t="s">
        <v>551</v>
      </c>
      <c r="CJ134" s="160" t="s">
        <v>552</v>
      </c>
      <c r="CK134" s="160" t="s">
        <v>553</v>
      </c>
      <c r="CL134" s="160" t="s">
        <v>554</v>
      </c>
      <c r="CM134" s="160" t="s">
        <v>555</v>
      </c>
      <c r="CN134" s="160" t="s">
        <v>556</v>
      </c>
      <c r="CO134" s="160" t="s">
        <v>557</v>
      </c>
      <c r="CP134" s="160" t="s">
        <v>558</v>
      </c>
      <c r="CQ134" s="160" t="s">
        <v>559</v>
      </c>
      <c r="CR134" s="160" t="s">
        <v>560</v>
      </c>
      <c r="CS134" s="160" t="s">
        <v>561</v>
      </c>
    </row>
    <row r="135" spans="1:97" x14ac:dyDescent="0.25">
      <c r="A135" t="s">
        <v>411</v>
      </c>
      <c r="B135" s="161">
        <v>674</v>
      </c>
      <c r="C135" s="162">
        <v>608</v>
      </c>
      <c r="D135" s="162">
        <v>608</v>
      </c>
      <c r="E135" s="162">
        <v>608</v>
      </c>
      <c r="F135" s="162">
        <v>741</v>
      </c>
      <c r="G135" s="162">
        <v>510</v>
      </c>
      <c r="H135" s="162">
        <v>510</v>
      </c>
      <c r="I135" s="162">
        <v>565</v>
      </c>
      <c r="J135" s="162">
        <v>510</v>
      </c>
      <c r="K135" s="162">
        <v>454</v>
      </c>
      <c r="L135" s="162">
        <v>565</v>
      </c>
      <c r="M135" s="162">
        <v>510</v>
      </c>
      <c r="N135" s="162">
        <v>510</v>
      </c>
      <c r="O135" s="162">
        <v>565</v>
      </c>
      <c r="P135" s="162">
        <v>454</v>
      </c>
      <c r="Q135" s="162">
        <v>510</v>
      </c>
      <c r="R135" s="162">
        <v>565</v>
      </c>
      <c r="S135" s="162">
        <v>510</v>
      </c>
      <c r="T135" s="162">
        <v>510</v>
      </c>
      <c r="U135" s="163">
        <v>674</v>
      </c>
      <c r="V135" s="163">
        <v>608</v>
      </c>
      <c r="W135" s="163">
        <v>674</v>
      </c>
      <c r="X135" s="163">
        <v>608</v>
      </c>
      <c r="Y135" s="163">
        <v>608</v>
      </c>
      <c r="Z135" s="163">
        <v>510</v>
      </c>
      <c r="AA135" s="163">
        <v>565</v>
      </c>
      <c r="AB135" s="163">
        <v>454</v>
      </c>
      <c r="AC135" s="163">
        <v>565</v>
      </c>
      <c r="AD135" s="163">
        <v>510</v>
      </c>
      <c r="AE135" s="163">
        <v>565</v>
      </c>
      <c r="AF135" s="163">
        <v>454</v>
      </c>
      <c r="AG135" s="163">
        <v>454</v>
      </c>
      <c r="AH135" s="163">
        <v>565</v>
      </c>
      <c r="AI135" s="163">
        <v>510</v>
      </c>
      <c r="AJ135" s="163">
        <v>401</v>
      </c>
      <c r="AK135" s="163">
        <v>354</v>
      </c>
      <c r="AL135" s="164">
        <v>542</v>
      </c>
      <c r="AM135" s="164">
        <v>608</v>
      </c>
      <c r="AN135" s="164">
        <v>674</v>
      </c>
      <c r="AO135" s="164">
        <v>608</v>
      </c>
      <c r="AP135" s="164">
        <v>608</v>
      </c>
      <c r="AQ135" s="164">
        <v>674</v>
      </c>
      <c r="AR135" s="164">
        <v>510</v>
      </c>
      <c r="AS135" s="164">
        <v>510</v>
      </c>
      <c r="AT135" s="164">
        <v>510</v>
      </c>
      <c r="AU135" s="164">
        <v>620</v>
      </c>
      <c r="AV135" s="164">
        <v>454</v>
      </c>
      <c r="AW135" s="164">
        <v>510</v>
      </c>
      <c r="AX135" s="164">
        <v>565</v>
      </c>
      <c r="AY135" s="164">
        <v>510</v>
      </c>
      <c r="AZ135" s="164">
        <v>510</v>
      </c>
      <c r="BA135" s="164">
        <v>454</v>
      </c>
      <c r="BB135" s="164">
        <v>565</v>
      </c>
      <c r="BC135" s="164">
        <v>454</v>
      </c>
      <c r="BD135" s="164">
        <v>454</v>
      </c>
      <c r="BE135" s="164">
        <v>354</v>
      </c>
      <c r="BF135" s="164">
        <v>401</v>
      </c>
      <c r="BG135" s="164">
        <v>401</v>
      </c>
      <c r="BH135" s="165">
        <v>608</v>
      </c>
      <c r="BI135" s="165">
        <v>674</v>
      </c>
      <c r="BJ135" s="165">
        <v>608</v>
      </c>
      <c r="BK135" s="165">
        <v>608</v>
      </c>
      <c r="BL135" s="165">
        <v>510</v>
      </c>
      <c r="BM135" s="165">
        <v>454</v>
      </c>
      <c r="BN135" s="165">
        <v>565</v>
      </c>
      <c r="BO135" s="165">
        <v>510</v>
      </c>
      <c r="BP135" s="165">
        <v>510</v>
      </c>
      <c r="BQ135" s="165">
        <v>454</v>
      </c>
      <c r="BR135" s="165">
        <v>565</v>
      </c>
      <c r="BS135" s="165">
        <v>510</v>
      </c>
      <c r="BT135" s="165">
        <v>565</v>
      </c>
      <c r="BU135" s="165">
        <v>510</v>
      </c>
      <c r="BV135" s="165">
        <v>454</v>
      </c>
      <c r="BW135" s="165">
        <v>354</v>
      </c>
      <c r="BX135" s="165">
        <v>510</v>
      </c>
      <c r="BY135" s="165">
        <v>565</v>
      </c>
      <c r="BZ135" s="166">
        <v>401</v>
      </c>
      <c r="CA135" s="167">
        <v>608</v>
      </c>
      <c r="CB135" s="66">
        <v>608</v>
      </c>
      <c r="CC135" s="167">
        <v>674</v>
      </c>
      <c r="CD135" s="167">
        <v>608</v>
      </c>
      <c r="CE135" s="167">
        <v>510</v>
      </c>
      <c r="CF135" s="167">
        <v>510</v>
      </c>
      <c r="CG135" s="167">
        <v>454</v>
      </c>
      <c r="CH135" s="167">
        <v>565</v>
      </c>
      <c r="CI135" s="167">
        <v>510</v>
      </c>
      <c r="CJ135" s="167">
        <v>454</v>
      </c>
      <c r="CK135" s="167">
        <v>510</v>
      </c>
      <c r="CL135" s="167">
        <v>565</v>
      </c>
      <c r="CM135" s="167">
        <v>565</v>
      </c>
      <c r="CN135" s="167">
        <v>454</v>
      </c>
      <c r="CO135" s="167">
        <v>510</v>
      </c>
      <c r="CP135" s="167">
        <v>510</v>
      </c>
      <c r="CQ135" s="167">
        <v>510</v>
      </c>
      <c r="CR135" s="167">
        <v>354</v>
      </c>
      <c r="CS135" s="167">
        <v>608</v>
      </c>
    </row>
    <row r="136" spans="1:97" x14ac:dyDescent="0.25">
      <c r="A136" t="s">
        <v>65</v>
      </c>
      <c r="B136" s="168">
        <v>0</v>
      </c>
      <c r="C136" s="169">
        <f>49.6%+IF(char3WeapToggle, 2*char3WeapStacks*(4+(char3Refine-1))%, char3WeapStacks*(4+(char3Refine-1))%)</f>
        <v>0.496</v>
      </c>
      <c r="D136" s="169">
        <v>0</v>
      </c>
      <c r="E136" s="169">
        <f>49.6%+(20+(char3Refine-1)*5)%+IF(char3WeapToggle,(40+(char3Refine-1)*10),0)%</f>
        <v>1.0960000000000001</v>
      </c>
      <c r="F136" s="169">
        <f>IF(char3WeapToggle, (20+(char3Refine-1)*5)%, 0%) + (16+(char3Refine-1)*4)%</f>
        <v>0.36</v>
      </c>
      <c r="G136" s="170">
        <v>0</v>
      </c>
      <c r="H136" s="170">
        <v>0</v>
      </c>
      <c r="I136" s="170">
        <v>0.27600000000000002</v>
      </c>
      <c r="J136" s="169">
        <f>char3WeapStacks*(6+1.5*(char3Refine-1))%</f>
        <v>0</v>
      </c>
      <c r="K136" s="169">
        <v>0</v>
      </c>
      <c r="L136" s="169">
        <v>0</v>
      </c>
      <c r="M136" s="169">
        <v>0</v>
      </c>
      <c r="N136" s="170">
        <f>41.3%+char3WeapStacks*(7+(char3Refine-1))%</f>
        <v>0.41299999999999998</v>
      </c>
      <c r="O136" s="170">
        <v>0.27600000000000002</v>
      </c>
      <c r="P136" s="170">
        <v>0.55100000000000005</v>
      </c>
      <c r="Q136" s="170">
        <v>0</v>
      </c>
      <c r="R136" s="170">
        <v>0</v>
      </c>
      <c r="S136" s="170">
        <v>0.41299999999999998</v>
      </c>
      <c r="T136" s="169">
        <f>char3WeapStacks*(12+(char3Refine-1)*3)%</f>
        <v>0</v>
      </c>
      <c r="U136" s="171">
        <v>0</v>
      </c>
      <c r="V136" s="171">
        <f ca="1">MIN((28%+(char3Refine-1)*7%)*(char3FinalER-100%),(80+(char3Refine-1)*10)%)</f>
        <v>0.105616</v>
      </c>
      <c r="W136" s="171">
        <f>char3WeapStacks*(3.2+(char3Refine-1)*0.7)%</f>
        <v>0</v>
      </c>
      <c r="X136" s="171">
        <f>(49.6+(char3WeapStacks*IF(char3WeapToggle,2,1)*(4+(char3Refine-1)*1)))%</f>
        <v>0.496</v>
      </c>
      <c r="Y136" s="171">
        <v>0</v>
      </c>
      <c r="Z136" s="171">
        <v>0</v>
      </c>
      <c r="AA136" s="171">
        <v>0</v>
      </c>
      <c r="AB136" s="171">
        <v>0</v>
      </c>
      <c r="AC136" s="171">
        <v>0</v>
      </c>
      <c r="AD136" s="171">
        <v>0</v>
      </c>
      <c r="AE136" s="171">
        <f>(27.6+(7+(char3Refine-1)*1)*char3WeapStacks)%</f>
        <v>0.27600000000000002</v>
      </c>
      <c r="AF136" s="171">
        <v>0</v>
      </c>
      <c r="AG136" s="171">
        <f>IF(char3WeapToggle,(24+(char3Refine-1)*6),(16+(char3Refine-1)*4))%</f>
        <v>0.24</v>
      </c>
      <c r="AH136" s="171">
        <v>0</v>
      </c>
      <c r="AI136" s="171">
        <f>(12+(char3Refine-1)*3)*char3WeapStacks%</f>
        <v>0</v>
      </c>
      <c r="AJ136" s="171">
        <v>0</v>
      </c>
      <c r="AK136" s="171">
        <v>0</v>
      </c>
      <c r="AL136" s="172">
        <v>0</v>
      </c>
      <c r="AM136" s="172">
        <f>IF(char3WeapToggle, (20+(char3Refine-1)*5), 0)%</f>
        <v>0.2</v>
      </c>
      <c r="AN136" s="172">
        <v>0</v>
      </c>
      <c r="AO136" s="172">
        <f>(49.6+IF(char3WeapToggle,(4+(char3Refine-1))*char3WeapStacks*2,(4+(char3Refine-1))*char3WeapStacks))%</f>
        <v>0.496</v>
      </c>
      <c r="AP136" s="172">
        <v>0</v>
      </c>
      <c r="AQ136" s="172">
        <f>(20+(char3Refine-1)*5)%</f>
        <v>0.2</v>
      </c>
      <c r="AR136" s="172">
        <v>0</v>
      </c>
      <c r="AS136" s="172">
        <v>0.41299999999999998</v>
      </c>
      <c r="AT136" s="172">
        <v>0</v>
      </c>
      <c r="AU136" s="172">
        <v>0</v>
      </c>
      <c r="AV136" s="172">
        <v>0</v>
      </c>
      <c r="AW136" s="172">
        <v>0.41299999999999998</v>
      </c>
      <c r="AX136" s="172">
        <f>char3WeapStacks*(4+(char3Refine-1))%</f>
        <v>0</v>
      </c>
      <c r="AY136" s="172">
        <v>0.41299999999999998</v>
      </c>
      <c r="AZ136" s="172">
        <v>0</v>
      </c>
      <c r="BA136" s="172">
        <v>0</v>
      </c>
      <c r="BB136" s="172">
        <f>(char3WeapStacks*(12+(char3Refine-1)*3))%</f>
        <v>0</v>
      </c>
      <c r="BC136" s="172">
        <v>0.55100000000000005</v>
      </c>
      <c r="BD136" s="172">
        <v>0</v>
      </c>
      <c r="BE136" s="172">
        <f>IF(char3WeapToggle,12+(char3Refine-1)*3,0)%</f>
        <v>0.12</v>
      </c>
      <c r="BF136" s="172">
        <f>IF(char3WeapToggle, 20+(char3Refine-1)*5)%</f>
        <v>0.2</v>
      </c>
      <c r="BG136" s="172">
        <v>0</v>
      </c>
      <c r="BH136" s="173">
        <f>(49.6+IF(char3WeapToggle,(4+(char3Refine-1))*char3WeapStacks*2,(4+(char3Refine-1))*char3WeapStacks))%</f>
        <v>0.496</v>
      </c>
      <c r="BI136" s="174">
        <v>0.33100000000000002</v>
      </c>
      <c r="BJ136" s="174">
        <v>0</v>
      </c>
      <c r="BK136" s="174">
        <v>0</v>
      </c>
      <c r="BL136" s="174">
        <v>0.41299999999999998</v>
      </c>
      <c r="BM136" s="174">
        <v>0.55100000000000005</v>
      </c>
      <c r="BN136" s="174">
        <f>IF(char3WeapToggle, 20+(char3Refine-1)*5,0)%</f>
        <v>0.2</v>
      </c>
      <c r="BO136" s="174">
        <f>IF(char3WeapToggle, 20+(char3Refine-1)*5,0)%</f>
        <v>0.2</v>
      </c>
      <c r="BP136" s="174">
        <v>0</v>
      </c>
      <c r="BQ136" s="174">
        <v>0</v>
      </c>
      <c r="BR136" s="174">
        <v>0.27600000000000002</v>
      </c>
      <c r="BS136" s="174">
        <v>0</v>
      </c>
      <c r="BT136" s="174">
        <v>0</v>
      </c>
      <c r="BU136" s="174">
        <v>0</v>
      </c>
      <c r="BV136" s="174">
        <f>(55.1+IF(char3WeapToggle,8+(char3Refine-1)*2))%</f>
        <v>0.63100000000000001</v>
      </c>
      <c r="BW136" s="174">
        <v>0</v>
      </c>
      <c r="BX136" s="174">
        <f>char3WeapStacks*(12+(char3Refine-1)*3)%</f>
        <v>0</v>
      </c>
      <c r="BY136" s="174">
        <v>0</v>
      </c>
      <c r="BZ136" s="174">
        <v>0</v>
      </c>
      <c r="CA136" s="175">
        <f>IF(char3WeapToggle, 20+(char3Refine-1)*5, 0)%</f>
        <v>0.2</v>
      </c>
      <c r="CB136" s="73">
        <f>IF(char3WeapStacks=0, 0, IF(char3WeapStacks=1, 10+(char3Refine-1)*2.5, IF(char3WeapStacks=2, 20+(char3Refine-1)*5, IF(char3WeapStacks=3, 30+(char3Refine-1)*7.5, IF(char3WeapStacks=4, 48+(char3Refine-1)*12,0)))))%</f>
        <v>0</v>
      </c>
      <c r="CC136" s="176">
        <v>0</v>
      </c>
      <c r="CD136" s="177">
        <v>0.496</v>
      </c>
      <c r="CE136" s="177">
        <v>0.41299999999999998</v>
      </c>
      <c r="CF136" s="176">
        <v>0</v>
      </c>
      <c r="CG136" s="176">
        <f>char3WeapStacks*(4+(char3Refine-1))%</f>
        <v>0</v>
      </c>
      <c r="CH136" s="176">
        <f>char3WeapStacks*(12+(char3Refine-1)*3)%</f>
        <v>0</v>
      </c>
      <c r="CI136" s="176">
        <f>41.3%+IF(char3WeapToggle, 36+(char3Refine-1)*9)%</f>
        <v>0.77299999999999991</v>
      </c>
      <c r="CJ136" s="176">
        <v>0</v>
      </c>
      <c r="CK136" s="176">
        <f>IF(char3WeapToggle, 16+(char3Refine-1)*4,0)%</f>
        <v>0.16</v>
      </c>
      <c r="CL136" s="176">
        <v>0.27600000000000002</v>
      </c>
      <c r="CM136" s="176">
        <v>0</v>
      </c>
      <c r="CN136" s="176">
        <v>0.55100000000000005</v>
      </c>
      <c r="CO136" s="176">
        <v>0</v>
      </c>
      <c r="CP136" s="177">
        <v>0.41299999999999998</v>
      </c>
      <c r="CQ136" s="176">
        <v>0</v>
      </c>
      <c r="CR136" s="176">
        <v>0</v>
      </c>
      <c r="CS136" s="176">
        <f>(20+(char3Refine-1)*5)%</f>
        <v>0.2</v>
      </c>
    </row>
    <row r="137" spans="1:97" x14ac:dyDescent="0.25">
      <c r="A137" t="s">
        <v>66</v>
      </c>
      <c r="B137" s="168">
        <v>0</v>
      </c>
      <c r="C137" s="169">
        <v>0</v>
      </c>
      <c r="D137" s="169">
        <f>(20+(char3Refine-1)*5)%</f>
        <v>0.2</v>
      </c>
      <c r="E137" s="169">
        <v>0</v>
      </c>
      <c r="F137" s="169">
        <v>0</v>
      </c>
      <c r="G137" s="170">
        <v>0</v>
      </c>
      <c r="H137" s="170">
        <v>0</v>
      </c>
      <c r="I137" s="170">
        <v>0</v>
      </c>
      <c r="J137" s="170">
        <f>51.7%+char3WeapStacks*(6+1.5*(char3Refine-1))%</f>
        <v>0.51700000000000002</v>
      </c>
      <c r="K137" s="169">
        <v>0</v>
      </c>
      <c r="L137" s="169">
        <v>0</v>
      </c>
      <c r="M137" s="169">
        <v>0</v>
      </c>
      <c r="N137" s="170">
        <v>0</v>
      </c>
      <c r="O137" s="169">
        <v>0</v>
      </c>
      <c r="P137" s="169">
        <v>0</v>
      </c>
      <c r="Q137" s="170">
        <v>0</v>
      </c>
      <c r="R137" s="170">
        <v>0</v>
      </c>
      <c r="S137" s="170">
        <v>0</v>
      </c>
      <c r="T137" s="170">
        <v>0</v>
      </c>
      <c r="U137" s="171">
        <v>0</v>
      </c>
      <c r="V137" s="171">
        <v>0</v>
      </c>
      <c r="W137" s="171">
        <v>0</v>
      </c>
      <c r="X137" s="171">
        <v>0</v>
      </c>
      <c r="Y137" s="171">
        <v>0</v>
      </c>
      <c r="Z137" s="171">
        <v>0</v>
      </c>
      <c r="AA137" s="171">
        <v>0</v>
      </c>
      <c r="AB137" s="171">
        <v>0</v>
      </c>
      <c r="AC137" s="171">
        <v>0</v>
      </c>
      <c r="AD137" s="171">
        <v>0</v>
      </c>
      <c r="AE137" s="171">
        <v>0</v>
      </c>
      <c r="AF137" s="171">
        <v>0</v>
      </c>
      <c r="AG137" s="171">
        <f>(16+(char3Refine-1)*4)%</f>
        <v>0.16</v>
      </c>
      <c r="AH137" s="171">
        <v>0</v>
      </c>
      <c r="AI137" s="171">
        <v>0</v>
      </c>
      <c r="AJ137" s="171">
        <v>0</v>
      </c>
      <c r="AK137" s="171">
        <v>0</v>
      </c>
      <c r="AL137" s="172">
        <v>0</v>
      </c>
      <c r="AM137" s="172">
        <v>0</v>
      </c>
      <c r="AN137" s="172">
        <v>0</v>
      </c>
      <c r="AO137" s="172">
        <v>0</v>
      </c>
      <c r="AP137" s="172">
        <v>0</v>
      </c>
      <c r="AQ137" s="172">
        <v>0</v>
      </c>
      <c r="AR137" s="172">
        <v>0</v>
      </c>
      <c r="AS137" s="172">
        <v>0</v>
      </c>
      <c r="AT137" s="172">
        <v>0</v>
      </c>
      <c r="AU137" s="172">
        <v>0</v>
      </c>
      <c r="AV137" s="172">
        <v>0</v>
      </c>
      <c r="AW137" s="172">
        <v>0</v>
      </c>
      <c r="AX137" s="172">
        <f>char3WeapStacks*(4+(char3Refine-1))%</f>
        <v>0</v>
      </c>
      <c r="AY137" s="172">
        <v>0</v>
      </c>
      <c r="AZ137" s="172">
        <v>0</v>
      </c>
      <c r="BA137" s="172">
        <v>0</v>
      </c>
      <c r="BB137" s="172">
        <v>0</v>
      </c>
      <c r="BC137" s="172">
        <v>0</v>
      </c>
      <c r="BD137" s="172">
        <v>0.69</v>
      </c>
      <c r="BE137" s="172">
        <v>0</v>
      </c>
      <c r="BF137" s="172">
        <v>0</v>
      </c>
      <c r="BG137" s="172">
        <v>0</v>
      </c>
      <c r="BH137" s="174">
        <v>0</v>
      </c>
      <c r="BI137" s="174">
        <v>0</v>
      </c>
      <c r="BJ137" s="174">
        <v>0</v>
      </c>
      <c r="BK137" s="174">
        <v>0</v>
      </c>
      <c r="BL137" s="174">
        <v>0</v>
      </c>
      <c r="BM137" s="174">
        <v>0</v>
      </c>
      <c r="BN137" s="174">
        <v>0</v>
      </c>
      <c r="BO137" s="174">
        <v>0</v>
      </c>
      <c r="BP137" s="174">
        <v>0</v>
      </c>
      <c r="BQ137" s="174">
        <v>0</v>
      </c>
      <c r="BR137" s="174">
        <v>0</v>
      </c>
      <c r="BS137" s="174">
        <v>0</v>
      </c>
      <c r="BT137" s="174">
        <v>0</v>
      </c>
      <c r="BU137" s="174">
        <v>0</v>
      </c>
      <c r="BV137" s="174">
        <v>0</v>
      </c>
      <c r="BW137" s="174">
        <v>0</v>
      </c>
      <c r="BX137" s="174">
        <v>0</v>
      </c>
      <c r="BY137" s="174">
        <v>0</v>
      </c>
      <c r="BZ137" s="174">
        <v>0</v>
      </c>
      <c r="CA137" s="176">
        <v>0</v>
      </c>
      <c r="CB137" s="72">
        <v>0</v>
      </c>
      <c r="CC137" s="176">
        <v>0</v>
      </c>
      <c r="CD137" s="176">
        <v>0</v>
      </c>
      <c r="CE137" s="176">
        <v>0</v>
      </c>
      <c r="CF137" s="176">
        <v>0</v>
      </c>
      <c r="CG137" s="176">
        <v>0</v>
      </c>
      <c r="CH137" s="176">
        <v>0</v>
      </c>
      <c r="CI137" s="176">
        <v>0</v>
      </c>
      <c r="CJ137" s="176">
        <v>0</v>
      </c>
      <c r="CK137" s="176">
        <v>0</v>
      </c>
      <c r="CL137" s="176">
        <v>0</v>
      </c>
      <c r="CM137" s="176">
        <v>0</v>
      </c>
      <c r="CN137" s="176">
        <v>0</v>
      </c>
      <c r="CO137" s="176">
        <v>0</v>
      </c>
      <c r="CP137" s="176">
        <v>0</v>
      </c>
      <c r="CQ137" s="176">
        <v>0</v>
      </c>
      <c r="CR137" s="176">
        <v>0</v>
      </c>
      <c r="CS137" s="176">
        <v>0</v>
      </c>
    </row>
    <row r="138" spans="1:97" x14ac:dyDescent="0.25">
      <c r="A138" s="46" t="s">
        <v>67</v>
      </c>
      <c r="B138" s="168">
        <v>0</v>
      </c>
      <c r="C138" s="169">
        <v>0</v>
      </c>
      <c r="D138" s="169">
        <v>0</v>
      </c>
      <c r="E138" s="169">
        <v>0</v>
      </c>
      <c r="F138" s="169">
        <v>0</v>
      </c>
      <c r="G138" s="170">
        <v>0</v>
      </c>
      <c r="H138" s="170">
        <v>0.41299999999999998</v>
      </c>
      <c r="I138" s="170">
        <v>0</v>
      </c>
      <c r="J138" s="169">
        <v>0</v>
      </c>
      <c r="K138" s="169">
        <v>0</v>
      </c>
      <c r="L138" s="169">
        <v>0</v>
      </c>
      <c r="M138" s="169">
        <v>0</v>
      </c>
      <c r="N138" s="170">
        <v>0</v>
      </c>
      <c r="O138" s="169">
        <v>0</v>
      </c>
      <c r="P138" s="169">
        <v>0</v>
      </c>
      <c r="Q138" s="170">
        <v>0</v>
      </c>
      <c r="R138" s="170">
        <v>0</v>
      </c>
      <c r="S138" s="170">
        <v>0</v>
      </c>
      <c r="T138" s="170">
        <v>0</v>
      </c>
      <c r="U138" s="171">
        <v>0</v>
      </c>
      <c r="V138" s="171">
        <v>0</v>
      </c>
      <c r="W138" s="171">
        <v>0</v>
      </c>
      <c r="X138" s="171">
        <v>0</v>
      </c>
      <c r="Y138" s="171">
        <f>(20+(char3Refine-1)*5)%</f>
        <v>0.2</v>
      </c>
      <c r="Z138" s="171">
        <v>0</v>
      </c>
      <c r="AA138" s="171">
        <v>0</v>
      </c>
      <c r="AB138" s="171">
        <v>0</v>
      </c>
      <c r="AC138" s="171">
        <v>0</v>
      </c>
      <c r="AD138" s="171">
        <v>0</v>
      </c>
      <c r="AE138" s="171">
        <v>0</v>
      </c>
      <c r="AF138" s="171">
        <v>0</v>
      </c>
      <c r="AG138" s="171">
        <v>0</v>
      </c>
      <c r="AH138" s="171">
        <v>0</v>
      </c>
      <c r="AI138" s="171">
        <v>0</v>
      </c>
      <c r="AJ138" s="171">
        <v>0</v>
      </c>
      <c r="AK138" s="171">
        <v>0.46899999999999997</v>
      </c>
      <c r="AL138" s="172">
        <f>0.2+(char3Refine-1)*0.05</f>
        <v>0.2</v>
      </c>
      <c r="AM138" s="172">
        <v>0</v>
      </c>
      <c r="AN138" s="172">
        <v>0</v>
      </c>
      <c r="AO138" s="172">
        <v>0</v>
      </c>
      <c r="AP138" s="172">
        <v>0</v>
      </c>
      <c r="AQ138" s="172">
        <v>0</v>
      </c>
      <c r="AR138" s="172">
        <v>0</v>
      </c>
      <c r="AS138" s="172">
        <v>0</v>
      </c>
      <c r="AT138" s="172">
        <v>0</v>
      </c>
      <c r="AU138" s="172">
        <v>0</v>
      </c>
      <c r="AV138" s="172">
        <v>0</v>
      </c>
      <c r="AW138" s="172">
        <v>0</v>
      </c>
      <c r="AX138" s="172">
        <v>0</v>
      </c>
      <c r="AY138" s="172">
        <v>0</v>
      </c>
      <c r="AZ138" s="172">
        <v>0</v>
      </c>
      <c r="BA138" s="172">
        <v>0</v>
      </c>
      <c r="BB138" s="172">
        <v>0</v>
      </c>
      <c r="BC138" s="172">
        <v>0</v>
      </c>
      <c r="BD138" s="172">
        <v>0</v>
      </c>
      <c r="BE138" s="172">
        <v>0</v>
      </c>
      <c r="BF138" s="172">
        <v>0</v>
      </c>
      <c r="BG138" s="172">
        <v>0</v>
      </c>
      <c r="BH138" s="174">
        <v>0</v>
      </c>
      <c r="BI138" s="174">
        <v>0</v>
      </c>
      <c r="BJ138" s="174">
        <v>0</v>
      </c>
      <c r="BK138" s="174">
        <v>0.496</v>
      </c>
      <c r="BL138" s="174">
        <v>0</v>
      </c>
      <c r="BM138" s="174">
        <v>0</v>
      </c>
      <c r="BN138" s="174">
        <v>0</v>
      </c>
      <c r="BO138" s="174">
        <v>0</v>
      </c>
      <c r="BP138" s="174">
        <v>0</v>
      </c>
      <c r="BQ138" s="174">
        <v>0</v>
      </c>
      <c r="BR138" s="174">
        <v>0</v>
      </c>
      <c r="BS138" s="174">
        <v>0.41299999999999998</v>
      </c>
      <c r="BT138" s="174">
        <v>0</v>
      </c>
      <c r="BU138" s="174">
        <v>0</v>
      </c>
      <c r="BV138" s="174">
        <v>0</v>
      </c>
      <c r="BW138" s="174">
        <v>0</v>
      </c>
      <c r="BX138" s="174">
        <v>0</v>
      </c>
      <c r="BY138" s="174">
        <v>0</v>
      </c>
      <c r="BZ138" s="174">
        <v>0.35199999999999998</v>
      </c>
      <c r="CA138" s="176">
        <v>0</v>
      </c>
      <c r="CB138" s="72">
        <v>0</v>
      </c>
      <c r="CC138" s="176">
        <v>0</v>
      </c>
      <c r="CD138" s="176">
        <v>0</v>
      </c>
      <c r="CE138" s="176">
        <v>0</v>
      </c>
      <c r="CF138" s="176">
        <v>0</v>
      </c>
      <c r="CG138" s="176">
        <v>0</v>
      </c>
      <c r="CH138" s="176">
        <v>0</v>
      </c>
      <c r="CI138" s="176">
        <v>0</v>
      </c>
      <c r="CJ138" s="176">
        <v>0</v>
      </c>
      <c r="CK138" s="176">
        <v>0</v>
      </c>
      <c r="CL138" s="176">
        <v>0</v>
      </c>
      <c r="CM138" s="176">
        <v>0</v>
      </c>
      <c r="CN138" s="176">
        <v>0</v>
      </c>
      <c r="CO138" s="176">
        <v>0</v>
      </c>
      <c r="CP138" s="176">
        <v>0</v>
      </c>
      <c r="CQ138" s="176">
        <v>0</v>
      </c>
      <c r="CR138" s="176">
        <v>0</v>
      </c>
      <c r="CS138" s="176">
        <v>0</v>
      </c>
    </row>
    <row r="139" spans="1:97" x14ac:dyDescent="0.25">
      <c r="A139" t="s">
        <v>413</v>
      </c>
      <c r="B139" s="168">
        <v>0</v>
      </c>
      <c r="C139" s="169">
        <v>0</v>
      </c>
      <c r="D139" s="169">
        <v>0</v>
      </c>
      <c r="E139" s="169">
        <v>0</v>
      </c>
      <c r="F139" s="169">
        <v>0</v>
      </c>
      <c r="G139" s="170">
        <v>0.27600000000000002</v>
      </c>
      <c r="H139" s="170">
        <v>0</v>
      </c>
      <c r="I139" s="170">
        <f>(char3WeapStacks*(8%+(char3Refine-1)*2%))</f>
        <v>0</v>
      </c>
      <c r="J139" s="169">
        <v>0</v>
      </c>
      <c r="K139" s="169">
        <v>0</v>
      </c>
      <c r="L139" s="169">
        <v>0</v>
      </c>
      <c r="M139" s="169">
        <v>0</v>
      </c>
      <c r="N139" s="170">
        <f>char3WeapStacks*(3+(char3Refine-1))%</f>
        <v>0</v>
      </c>
      <c r="O139" s="169">
        <v>0</v>
      </c>
      <c r="P139" s="169">
        <v>0</v>
      </c>
      <c r="Q139" s="170">
        <v>0</v>
      </c>
      <c r="R139" s="170">
        <v>0</v>
      </c>
      <c r="S139" s="170">
        <v>0</v>
      </c>
      <c r="T139" s="170">
        <v>0</v>
      </c>
      <c r="U139" s="171">
        <f>(8+(char3Refine-1)*2)%</f>
        <v>0.08</v>
      </c>
      <c r="V139" s="171">
        <v>0</v>
      </c>
      <c r="W139" s="171">
        <v>0.221</v>
      </c>
      <c r="X139" s="171">
        <v>0</v>
      </c>
      <c r="Y139" s="171">
        <v>0</v>
      </c>
      <c r="Z139" s="171">
        <v>0</v>
      </c>
      <c r="AA139" s="171">
        <v>0</v>
      </c>
      <c r="AB139" s="171">
        <v>0</v>
      </c>
      <c r="AC139" s="171">
        <v>0</v>
      </c>
      <c r="AD139" s="171">
        <v>0</v>
      </c>
      <c r="AE139" s="171">
        <f>(3+(char3Refine-1)*1)*char3WeapStacks%</f>
        <v>0</v>
      </c>
      <c r="AF139" s="171">
        <v>0</v>
      </c>
      <c r="AG139" s="171">
        <v>0.36799999999999999</v>
      </c>
      <c r="AH139" s="171">
        <v>0</v>
      </c>
      <c r="AI139" s="171">
        <v>0</v>
      </c>
      <c r="AJ139" s="171">
        <v>0.23400000000000001</v>
      </c>
      <c r="AK139" s="171">
        <v>0</v>
      </c>
      <c r="AL139" s="172">
        <v>0.441</v>
      </c>
      <c r="AM139" s="172">
        <v>0</v>
      </c>
      <c r="AN139" s="172">
        <v>0</v>
      </c>
      <c r="AO139" s="172">
        <v>0</v>
      </c>
      <c r="AP139" s="172">
        <f>(4+(char3Refine-1))%</f>
        <v>0.04</v>
      </c>
      <c r="AQ139" s="172">
        <v>0</v>
      </c>
      <c r="AR139" s="172">
        <v>0</v>
      </c>
      <c r="AS139" s="172">
        <v>0</v>
      </c>
      <c r="AT139" s="172">
        <v>0.27600000000000002</v>
      </c>
      <c r="AU139" s="172">
        <v>0</v>
      </c>
      <c r="AV139" s="172">
        <v>0</v>
      </c>
      <c r="AW139" s="172">
        <f>(char3WeapStacks*(8+(char3Refine-1)*2))%</f>
        <v>0</v>
      </c>
      <c r="AX139" s="172">
        <v>0</v>
      </c>
      <c r="AY139" s="172">
        <v>0</v>
      </c>
      <c r="AZ139" s="172">
        <v>0</v>
      </c>
      <c r="BA139" s="172">
        <v>0</v>
      </c>
      <c r="BB139" s="172">
        <v>0</v>
      </c>
      <c r="BC139" s="172">
        <v>0</v>
      </c>
      <c r="BD139" s="172">
        <v>0</v>
      </c>
      <c r="BE139" s="172">
        <v>0</v>
      </c>
      <c r="BF139" s="172">
        <v>0</v>
      </c>
      <c r="BG139" s="172">
        <f>IF(char3WeapToggle,14+(char3Refine-1)*3.5,0)%</f>
        <v>0.14000000000000001</v>
      </c>
      <c r="BH139" s="174">
        <v>0</v>
      </c>
      <c r="BI139" s="174">
        <v>0</v>
      </c>
      <c r="BJ139" s="174">
        <v>0.33100000000000002</v>
      </c>
      <c r="BK139" s="174">
        <v>0</v>
      </c>
      <c r="BL139" s="174">
        <v>0</v>
      </c>
      <c r="BM139" s="174">
        <v>0</v>
      </c>
      <c r="BN139" s="174">
        <v>0</v>
      </c>
      <c r="BO139" s="174">
        <v>0</v>
      </c>
      <c r="BP139" s="174">
        <v>0.27600000000000002</v>
      </c>
      <c r="BQ139" s="174">
        <v>0</v>
      </c>
      <c r="BR139" s="174">
        <f>char3WeapStacks*(8+(char3Refine-1)*2)%</f>
        <v>0</v>
      </c>
      <c r="BS139" s="174">
        <v>0</v>
      </c>
      <c r="BT139" s="174">
        <v>0</v>
      </c>
      <c r="BU139" s="174">
        <v>0</v>
      </c>
      <c r="BV139" s="174">
        <v>0</v>
      </c>
      <c r="BW139" s="174">
        <v>0</v>
      </c>
      <c r="BX139" s="174">
        <v>0</v>
      </c>
      <c r="BY139" s="174">
        <v>0</v>
      </c>
      <c r="BZ139" s="174">
        <v>0</v>
      </c>
      <c r="CA139" s="176">
        <v>0</v>
      </c>
      <c r="CB139" s="72">
        <v>0.33100000000000002</v>
      </c>
      <c r="CC139" s="177">
        <v>0.221</v>
      </c>
      <c r="CD139" s="176">
        <v>0</v>
      </c>
      <c r="CE139" s="176">
        <v>0</v>
      </c>
      <c r="CF139" s="176">
        <v>0.27600000000000002</v>
      </c>
      <c r="CG139" s="176">
        <v>0</v>
      </c>
      <c r="CH139" s="176">
        <v>0</v>
      </c>
      <c r="CI139" s="176">
        <v>0</v>
      </c>
      <c r="CJ139" s="176">
        <v>0</v>
      </c>
      <c r="CK139" s="176">
        <v>0</v>
      </c>
      <c r="CL139" s="176">
        <v>0</v>
      </c>
      <c r="CM139" s="176">
        <v>0</v>
      </c>
      <c r="CN139" s="176">
        <v>0</v>
      </c>
      <c r="CO139" s="176">
        <v>0</v>
      </c>
      <c r="CP139" s="176">
        <f>char3WeapStacks*(8+(char3Refine-1)*2)%</f>
        <v>0</v>
      </c>
      <c r="CQ139" s="176">
        <v>0</v>
      </c>
      <c r="CR139" s="176">
        <v>0.312</v>
      </c>
      <c r="CS139" s="176">
        <v>0</v>
      </c>
    </row>
    <row r="140" spans="1:97" x14ac:dyDescent="0.25">
      <c r="A140" t="s">
        <v>414</v>
      </c>
      <c r="B140" s="168">
        <v>0</v>
      </c>
      <c r="C140" s="169">
        <v>0</v>
      </c>
      <c r="D140" s="169">
        <v>0.66200000000000003</v>
      </c>
      <c r="E140" s="169">
        <v>0</v>
      </c>
      <c r="F140" s="169">
        <v>0</v>
      </c>
      <c r="G140" s="170">
        <v>0</v>
      </c>
      <c r="H140" s="170">
        <v>0</v>
      </c>
      <c r="I140" s="170">
        <v>0</v>
      </c>
      <c r="J140" s="169">
        <v>0</v>
      </c>
      <c r="K140" s="169">
        <v>0</v>
      </c>
      <c r="L140" s="169">
        <v>0</v>
      </c>
      <c r="M140" s="169">
        <v>0</v>
      </c>
      <c r="N140" s="170">
        <v>0</v>
      </c>
      <c r="O140" s="169">
        <v>0</v>
      </c>
      <c r="P140" s="169">
        <v>0</v>
      </c>
      <c r="Q140" s="170">
        <v>0</v>
      </c>
      <c r="R140" s="170">
        <v>0</v>
      </c>
      <c r="S140" s="170">
        <v>0</v>
      </c>
      <c r="T140" s="170">
        <v>0.55100000000000005</v>
      </c>
      <c r="U140" s="171">
        <v>0</v>
      </c>
      <c r="V140" s="171">
        <v>0</v>
      </c>
      <c r="W140" s="171">
        <v>0</v>
      </c>
      <c r="X140" s="171">
        <v>0</v>
      </c>
      <c r="Y140" s="171">
        <v>0.66200000000000003</v>
      </c>
      <c r="Z140" s="171">
        <v>0</v>
      </c>
      <c r="AA140" s="171">
        <v>0</v>
      </c>
      <c r="AB140" s="171">
        <v>0</v>
      </c>
      <c r="AC140" s="171">
        <v>0</v>
      </c>
      <c r="AD140" s="171">
        <v>0</v>
      </c>
      <c r="AE140" s="171">
        <v>0</v>
      </c>
      <c r="AF140" s="171">
        <v>0</v>
      </c>
      <c r="AG140" s="171">
        <v>0</v>
      </c>
      <c r="AH140" s="171">
        <v>0</v>
      </c>
      <c r="AI140" s="171">
        <v>0.55100000000000005</v>
      </c>
      <c r="AJ140" s="171">
        <v>0</v>
      </c>
      <c r="AK140" s="171">
        <v>0</v>
      </c>
      <c r="AL140" s="172">
        <v>0</v>
      </c>
      <c r="AM140" s="172">
        <v>0</v>
      </c>
      <c r="AN140" s="172">
        <v>0.441</v>
      </c>
      <c r="AO140" s="172">
        <v>0</v>
      </c>
      <c r="AP140" s="172">
        <v>0</v>
      </c>
      <c r="AQ140" s="172">
        <v>0</v>
      </c>
      <c r="AR140" s="172">
        <v>0</v>
      </c>
      <c r="AS140" s="172">
        <v>0</v>
      </c>
      <c r="AT140" s="172">
        <v>0</v>
      </c>
      <c r="AU140" s="172">
        <v>0</v>
      </c>
      <c r="AV140" s="172">
        <v>0</v>
      </c>
      <c r="AW140" s="172">
        <v>0</v>
      </c>
      <c r="AX140" s="172">
        <v>0</v>
      </c>
      <c r="AY140" s="172">
        <v>0</v>
      </c>
      <c r="AZ140" s="172">
        <v>0</v>
      </c>
      <c r="BA140" s="172">
        <v>0</v>
      </c>
      <c r="BB140" s="172">
        <v>0.36799999999999999</v>
      </c>
      <c r="BC140" s="172">
        <v>0</v>
      </c>
      <c r="BD140" s="172">
        <v>0</v>
      </c>
      <c r="BE140" s="172">
        <v>0</v>
      </c>
      <c r="BF140" s="172">
        <v>0</v>
      </c>
      <c r="BG140" s="172">
        <v>0.46899999999999997</v>
      </c>
      <c r="BH140" s="174">
        <v>0</v>
      </c>
      <c r="BI140" s="174">
        <v>0</v>
      </c>
      <c r="BJ140" s="174">
        <v>0</v>
      </c>
      <c r="BK140" s="174">
        <v>0</v>
      </c>
      <c r="BL140" s="174">
        <v>0</v>
      </c>
      <c r="BM140" s="174">
        <v>0</v>
      </c>
      <c r="BN140" s="174">
        <v>0</v>
      </c>
      <c r="BO140" s="174">
        <v>0.55100000000000005</v>
      </c>
      <c r="BP140" s="174">
        <v>0</v>
      </c>
      <c r="BQ140" s="174">
        <v>0</v>
      </c>
      <c r="BR140" s="174">
        <v>0</v>
      </c>
      <c r="BS140" s="174">
        <v>0</v>
      </c>
      <c r="BT140" s="174">
        <v>0</v>
      </c>
      <c r="BU140" s="174">
        <v>0</v>
      </c>
      <c r="BV140" s="174">
        <v>0</v>
      </c>
      <c r="BW140" s="174">
        <v>0</v>
      </c>
      <c r="BX140" s="174">
        <v>0.55100000000000005</v>
      </c>
      <c r="BY140" s="174">
        <v>0</v>
      </c>
      <c r="BZ140" s="174">
        <v>0</v>
      </c>
      <c r="CA140" s="176">
        <v>0</v>
      </c>
      <c r="CB140" s="72">
        <v>0</v>
      </c>
      <c r="CC140" s="176">
        <f>(20+(char3Refine-1)*5)%</f>
        <v>0.2</v>
      </c>
      <c r="CD140" s="176">
        <v>0</v>
      </c>
      <c r="CE140" s="176">
        <v>0</v>
      </c>
      <c r="CF140" s="176">
        <v>0</v>
      </c>
      <c r="CG140" s="176">
        <v>0</v>
      </c>
      <c r="CH140" s="176">
        <v>0.36799999999999999</v>
      </c>
      <c r="CI140" s="176">
        <v>0</v>
      </c>
      <c r="CJ140" s="176">
        <v>0</v>
      </c>
      <c r="CK140" s="176">
        <v>0</v>
      </c>
      <c r="CL140" s="176">
        <v>0</v>
      </c>
      <c r="CM140" s="176">
        <v>0</v>
      </c>
      <c r="CN140" s="176">
        <v>0</v>
      </c>
      <c r="CO140" s="176">
        <v>0</v>
      </c>
      <c r="CP140" s="176">
        <v>0</v>
      </c>
      <c r="CQ140" s="176">
        <v>0</v>
      </c>
      <c r="CR140" s="176">
        <v>0</v>
      </c>
      <c r="CS140" s="176">
        <v>0.66200000000000003</v>
      </c>
    </row>
    <row r="141" spans="1:97" x14ac:dyDescent="0.25">
      <c r="A141" t="s">
        <v>68</v>
      </c>
      <c r="B141" s="168">
        <v>0.36799999999999999</v>
      </c>
      <c r="C141" s="169">
        <v>0</v>
      </c>
      <c r="D141" s="169">
        <v>0</v>
      </c>
      <c r="E141" s="169">
        <v>0</v>
      </c>
      <c r="F141" s="169">
        <v>0</v>
      </c>
      <c r="G141" s="170">
        <v>0</v>
      </c>
      <c r="H141" s="170">
        <v>0</v>
      </c>
      <c r="I141" s="170">
        <v>0</v>
      </c>
      <c r="J141" s="169">
        <v>0</v>
      </c>
      <c r="K141" s="170">
        <v>0.61299999999999999</v>
      </c>
      <c r="L141" s="170">
        <v>0</v>
      </c>
      <c r="M141" s="170">
        <v>0</v>
      </c>
      <c r="N141" s="170">
        <v>0</v>
      </c>
      <c r="O141" s="169">
        <v>0</v>
      </c>
      <c r="P141" s="169">
        <v>0</v>
      </c>
      <c r="Q141" s="169">
        <v>0.45900000000000002</v>
      </c>
      <c r="R141" s="169">
        <v>0.30599999999999999</v>
      </c>
      <c r="S141" s="170">
        <v>0</v>
      </c>
      <c r="T141" s="169">
        <v>0</v>
      </c>
      <c r="U141" s="171">
        <v>0.36799999999999999</v>
      </c>
      <c r="V141" s="171">
        <f>55.1%+IF(char3WeapToggle, 30+(char3Refine-1)*5,0)%</f>
        <v>0.85099999999999998</v>
      </c>
      <c r="W141" s="171">
        <v>0</v>
      </c>
      <c r="X141" s="171">
        <v>0</v>
      </c>
      <c r="Y141" s="171">
        <v>0</v>
      </c>
      <c r="Z141" s="171">
        <v>0.45900000000000002</v>
      </c>
      <c r="AA141" s="171">
        <v>0</v>
      </c>
      <c r="AB141" s="171">
        <v>0</v>
      </c>
      <c r="AC141" s="171">
        <v>0.30599999999999999</v>
      </c>
      <c r="AD141" s="171">
        <v>0.45900000000000002</v>
      </c>
      <c r="AE141" s="171">
        <v>0</v>
      </c>
      <c r="AF141" s="171">
        <v>0</v>
      </c>
      <c r="AG141" s="171">
        <v>0</v>
      </c>
      <c r="AH141" s="171">
        <v>0</v>
      </c>
      <c r="AI141" s="171">
        <v>0</v>
      </c>
      <c r="AJ141" s="171">
        <v>0</v>
      </c>
      <c r="AK141" s="171">
        <v>0</v>
      </c>
      <c r="AL141" s="172">
        <v>0</v>
      </c>
      <c r="AM141" s="172">
        <v>0</v>
      </c>
      <c r="AN141" s="172">
        <v>0</v>
      </c>
      <c r="AO141" s="172">
        <v>0</v>
      </c>
      <c r="AP141" s="172">
        <v>0.55100000000000005</v>
      </c>
      <c r="AQ141" s="172">
        <v>0</v>
      </c>
      <c r="AR141" s="172">
        <v>0.45900000000000002</v>
      </c>
      <c r="AS141" s="172">
        <v>0</v>
      </c>
      <c r="AT141" s="172">
        <v>0</v>
      </c>
      <c r="AU141" s="172">
        <v>0</v>
      </c>
      <c r="AV141" s="172">
        <v>0.61299999999999999</v>
      </c>
      <c r="AW141" s="172">
        <v>0</v>
      </c>
      <c r="AX141" s="172">
        <v>0</v>
      </c>
      <c r="AY141" s="172">
        <v>0</v>
      </c>
      <c r="AZ141" s="172">
        <v>0</v>
      </c>
      <c r="BA141" s="172">
        <v>0.61299999999999999</v>
      </c>
      <c r="BB141" s="172">
        <v>0</v>
      </c>
      <c r="BC141" s="172">
        <v>0</v>
      </c>
      <c r="BD141" s="172">
        <v>0</v>
      </c>
      <c r="BE141" s="172">
        <v>0.51700000000000002</v>
      </c>
      <c r="BF141" s="172">
        <v>0</v>
      </c>
      <c r="BG141" s="172">
        <v>0</v>
      </c>
      <c r="BH141" s="174">
        <v>0</v>
      </c>
      <c r="BI141" s="174">
        <v>0</v>
      </c>
      <c r="BJ141" s="174">
        <v>0</v>
      </c>
      <c r="BK141" s="174">
        <v>0</v>
      </c>
      <c r="BL141" s="174">
        <v>0</v>
      </c>
      <c r="BM141" s="174">
        <v>0</v>
      </c>
      <c r="BN141" s="174">
        <v>0.30599999999999999</v>
      </c>
      <c r="BO141" s="174">
        <v>0</v>
      </c>
      <c r="BP141" s="174">
        <v>0</v>
      </c>
      <c r="BQ141" s="174">
        <v>0</v>
      </c>
      <c r="BR141" s="174">
        <v>0</v>
      </c>
      <c r="BS141" s="174">
        <v>0</v>
      </c>
      <c r="BT141" s="174">
        <v>0</v>
      </c>
      <c r="BU141" s="174">
        <v>0.45900000000000002</v>
      </c>
      <c r="BV141" s="174">
        <v>0</v>
      </c>
      <c r="BW141" s="174">
        <v>0</v>
      </c>
      <c r="BX141" s="174">
        <v>0</v>
      </c>
      <c r="BY141" s="174">
        <v>0.30599999999999999</v>
      </c>
      <c r="BZ141" s="174">
        <v>0</v>
      </c>
      <c r="CA141" s="177">
        <v>0.55100000000000005</v>
      </c>
      <c r="CB141" s="74">
        <v>0</v>
      </c>
      <c r="CC141" s="176">
        <v>0</v>
      </c>
      <c r="CD141" s="176">
        <v>0</v>
      </c>
      <c r="CE141" s="176">
        <v>0</v>
      </c>
      <c r="CF141" s="176">
        <v>0</v>
      </c>
      <c r="CG141" s="176">
        <v>0</v>
      </c>
      <c r="CH141" s="176">
        <v>0</v>
      </c>
      <c r="CI141" s="176">
        <v>0</v>
      </c>
      <c r="CJ141" s="176">
        <v>0.61299999999999999</v>
      </c>
      <c r="CK141" s="176">
        <v>0</v>
      </c>
      <c r="CL141" s="176">
        <v>0</v>
      </c>
      <c r="CM141" s="176">
        <v>0.30599999999999999</v>
      </c>
      <c r="CN141" s="176">
        <v>0</v>
      </c>
      <c r="CO141" s="176">
        <v>0</v>
      </c>
      <c r="CP141" s="176">
        <v>0</v>
      </c>
      <c r="CQ141" s="176">
        <v>0</v>
      </c>
      <c r="CR141" s="176">
        <v>0</v>
      </c>
      <c r="CS141" s="176">
        <v>0</v>
      </c>
    </row>
    <row r="142" spans="1:97" x14ac:dyDescent="0.25">
      <c r="A142" t="s">
        <v>70</v>
      </c>
      <c r="B142" s="168">
        <v>0</v>
      </c>
      <c r="C142" s="169">
        <v>0</v>
      </c>
      <c r="D142" s="169">
        <v>0</v>
      </c>
      <c r="E142" s="169">
        <v>0</v>
      </c>
      <c r="F142" s="169">
        <v>0.20699999999999999</v>
      </c>
      <c r="G142" s="170">
        <v>0</v>
      </c>
      <c r="H142" s="170">
        <v>0</v>
      </c>
      <c r="I142" s="170">
        <v>0</v>
      </c>
      <c r="J142" s="169">
        <v>0</v>
      </c>
      <c r="K142" s="169">
        <v>0</v>
      </c>
      <c r="L142" s="169">
        <v>0.34499999999999997</v>
      </c>
      <c r="M142" s="169">
        <v>0</v>
      </c>
      <c r="N142" s="170">
        <v>0</v>
      </c>
      <c r="O142" s="169">
        <v>0</v>
      </c>
      <c r="P142" s="169">
        <v>0</v>
      </c>
      <c r="Q142" s="169">
        <v>0</v>
      </c>
      <c r="R142" s="169">
        <v>0</v>
      </c>
      <c r="S142" s="170">
        <v>0</v>
      </c>
      <c r="T142" s="169">
        <v>0</v>
      </c>
      <c r="U142" s="171">
        <v>0</v>
      </c>
      <c r="V142" s="171">
        <v>0</v>
      </c>
      <c r="W142" s="171">
        <v>0</v>
      </c>
      <c r="X142" s="171">
        <v>0</v>
      </c>
      <c r="Y142" s="171">
        <v>0</v>
      </c>
      <c r="Z142" s="171">
        <v>0</v>
      </c>
      <c r="AA142" s="171">
        <v>0</v>
      </c>
      <c r="AB142" s="171">
        <v>0.69</v>
      </c>
      <c r="AC142" s="171">
        <v>0</v>
      </c>
      <c r="AD142" s="171">
        <v>0</v>
      </c>
      <c r="AE142" s="171">
        <v>0</v>
      </c>
      <c r="AF142" s="171">
        <v>0</v>
      </c>
      <c r="AG142" s="171">
        <v>0</v>
      </c>
      <c r="AH142" s="171">
        <v>0.34499999999999997</v>
      </c>
      <c r="AI142" s="171">
        <v>0</v>
      </c>
      <c r="AJ142" s="171">
        <v>0</v>
      </c>
      <c r="AK142" s="171">
        <v>0</v>
      </c>
      <c r="AL142" s="172">
        <v>0</v>
      </c>
      <c r="AM142" s="172">
        <v>0</v>
      </c>
      <c r="AN142" s="172">
        <v>0</v>
      </c>
      <c r="AO142" s="172">
        <v>0</v>
      </c>
      <c r="AP142" s="172">
        <v>0</v>
      </c>
      <c r="AQ142" s="172">
        <v>0.41299999999999998</v>
      </c>
      <c r="AR142" s="172">
        <v>0</v>
      </c>
      <c r="AS142" s="172">
        <v>0</v>
      </c>
      <c r="AT142" s="172">
        <v>0</v>
      </c>
      <c r="AU142" s="172">
        <v>0</v>
      </c>
      <c r="AV142" s="172">
        <v>0</v>
      </c>
      <c r="AW142" s="172">
        <v>0</v>
      </c>
      <c r="AX142" s="172">
        <v>0.34499999999999997</v>
      </c>
      <c r="AY142" s="172">
        <v>0</v>
      </c>
      <c r="AZ142" s="172">
        <v>0</v>
      </c>
      <c r="BA142" s="172">
        <v>0</v>
      </c>
      <c r="BB142" s="172">
        <v>0</v>
      </c>
      <c r="BC142" s="172">
        <v>0</v>
      </c>
      <c r="BD142" s="172">
        <v>0</v>
      </c>
      <c r="BE142" s="172">
        <v>0</v>
      </c>
      <c r="BF142" s="172">
        <v>0</v>
      </c>
      <c r="BG142" s="172">
        <v>0</v>
      </c>
      <c r="BH142" s="174">
        <v>0</v>
      </c>
      <c r="BI142" s="174">
        <v>0</v>
      </c>
      <c r="BJ142" s="174">
        <v>0</v>
      </c>
      <c r="BK142" s="174">
        <v>0</v>
      </c>
      <c r="BL142" s="174">
        <v>0</v>
      </c>
      <c r="BM142" s="174">
        <v>0</v>
      </c>
      <c r="BN142" s="174">
        <v>0</v>
      </c>
      <c r="BO142" s="174">
        <v>0</v>
      </c>
      <c r="BP142" s="174">
        <v>0</v>
      </c>
      <c r="BQ142" s="174">
        <v>0</v>
      </c>
      <c r="BR142" s="174">
        <v>0</v>
      </c>
      <c r="BS142" s="174">
        <v>0</v>
      </c>
      <c r="BT142" s="174">
        <v>0</v>
      </c>
      <c r="BU142" s="174">
        <v>0</v>
      </c>
      <c r="BV142" s="174">
        <v>0</v>
      </c>
      <c r="BW142" s="174">
        <v>0</v>
      </c>
      <c r="BX142" s="174">
        <v>0</v>
      </c>
      <c r="BY142" s="174">
        <v>0</v>
      </c>
      <c r="BZ142" s="174">
        <v>0</v>
      </c>
      <c r="CA142" s="176">
        <v>0</v>
      </c>
      <c r="CB142" s="72">
        <v>0</v>
      </c>
      <c r="CC142" s="176">
        <v>0</v>
      </c>
      <c r="CD142" s="176">
        <v>0</v>
      </c>
      <c r="CE142" s="176">
        <v>0</v>
      </c>
      <c r="CF142" s="176">
        <v>0</v>
      </c>
      <c r="CG142" s="176">
        <v>0.69</v>
      </c>
      <c r="CH142" s="176">
        <v>0</v>
      </c>
      <c r="CI142" s="176">
        <v>0</v>
      </c>
      <c r="CJ142" s="176">
        <v>0</v>
      </c>
      <c r="CK142" s="176">
        <v>0</v>
      </c>
      <c r="CL142" s="176">
        <v>0</v>
      </c>
      <c r="CM142" s="176">
        <v>0</v>
      </c>
      <c r="CN142" s="176">
        <v>0</v>
      </c>
      <c r="CO142" s="176">
        <v>0</v>
      </c>
      <c r="CP142" s="176">
        <v>0</v>
      </c>
      <c r="CQ142" s="176">
        <v>0.51700000000000002</v>
      </c>
      <c r="CR142" s="176">
        <v>0</v>
      </c>
      <c r="CS142" s="176">
        <v>0</v>
      </c>
    </row>
    <row r="143" spans="1:97" x14ac:dyDescent="0.25">
      <c r="A143" s="46" t="s">
        <v>71</v>
      </c>
      <c r="B143" s="168">
        <v>0</v>
      </c>
      <c r="C143" s="169">
        <v>0</v>
      </c>
      <c r="D143" s="169">
        <v>0</v>
      </c>
      <c r="E143" s="169">
        <v>0</v>
      </c>
      <c r="F143" s="169">
        <v>0</v>
      </c>
      <c r="G143" s="170">
        <v>0</v>
      </c>
      <c r="H143" s="170">
        <v>0</v>
      </c>
      <c r="I143" s="170">
        <v>0</v>
      </c>
      <c r="J143" s="169">
        <v>0</v>
      </c>
      <c r="K143" s="169">
        <v>0</v>
      </c>
      <c r="L143" s="169">
        <v>0</v>
      </c>
      <c r="M143" s="169">
        <v>0</v>
      </c>
      <c r="N143" s="170">
        <v>0</v>
      </c>
      <c r="O143" s="169">
        <v>0</v>
      </c>
      <c r="P143" s="169">
        <v>0</v>
      </c>
      <c r="Q143" s="169">
        <v>0</v>
      </c>
      <c r="R143" s="169">
        <v>0</v>
      </c>
      <c r="S143" s="170">
        <v>0</v>
      </c>
      <c r="T143" s="169">
        <v>0</v>
      </c>
      <c r="U143" s="171">
        <v>0</v>
      </c>
      <c r="V143" s="171">
        <v>0</v>
      </c>
      <c r="W143" s="171">
        <v>0</v>
      </c>
      <c r="X143" s="171">
        <v>0</v>
      </c>
      <c r="Y143" s="171">
        <v>0</v>
      </c>
      <c r="Z143" s="171">
        <v>0</v>
      </c>
      <c r="AA143" s="171">
        <v>0</v>
      </c>
      <c r="AB143" s="171">
        <v>0</v>
      </c>
      <c r="AC143" s="171">
        <v>0</v>
      </c>
      <c r="AD143" s="171">
        <v>0</v>
      </c>
      <c r="AE143" s="171">
        <v>0</v>
      </c>
      <c r="AF143" s="171">
        <v>0</v>
      </c>
      <c r="AG143" s="171">
        <v>0</v>
      </c>
      <c r="AH143" s="171">
        <v>0</v>
      </c>
      <c r="AI143" s="171">
        <v>0</v>
      </c>
      <c r="AJ143" s="171">
        <v>0</v>
      </c>
      <c r="AK143" s="171">
        <v>0</v>
      </c>
      <c r="AL143" s="172">
        <v>0</v>
      </c>
      <c r="AM143" s="172">
        <v>0</v>
      </c>
      <c r="AN143" s="172">
        <f>(IF('Data Val'!$K$4 = weaponsDB!A209,IF(char3WeapStacks=1, (8+(char3Refine-1)*2)%, IF(char3WeapStacks=2, (16+(char3Refine-1)*4)%, IF(char3WeapStacks=3, (28+(char3Refine-1)*7)%, 0)))))+(12+(char3Refine-1)*3)%</f>
        <v>0.12</v>
      </c>
      <c r="AO143" s="172">
        <v>0</v>
      </c>
      <c r="AP143" s="172">
        <v>0</v>
      </c>
      <c r="AQ143" s="172">
        <v>0</v>
      </c>
      <c r="AR143" s="172">
        <v>0</v>
      </c>
      <c r="AS143" s="172">
        <v>0</v>
      </c>
      <c r="AT143" s="172">
        <v>0</v>
      </c>
      <c r="AU143" s="172">
        <v>0</v>
      </c>
      <c r="AV143" s="172">
        <v>0</v>
      </c>
      <c r="AW143" s="172">
        <v>0</v>
      </c>
      <c r="AX143" s="172">
        <v>0</v>
      </c>
      <c r="AY143" s="172">
        <v>0</v>
      </c>
      <c r="AZ143" s="172">
        <v>0</v>
      </c>
      <c r="BA143" s="172">
        <v>0</v>
      </c>
      <c r="BB143" s="172">
        <v>0</v>
      </c>
      <c r="BC143" s="172">
        <v>0</v>
      </c>
      <c r="BD143" s="172">
        <v>0</v>
      </c>
      <c r="BE143" s="172">
        <v>0</v>
      </c>
      <c r="BF143" s="172">
        <v>0</v>
      </c>
      <c r="BG143" s="172">
        <v>0</v>
      </c>
      <c r="BH143" s="174">
        <v>0</v>
      </c>
      <c r="BI143" s="174">
        <f t="shared" ref="BI143:BI148" si="8">(12+(char3Refine-1)*3)%</f>
        <v>0.12</v>
      </c>
      <c r="BJ143" s="174">
        <f t="shared" ref="BJ143:BJ148" si="9">(char3WeapStacks*(8+(char3Refine-1)*2))%</f>
        <v>0</v>
      </c>
      <c r="BK143" s="174">
        <v>0</v>
      </c>
      <c r="BL143" s="174">
        <v>0</v>
      </c>
      <c r="BM143" s="174">
        <v>0</v>
      </c>
      <c r="BN143" s="174">
        <v>0</v>
      </c>
      <c r="BO143" s="174">
        <f t="shared" ref="BO143:BO148" si="10">IF(char3WeapToggle, 16+(char3Refine-1)*4,0)%</f>
        <v>0.16</v>
      </c>
      <c r="BP143" s="174">
        <v>0</v>
      </c>
      <c r="BQ143" s="174">
        <v>0</v>
      </c>
      <c r="BR143" s="174">
        <v>0</v>
      </c>
      <c r="BS143" s="174">
        <v>0</v>
      </c>
      <c r="BT143" s="174">
        <f t="shared" ref="BT143:BT148" si="11">char3WeapStacks*(8+(char3Refine-1)*2)%</f>
        <v>0</v>
      </c>
      <c r="BU143" s="174">
        <v>0</v>
      </c>
      <c r="BV143" s="174">
        <v>0</v>
      </c>
      <c r="BW143" s="174">
        <v>0</v>
      </c>
      <c r="BX143" s="174">
        <v>0</v>
      </c>
      <c r="BY143" s="174">
        <v>0</v>
      </c>
      <c r="BZ143" s="174">
        <v>0</v>
      </c>
      <c r="CA143" s="176">
        <v>0</v>
      </c>
      <c r="CB143" s="72">
        <v>0</v>
      </c>
      <c r="CC143" s="176">
        <v>0</v>
      </c>
      <c r="CD143" s="176">
        <v>0</v>
      </c>
      <c r="CE143" s="176">
        <v>0</v>
      </c>
      <c r="CF143" s="176">
        <v>0</v>
      </c>
      <c r="CG143" s="176">
        <v>0</v>
      </c>
      <c r="CH143" s="176">
        <v>0</v>
      </c>
      <c r="CI143" s="176">
        <v>0</v>
      </c>
      <c r="CJ143" s="176">
        <v>0</v>
      </c>
      <c r="CK143" s="176">
        <v>0</v>
      </c>
      <c r="CL143" s="176">
        <v>0</v>
      </c>
      <c r="CM143" s="176">
        <v>0</v>
      </c>
      <c r="CN143" s="176">
        <v>0</v>
      </c>
      <c r="CO143" s="176">
        <v>0</v>
      </c>
      <c r="CP143" s="176">
        <v>0</v>
      </c>
      <c r="CQ143" s="176">
        <v>0</v>
      </c>
      <c r="CR143" s="176">
        <v>0</v>
      </c>
      <c r="CS143" s="176">
        <v>0</v>
      </c>
    </row>
    <row r="144" spans="1:97" x14ac:dyDescent="0.25">
      <c r="A144" t="s">
        <v>72</v>
      </c>
      <c r="B144" s="168">
        <v>0</v>
      </c>
      <c r="C144" s="169">
        <v>0</v>
      </c>
      <c r="D144" s="169">
        <v>0</v>
      </c>
      <c r="E144" s="169">
        <v>0</v>
      </c>
      <c r="F144" s="169">
        <v>0</v>
      </c>
      <c r="G144" s="170">
        <v>0</v>
      </c>
      <c r="H144" s="170">
        <v>0</v>
      </c>
      <c r="I144" s="170">
        <v>0</v>
      </c>
      <c r="J144" s="169">
        <v>0</v>
      </c>
      <c r="K144" s="169">
        <v>0</v>
      </c>
      <c r="L144" s="169">
        <v>0</v>
      </c>
      <c r="M144" s="169">
        <v>0</v>
      </c>
      <c r="N144" s="170">
        <v>0</v>
      </c>
      <c r="O144" s="169">
        <v>0</v>
      </c>
      <c r="P144" s="169">
        <v>0</v>
      </c>
      <c r="Q144" s="169">
        <v>0</v>
      </c>
      <c r="R144" s="169">
        <v>0</v>
      </c>
      <c r="S144" s="170">
        <v>0</v>
      </c>
      <c r="T144" s="169">
        <v>0</v>
      </c>
      <c r="U144" s="171">
        <v>0</v>
      </c>
      <c r="V144" s="171">
        <v>0</v>
      </c>
      <c r="W144" s="171">
        <v>0</v>
      </c>
      <c r="X144" s="171">
        <v>0</v>
      </c>
      <c r="Y144" s="171">
        <v>0</v>
      </c>
      <c r="Z144" s="171">
        <v>0</v>
      </c>
      <c r="AA144" s="171">
        <v>0</v>
      </c>
      <c r="AB144" s="171">
        <v>0</v>
      </c>
      <c r="AC144" s="171">
        <v>0</v>
      </c>
      <c r="AD144" s="171">
        <v>0</v>
      </c>
      <c r="AE144" s="171">
        <v>0</v>
      </c>
      <c r="AF144" s="171">
        <v>0</v>
      </c>
      <c r="AG144" s="171">
        <v>0</v>
      </c>
      <c r="AH144" s="171">
        <v>0</v>
      </c>
      <c r="AI144" s="171">
        <v>0</v>
      </c>
      <c r="AJ144" s="171">
        <v>0</v>
      </c>
      <c r="AK144" s="171">
        <v>0</v>
      </c>
      <c r="AL144" s="172">
        <v>0</v>
      </c>
      <c r="AM144" s="172">
        <v>0</v>
      </c>
      <c r="AN144" s="172">
        <f>(IF('Data Val'!$K$4 = weaponsDB!A210,IF(char3WeapStacks=1, (8+(char3Refine-1)*2)%, IF(char3WeapStacks=2, (16+(char3Refine-1)*4)%, IF(char3WeapStacks=3, (28+(char3Refine-1)*7)%, 0)))))+(12+(char3Refine-1)*3)%</f>
        <v>0.12</v>
      </c>
      <c r="AO144" s="172">
        <v>0</v>
      </c>
      <c r="AP144" s="172">
        <v>0</v>
      </c>
      <c r="AQ144" s="172">
        <v>0</v>
      </c>
      <c r="AR144" s="172">
        <v>0</v>
      </c>
      <c r="AS144" s="172">
        <v>0</v>
      </c>
      <c r="AT144" s="172">
        <v>0</v>
      </c>
      <c r="AU144" s="172">
        <v>0</v>
      </c>
      <c r="AV144" s="172">
        <v>0</v>
      </c>
      <c r="AW144" s="172">
        <v>0</v>
      </c>
      <c r="AX144" s="172">
        <v>0</v>
      </c>
      <c r="AY144" s="172">
        <v>0</v>
      </c>
      <c r="AZ144" s="172">
        <v>0</v>
      </c>
      <c r="BA144" s="172">
        <v>0</v>
      </c>
      <c r="BB144" s="172">
        <v>0</v>
      </c>
      <c r="BC144" s="172">
        <v>0</v>
      </c>
      <c r="BD144" s="172">
        <v>0</v>
      </c>
      <c r="BE144" s="172">
        <v>0</v>
      </c>
      <c r="BF144" s="172">
        <v>0</v>
      </c>
      <c r="BG144" s="172">
        <v>0</v>
      </c>
      <c r="BH144" s="174">
        <v>0</v>
      </c>
      <c r="BI144" s="174">
        <f t="shared" si="8"/>
        <v>0.12</v>
      </c>
      <c r="BJ144" s="174">
        <f t="shared" si="9"/>
        <v>0</v>
      </c>
      <c r="BK144" s="174">
        <v>0</v>
      </c>
      <c r="BL144" s="174">
        <v>0</v>
      </c>
      <c r="BM144" s="174">
        <v>0</v>
      </c>
      <c r="BN144" s="174">
        <v>0</v>
      </c>
      <c r="BO144" s="174">
        <f t="shared" si="10"/>
        <v>0.16</v>
      </c>
      <c r="BP144" s="174">
        <v>0</v>
      </c>
      <c r="BQ144" s="174">
        <v>0</v>
      </c>
      <c r="BR144" s="174">
        <v>0</v>
      </c>
      <c r="BS144" s="174">
        <v>0</v>
      </c>
      <c r="BT144" s="174">
        <f t="shared" si="11"/>
        <v>0</v>
      </c>
      <c r="BU144" s="174">
        <v>0</v>
      </c>
      <c r="BV144" s="174">
        <v>0</v>
      </c>
      <c r="BW144" s="174">
        <v>0</v>
      </c>
      <c r="BX144" s="174">
        <v>0</v>
      </c>
      <c r="BY144" s="174">
        <v>0</v>
      </c>
      <c r="BZ144" s="174">
        <v>0</v>
      </c>
      <c r="CA144" s="176">
        <v>0</v>
      </c>
      <c r="CB144" s="72">
        <v>0</v>
      </c>
      <c r="CC144" s="176">
        <v>0</v>
      </c>
      <c r="CD144" s="176">
        <v>0</v>
      </c>
      <c r="CE144" s="176">
        <v>0</v>
      </c>
      <c r="CF144" s="176">
        <v>0</v>
      </c>
      <c r="CG144" s="176">
        <v>0</v>
      </c>
      <c r="CH144" s="176">
        <v>0</v>
      </c>
      <c r="CI144" s="176">
        <v>0</v>
      </c>
      <c r="CJ144" s="176">
        <v>0</v>
      </c>
      <c r="CK144" s="176">
        <v>0</v>
      </c>
      <c r="CL144" s="176">
        <v>0</v>
      </c>
      <c r="CM144" s="176">
        <v>0</v>
      </c>
      <c r="CN144" s="176">
        <v>0</v>
      </c>
      <c r="CO144" s="176">
        <v>0</v>
      </c>
      <c r="CP144" s="176">
        <v>0</v>
      </c>
      <c r="CQ144" s="176">
        <v>0</v>
      </c>
      <c r="CR144" s="176">
        <v>0</v>
      </c>
      <c r="CS144" s="176">
        <v>0</v>
      </c>
    </row>
    <row r="145" spans="1:97" x14ac:dyDescent="0.25">
      <c r="A145" s="46" t="s">
        <v>73</v>
      </c>
      <c r="B145" s="168">
        <v>0</v>
      </c>
      <c r="C145" s="169">
        <v>0</v>
      </c>
      <c r="D145" s="169">
        <v>0</v>
      </c>
      <c r="E145" s="169">
        <v>0</v>
      </c>
      <c r="F145" s="169">
        <v>0</v>
      </c>
      <c r="G145" s="170">
        <v>0</v>
      </c>
      <c r="H145" s="170">
        <v>0</v>
      </c>
      <c r="I145" s="170">
        <v>0</v>
      </c>
      <c r="J145" s="169">
        <v>0</v>
      </c>
      <c r="K145" s="169">
        <v>0</v>
      </c>
      <c r="L145" s="169">
        <v>0</v>
      </c>
      <c r="M145" s="169">
        <v>0</v>
      </c>
      <c r="N145" s="170">
        <v>0</v>
      </c>
      <c r="O145" s="169">
        <v>0</v>
      </c>
      <c r="P145" s="169">
        <v>0</v>
      </c>
      <c r="Q145" s="169">
        <v>0</v>
      </c>
      <c r="R145" s="169">
        <v>0</v>
      </c>
      <c r="S145" s="170">
        <v>0</v>
      </c>
      <c r="T145" s="169">
        <v>0</v>
      </c>
      <c r="U145" s="171">
        <v>0</v>
      </c>
      <c r="V145" s="171">
        <v>0</v>
      </c>
      <c r="W145" s="171">
        <v>0</v>
      </c>
      <c r="X145" s="171">
        <v>0</v>
      </c>
      <c r="Y145" s="171">
        <v>0</v>
      </c>
      <c r="Z145" s="171">
        <v>0</v>
      </c>
      <c r="AA145" s="171">
        <v>0</v>
      </c>
      <c r="AB145" s="171">
        <v>0</v>
      </c>
      <c r="AC145" s="171">
        <v>0</v>
      </c>
      <c r="AD145" s="171">
        <v>0</v>
      </c>
      <c r="AE145" s="171">
        <v>0</v>
      </c>
      <c r="AF145" s="171">
        <v>0</v>
      </c>
      <c r="AG145" s="171">
        <v>0</v>
      </c>
      <c r="AH145" s="171">
        <v>0</v>
      </c>
      <c r="AI145" s="171">
        <v>0</v>
      </c>
      <c r="AJ145" s="171">
        <v>0</v>
      </c>
      <c r="AK145" s="171">
        <v>0</v>
      </c>
      <c r="AL145" s="172">
        <v>0</v>
      </c>
      <c r="AM145" s="172">
        <v>0</v>
      </c>
      <c r="AN145" s="172">
        <f>(IF('Data Val'!$K$4 = weaponsDB!A211,IF(char3WeapStacks=1, (8+(char3Refine-1)*2)%, IF(char3WeapStacks=2, (16+(char3Refine-1)*4)%, IF(char3WeapStacks=3, (28+(char3Refine-1)*7)%, 0)))))+(12+(char3Refine-1)*3)%</f>
        <v>0.12</v>
      </c>
      <c r="AO145" s="172">
        <v>0</v>
      </c>
      <c r="AP145" s="172">
        <v>0</v>
      </c>
      <c r="AQ145" s="172">
        <v>0</v>
      </c>
      <c r="AR145" s="172">
        <v>0</v>
      </c>
      <c r="AS145" s="172">
        <v>0</v>
      </c>
      <c r="AT145" s="172">
        <v>0</v>
      </c>
      <c r="AU145" s="172">
        <v>0</v>
      </c>
      <c r="AV145" s="172">
        <v>0</v>
      </c>
      <c r="AW145" s="172">
        <v>0</v>
      </c>
      <c r="AX145" s="172">
        <v>0</v>
      </c>
      <c r="AY145" s="172">
        <v>0</v>
      </c>
      <c r="AZ145" s="172">
        <v>0</v>
      </c>
      <c r="BA145" s="172">
        <v>0</v>
      </c>
      <c r="BB145" s="172">
        <v>0</v>
      </c>
      <c r="BC145" s="172">
        <v>0</v>
      </c>
      <c r="BD145" s="172">
        <v>0</v>
      </c>
      <c r="BE145" s="172">
        <v>0</v>
      </c>
      <c r="BF145" s="172">
        <v>0</v>
      </c>
      <c r="BG145" s="172">
        <v>0</v>
      </c>
      <c r="BH145" s="174">
        <v>0</v>
      </c>
      <c r="BI145" s="174">
        <f t="shared" si="8"/>
        <v>0.12</v>
      </c>
      <c r="BJ145" s="174">
        <f t="shared" si="9"/>
        <v>0</v>
      </c>
      <c r="BK145" s="174">
        <v>0</v>
      </c>
      <c r="BL145" s="174">
        <v>0</v>
      </c>
      <c r="BM145" s="174">
        <v>0</v>
      </c>
      <c r="BN145" s="174">
        <v>0</v>
      </c>
      <c r="BO145" s="174">
        <f t="shared" si="10"/>
        <v>0.16</v>
      </c>
      <c r="BP145" s="174">
        <v>0</v>
      </c>
      <c r="BQ145" s="174">
        <v>0</v>
      </c>
      <c r="BR145" s="174">
        <v>0</v>
      </c>
      <c r="BS145" s="174">
        <v>0</v>
      </c>
      <c r="BT145" s="174">
        <f t="shared" si="11"/>
        <v>0</v>
      </c>
      <c r="BU145" s="174">
        <v>0</v>
      </c>
      <c r="BV145" s="174">
        <v>0</v>
      </c>
      <c r="BW145" s="174">
        <v>0</v>
      </c>
      <c r="BX145" s="174">
        <v>0</v>
      </c>
      <c r="BY145" s="174">
        <v>0</v>
      </c>
      <c r="BZ145" s="174">
        <v>0</v>
      </c>
      <c r="CA145" s="176">
        <v>0</v>
      </c>
      <c r="CB145" s="72">
        <v>0</v>
      </c>
      <c r="CC145" s="176">
        <v>0</v>
      </c>
      <c r="CD145" s="176">
        <v>0</v>
      </c>
      <c r="CE145" s="176">
        <v>0</v>
      </c>
      <c r="CF145" s="176">
        <v>0</v>
      </c>
      <c r="CG145" s="176">
        <v>0</v>
      </c>
      <c r="CH145" s="176">
        <v>0</v>
      </c>
      <c r="CI145" s="176">
        <v>0</v>
      </c>
      <c r="CJ145" s="176">
        <v>0</v>
      </c>
      <c r="CK145" s="176">
        <v>0</v>
      </c>
      <c r="CL145" s="176">
        <v>0</v>
      </c>
      <c r="CM145" s="176">
        <v>0</v>
      </c>
      <c r="CN145" s="176">
        <v>0</v>
      </c>
      <c r="CO145" s="176">
        <v>0</v>
      </c>
      <c r="CP145" s="176">
        <v>0</v>
      </c>
      <c r="CQ145" s="176">
        <v>0</v>
      </c>
      <c r="CR145" s="176">
        <v>0</v>
      </c>
      <c r="CS145" s="176">
        <v>0</v>
      </c>
    </row>
    <row r="146" spans="1:97" x14ac:dyDescent="0.25">
      <c r="A146" s="46" t="s">
        <v>74</v>
      </c>
      <c r="B146" s="168">
        <v>0</v>
      </c>
      <c r="C146" s="169">
        <v>0</v>
      </c>
      <c r="D146" s="169">
        <v>0</v>
      </c>
      <c r="E146" s="169">
        <v>0</v>
      </c>
      <c r="F146" s="169">
        <v>0</v>
      </c>
      <c r="G146" s="170">
        <v>0</v>
      </c>
      <c r="H146" s="170">
        <v>0</v>
      </c>
      <c r="I146" s="170">
        <v>0</v>
      </c>
      <c r="J146" s="169">
        <v>0</v>
      </c>
      <c r="K146" s="169">
        <v>0</v>
      </c>
      <c r="L146" s="169">
        <v>0</v>
      </c>
      <c r="M146" s="169">
        <v>0</v>
      </c>
      <c r="N146" s="170">
        <v>0</v>
      </c>
      <c r="O146" s="169">
        <v>0</v>
      </c>
      <c r="P146" s="169">
        <v>0</v>
      </c>
      <c r="Q146" s="169">
        <v>0</v>
      </c>
      <c r="R146" s="169">
        <v>0</v>
      </c>
      <c r="S146" s="170">
        <v>0</v>
      </c>
      <c r="T146" s="169">
        <v>0</v>
      </c>
      <c r="U146" s="171">
        <v>0</v>
      </c>
      <c r="V146" s="171">
        <v>0</v>
      </c>
      <c r="W146" s="171">
        <v>0</v>
      </c>
      <c r="X146" s="171">
        <v>0</v>
      </c>
      <c r="Y146" s="171">
        <v>0</v>
      </c>
      <c r="Z146" s="171">
        <v>0</v>
      </c>
      <c r="AA146" s="171">
        <v>0</v>
      </c>
      <c r="AB146" s="171">
        <v>0</v>
      </c>
      <c r="AC146" s="171">
        <v>0</v>
      </c>
      <c r="AD146" s="171">
        <v>0</v>
      </c>
      <c r="AE146" s="171">
        <v>0</v>
      </c>
      <c r="AF146" s="171">
        <v>0</v>
      </c>
      <c r="AG146" s="171">
        <v>0</v>
      </c>
      <c r="AH146" s="171">
        <v>0</v>
      </c>
      <c r="AI146" s="171">
        <v>0</v>
      </c>
      <c r="AJ146" s="171">
        <v>0</v>
      </c>
      <c r="AK146" s="171">
        <v>0</v>
      </c>
      <c r="AL146" s="172">
        <v>0</v>
      </c>
      <c r="AM146" s="172">
        <v>0</v>
      </c>
      <c r="AN146" s="172">
        <f>(IF('Data Val'!$K$4 = weaponsDB!A212,IF(char3WeapStacks=1, (8+(char3Refine-1)*2)%, IF(char3WeapStacks=2, (16+(char3Refine-1)*4)%, IF(char3WeapStacks=3, (28+(char3Refine-1)*7)%, 0)))))+(12+(char3Refine-1)*3)%</f>
        <v>0.12</v>
      </c>
      <c r="AO146" s="172">
        <v>0</v>
      </c>
      <c r="AP146" s="172">
        <v>0</v>
      </c>
      <c r="AQ146" s="172">
        <v>0</v>
      </c>
      <c r="AR146" s="172">
        <v>0</v>
      </c>
      <c r="AS146" s="172">
        <v>0</v>
      </c>
      <c r="AT146" s="172">
        <v>0</v>
      </c>
      <c r="AU146" s="172">
        <v>0</v>
      </c>
      <c r="AV146" s="172">
        <v>0</v>
      </c>
      <c r="AW146" s="172">
        <v>0</v>
      </c>
      <c r="AX146" s="172">
        <v>0</v>
      </c>
      <c r="AY146" s="172">
        <v>0</v>
      </c>
      <c r="AZ146" s="172">
        <v>0</v>
      </c>
      <c r="BA146" s="172">
        <v>0</v>
      </c>
      <c r="BB146" s="172">
        <v>0</v>
      </c>
      <c r="BC146" s="172">
        <v>0</v>
      </c>
      <c r="BD146" s="172">
        <v>0</v>
      </c>
      <c r="BE146" s="172">
        <v>0</v>
      </c>
      <c r="BF146" s="172">
        <v>0</v>
      </c>
      <c r="BG146" s="172">
        <v>0</v>
      </c>
      <c r="BH146" s="174">
        <v>0</v>
      </c>
      <c r="BI146" s="174">
        <f t="shared" si="8"/>
        <v>0.12</v>
      </c>
      <c r="BJ146" s="174">
        <f t="shared" si="9"/>
        <v>0</v>
      </c>
      <c r="BK146" s="174">
        <v>0</v>
      </c>
      <c r="BL146" s="174">
        <v>0</v>
      </c>
      <c r="BM146" s="174">
        <v>0</v>
      </c>
      <c r="BN146" s="174">
        <v>0</v>
      </c>
      <c r="BO146" s="174">
        <f t="shared" si="10"/>
        <v>0.16</v>
      </c>
      <c r="BP146" s="174">
        <v>0</v>
      </c>
      <c r="BQ146" s="174">
        <v>0</v>
      </c>
      <c r="BR146" s="174">
        <v>0</v>
      </c>
      <c r="BS146" s="174">
        <v>0</v>
      </c>
      <c r="BT146" s="174">
        <f t="shared" si="11"/>
        <v>0</v>
      </c>
      <c r="BU146" s="174">
        <v>0</v>
      </c>
      <c r="BV146" s="174">
        <v>0</v>
      </c>
      <c r="BW146" s="174">
        <v>0</v>
      </c>
      <c r="BX146" s="174">
        <v>0</v>
      </c>
      <c r="BY146" s="174">
        <v>0</v>
      </c>
      <c r="BZ146" s="174">
        <v>0</v>
      </c>
      <c r="CA146" s="176">
        <v>0</v>
      </c>
      <c r="CB146" s="72">
        <v>0</v>
      </c>
      <c r="CC146" s="176">
        <v>0</v>
      </c>
      <c r="CD146" s="176">
        <v>0</v>
      </c>
      <c r="CE146" s="176">
        <v>0</v>
      </c>
      <c r="CF146" s="176">
        <v>0</v>
      </c>
      <c r="CG146" s="176">
        <v>0</v>
      </c>
      <c r="CH146" s="176">
        <v>0</v>
      </c>
      <c r="CI146" s="176">
        <v>0</v>
      </c>
      <c r="CJ146" s="176">
        <v>0</v>
      </c>
      <c r="CK146" s="176">
        <v>0</v>
      </c>
      <c r="CL146" s="176">
        <v>0</v>
      </c>
      <c r="CM146" s="176">
        <v>0</v>
      </c>
      <c r="CN146" s="176">
        <v>0</v>
      </c>
      <c r="CO146" s="176">
        <v>0</v>
      </c>
      <c r="CP146" s="176">
        <v>0</v>
      </c>
      <c r="CQ146" s="176">
        <v>0</v>
      </c>
      <c r="CR146" s="176">
        <v>0</v>
      </c>
      <c r="CS146" s="176">
        <v>0</v>
      </c>
    </row>
    <row r="147" spans="1:97" x14ac:dyDescent="0.25">
      <c r="A147" s="46" t="s">
        <v>75</v>
      </c>
      <c r="B147" s="168">
        <v>0</v>
      </c>
      <c r="C147" s="169">
        <v>0</v>
      </c>
      <c r="D147" s="169">
        <v>0</v>
      </c>
      <c r="E147" s="169">
        <v>0</v>
      </c>
      <c r="F147" s="169">
        <v>0</v>
      </c>
      <c r="G147" s="170">
        <v>0</v>
      </c>
      <c r="H147" s="170">
        <v>0</v>
      </c>
      <c r="I147" s="170">
        <v>0</v>
      </c>
      <c r="J147" s="169">
        <v>0</v>
      </c>
      <c r="K147" s="169">
        <v>0</v>
      </c>
      <c r="L147" s="169">
        <v>0</v>
      </c>
      <c r="M147" s="169">
        <v>0</v>
      </c>
      <c r="N147" s="170">
        <v>0</v>
      </c>
      <c r="O147" s="169">
        <v>0</v>
      </c>
      <c r="P147" s="169">
        <v>0</v>
      </c>
      <c r="Q147" s="169">
        <v>0</v>
      </c>
      <c r="R147" s="169">
        <v>0</v>
      </c>
      <c r="S147" s="170">
        <v>0</v>
      </c>
      <c r="T147" s="169">
        <v>0</v>
      </c>
      <c r="U147" s="171">
        <v>0</v>
      </c>
      <c r="V147" s="171">
        <v>0</v>
      </c>
      <c r="W147" s="171">
        <v>0</v>
      </c>
      <c r="X147" s="171">
        <v>0</v>
      </c>
      <c r="Y147" s="171">
        <v>0</v>
      </c>
      <c r="Z147" s="171">
        <v>0</v>
      </c>
      <c r="AA147" s="171">
        <v>0</v>
      </c>
      <c r="AB147" s="171">
        <v>0</v>
      </c>
      <c r="AC147" s="171">
        <v>0</v>
      </c>
      <c r="AD147" s="171">
        <v>0</v>
      </c>
      <c r="AE147" s="171">
        <v>0</v>
      </c>
      <c r="AF147" s="171">
        <v>0</v>
      </c>
      <c r="AG147" s="171">
        <v>0</v>
      </c>
      <c r="AH147" s="171">
        <v>0</v>
      </c>
      <c r="AI147" s="171">
        <v>0</v>
      </c>
      <c r="AJ147" s="171">
        <v>0</v>
      </c>
      <c r="AK147" s="171">
        <v>0</v>
      </c>
      <c r="AL147" s="172">
        <v>0</v>
      </c>
      <c r="AM147" s="172">
        <v>0</v>
      </c>
      <c r="AN147" s="172">
        <f>(IF('Data Val'!$K$4 = weaponsDB!A213,IF(char3WeapStacks=1, (8+(char3Refine-1)*2)%, IF(char3WeapStacks=2, (16+(char3Refine-1)*4)%, IF(char3WeapStacks=3, (28+(char3Refine-1)*7)%, 0)))))+(12+(char3Refine-1)*3)%</f>
        <v>0.12</v>
      </c>
      <c r="AO147" s="172">
        <v>0</v>
      </c>
      <c r="AP147" s="172">
        <v>0</v>
      </c>
      <c r="AQ147" s="172">
        <v>0</v>
      </c>
      <c r="AR147" s="172">
        <v>0</v>
      </c>
      <c r="AS147" s="172">
        <v>0</v>
      </c>
      <c r="AT147" s="172">
        <v>0</v>
      </c>
      <c r="AU147" s="172">
        <v>0</v>
      </c>
      <c r="AV147" s="172">
        <v>0</v>
      </c>
      <c r="AW147" s="172">
        <v>0</v>
      </c>
      <c r="AX147" s="172">
        <v>0</v>
      </c>
      <c r="AY147" s="172">
        <v>0</v>
      </c>
      <c r="AZ147" s="172">
        <v>0</v>
      </c>
      <c r="BA147" s="172">
        <v>0</v>
      </c>
      <c r="BB147" s="172">
        <v>0</v>
      </c>
      <c r="BC147" s="172">
        <v>0</v>
      </c>
      <c r="BD147" s="172">
        <v>0</v>
      </c>
      <c r="BE147" s="172">
        <v>0</v>
      </c>
      <c r="BF147" s="172">
        <v>0</v>
      </c>
      <c r="BG147" s="172">
        <v>0</v>
      </c>
      <c r="BH147" s="174">
        <v>0</v>
      </c>
      <c r="BI147" s="174">
        <f t="shared" si="8"/>
        <v>0.12</v>
      </c>
      <c r="BJ147" s="174">
        <f t="shared" si="9"/>
        <v>0</v>
      </c>
      <c r="BK147" s="174">
        <v>0</v>
      </c>
      <c r="BL147" s="174">
        <v>0</v>
      </c>
      <c r="BM147" s="174">
        <v>0</v>
      </c>
      <c r="BN147" s="174">
        <v>0</v>
      </c>
      <c r="BO147" s="174">
        <f t="shared" si="10"/>
        <v>0.16</v>
      </c>
      <c r="BP147" s="174">
        <v>0</v>
      </c>
      <c r="BQ147" s="174">
        <v>0</v>
      </c>
      <c r="BR147" s="174">
        <v>0</v>
      </c>
      <c r="BS147" s="174">
        <v>0</v>
      </c>
      <c r="BT147" s="174">
        <f t="shared" si="11"/>
        <v>0</v>
      </c>
      <c r="BU147" s="174">
        <v>0</v>
      </c>
      <c r="BV147" s="174">
        <v>0</v>
      </c>
      <c r="BW147" s="174">
        <v>0</v>
      </c>
      <c r="BX147" s="174">
        <v>0</v>
      </c>
      <c r="BY147" s="174">
        <v>0</v>
      </c>
      <c r="BZ147" s="174">
        <v>0</v>
      </c>
      <c r="CA147" s="176">
        <v>0</v>
      </c>
      <c r="CB147" s="72">
        <v>0</v>
      </c>
      <c r="CC147" s="176">
        <v>0</v>
      </c>
      <c r="CD147" s="176">
        <v>0</v>
      </c>
      <c r="CE147" s="176">
        <v>0</v>
      </c>
      <c r="CF147" s="176">
        <v>0</v>
      </c>
      <c r="CG147" s="176">
        <v>0</v>
      </c>
      <c r="CH147" s="176">
        <v>0</v>
      </c>
      <c r="CI147" s="176">
        <v>0</v>
      </c>
      <c r="CJ147" s="176">
        <v>0</v>
      </c>
      <c r="CK147" s="176">
        <v>0</v>
      </c>
      <c r="CL147" s="176">
        <v>0</v>
      </c>
      <c r="CM147" s="176">
        <v>0</v>
      </c>
      <c r="CN147" s="176">
        <v>0</v>
      </c>
      <c r="CO147" s="176">
        <v>0</v>
      </c>
      <c r="CP147" s="176">
        <v>0</v>
      </c>
      <c r="CQ147" s="176">
        <v>0</v>
      </c>
      <c r="CR147" s="176">
        <v>0</v>
      </c>
      <c r="CS147" s="176">
        <v>0</v>
      </c>
    </row>
    <row r="148" spans="1:97" x14ac:dyDescent="0.25">
      <c r="A148" s="46" t="s">
        <v>76</v>
      </c>
      <c r="B148" s="168">
        <v>0</v>
      </c>
      <c r="C148" s="169">
        <v>0</v>
      </c>
      <c r="D148" s="169">
        <v>0</v>
      </c>
      <c r="E148" s="169">
        <v>0</v>
      </c>
      <c r="F148" s="169">
        <v>0</v>
      </c>
      <c r="G148" s="170">
        <v>0</v>
      </c>
      <c r="H148" s="170">
        <v>0</v>
      </c>
      <c r="I148" s="170">
        <v>0</v>
      </c>
      <c r="J148" s="169">
        <v>0</v>
      </c>
      <c r="K148" s="169">
        <v>0</v>
      </c>
      <c r="L148" s="169">
        <v>0</v>
      </c>
      <c r="M148" s="169">
        <v>0</v>
      </c>
      <c r="N148" s="170">
        <v>0</v>
      </c>
      <c r="O148" s="169">
        <v>0</v>
      </c>
      <c r="P148" s="169">
        <v>0</v>
      </c>
      <c r="Q148" s="169">
        <v>0</v>
      </c>
      <c r="R148" s="169">
        <v>0</v>
      </c>
      <c r="S148" s="170">
        <v>0</v>
      </c>
      <c r="T148" s="169">
        <v>0</v>
      </c>
      <c r="U148" s="171">
        <v>0</v>
      </c>
      <c r="V148" s="171">
        <v>0</v>
      </c>
      <c r="W148" s="171">
        <v>0</v>
      </c>
      <c r="X148" s="171">
        <v>0</v>
      </c>
      <c r="Y148" s="171">
        <v>0</v>
      </c>
      <c r="Z148" s="171">
        <v>0</v>
      </c>
      <c r="AA148" s="171">
        <v>0</v>
      </c>
      <c r="AB148" s="171">
        <v>0</v>
      </c>
      <c r="AC148" s="171">
        <v>0</v>
      </c>
      <c r="AD148" s="171">
        <v>0</v>
      </c>
      <c r="AE148" s="171">
        <v>0</v>
      </c>
      <c r="AF148" s="171">
        <v>0</v>
      </c>
      <c r="AG148" s="171">
        <v>0</v>
      </c>
      <c r="AH148" s="171">
        <v>0</v>
      </c>
      <c r="AI148" s="171">
        <v>0</v>
      </c>
      <c r="AJ148" s="171">
        <v>0</v>
      </c>
      <c r="AK148" s="171">
        <v>0</v>
      </c>
      <c r="AL148" s="172">
        <v>0</v>
      </c>
      <c r="AM148" s="172">
        <v>0</v>
      </c>
      <c r="AN148" s="172">
        <f>(IF('Data Val'!$K$4 = weaponsDB!A214,IF(char3WeapStacks=1, (8+(char3Refine-1)*2)%, IF(char3WeapStacks=2, (16+(char3Refine-1)*4)%, IF(char3WeapStacks=3, (28+(char3Refine-1)*7)%, 0)))))+(12+(char3Refine-1)*3)%</f>
        <v>0.12</v>
      </c>
      <c r="AO148" s="172">
        <v>0</v>
      </c>
      <c r="AP148" s="172">
        <v>0</v>
      </c>
      <c r="AQ148" s="172">
        <v>0</v>
      </c>
      <c r="AR148" s="172">
        <v>0</v>
      </c>
      <c r="AS148" s="172">
        <v>0</v>
      </c>
      <c r="AT148" s="172">
        <v>0</v>
      </c>
      <c r="AU148" s="172">
        <v>0</v>
      </c>
      <c r="AV148" s="172">
        <v>0</v>
      </c>
      <c r="AW148" s="172">
        <v>0</v>
      </c>
      <c r="AX148" s="172">
        <v>0</v>
      </c>
      <c r="AY148" s="172">
        <v>0</v>
      </c>
      <c r="AZ148" s="172">
        <v>0</v>
      </c>
      <c r="BA148" s="172">
        <v>0</v>
      </c>
      <c r="BB148" s="172">
        <v>0</v>
      </c>
      <c r="BC148" s="172">
        <v>0</v>
      </c>
      <c r="BD148" s="172">
        <v>0</v>
      </c>
      <c r="BE148" s="172">
        <v>0</v>
      </c>
      <c r="BF148" s="172">
        <v>0</v>
      </c>
      <c r="BG148" s="172">
        <v>0</v>
      </c>
      <c r="BH148" s="174">
        <v>0</v>
      </c>
      <c r="BI148" s="174">
        <f t="shared" si="8"/>
        <v>0.12</v>
      </c>
      <c r="BJ148" s="174">
        <f t="shared" si="9"/>
        <v>0</v>
      </c>
      <c r="BK148" s="174">
        <v>0</v>
      </c>
      <c r="BL148" s="174">
        <v>0</v>
      </c>
      <c r="BM148" s="174">
        <v>0</v>
      </c>
      <c r="BN148" s="174">
        <v>0</v>
      </c>
      <c r="BO148" s="174">
        <f t="shared" si="10"/>
        <v>0.16</v>
      </c>
      <c r="BP148" s="174">
        <v>0</v>
      </c>
      <c r="BQ148" s="174">
        <v>0</v>
      </c>
      <c r="BR148" s="174">
        <v>0</v>
      </c>
      <c r="BS148" s="174">
        <v>0</v>
      </c>
      <c r="BT148" s="174">
        <f t="shared" si="11"/>
        <v>0</v>
      </c>
      <c r="BU148" s="174">
        <v>0</v>
      </c>
      <c r="BV148" s="174">
        <v>0</v>
      </c>
      <c r="BW148" s="174">
        <v>0</v>
      </c>
      <c r="BX148" s="174">
        <v>0</v>
      </c>
      <c r="BY148" s="174">
        <v>0</v>
      </c>
      <c r="BZ148" s="174">
        <v>0</v>
      </c>
      <c r="CA148" s="176">
        <v>0</v>
      </c>
      <c r="CB148" s="72">
        <v>0</v>
      </c>
      <c r="CC148" s="176">
        <v>0</v>
      </c>
      <c r="CD148" s="176">
        <v>0</v>
      </c>
      <c r="CE148" s="176">
        <v>0</v>
      </c>
      <c r="CF148" s="176">
        <v>0</v>
      </c>
      <c r="CG148" s="176">
        <v>0</v>
      </c>
      <c r="CH148" s="176">
        <v>0</v>
      </c>
      <c r="CI148" s="176">
        <v>0</v>
      </c>
      <c r="CJ148" s="176">
        <v>0</v>
      </c>
      <c r="CK148" s="176">
        <v>0</v>
      </c>
      <c r="CL148" s="176">
        <v>0</v>
      </c>
      <c r="CM148" s="176">
        <v>0</v>
      </c>
      <c r="CN148" s="176">
        <v>0</v>
      </c>
      <c r="CO148" s="176">
        <v>0</v>
      </c>
      <c r="CP148" s="176">
        <v>0</v>
      </c>
      <c r="CQ148" s="176">
        <v>0</v>
      </c>
      <c r="CR148" s="176">
        <v>0</v>
      </c>
      <c r="CS148" s="176">
        <v>0</v>
      </c>
    </row>
    <row r="149" spans="1:97" x14ac:dyDescent="0.25">
      <c r="A149" s="46" t="s">
        <v>69</v>
      </c>
      <c r="B149" s="178">
        <v>0</v>
      </c>
      <c r="C149" s="179">
        <v>0</v>
      </c>
      <c r="D149" s="204">
        <v>0</v>
      </c>
      <c r="E149" s="179">
        <v>0</v>
      </c>
      <c r="F149" s="204">
        <v>0</v>
      </c>
      <c r="G149" s="179">
        <v>0</v>
      </c>
      <c r="H149" s="179">
        <v>0</v>
      </c>
      <c r="I149" s="179">
        <v>0</v>
      </c>
      <c r="J149" s="179">
        <v>0</v>
      </c>
      <c r="K149" s="179">
        <v>0</v>
      </c>
      <c r="L149" s="179">
        <v>0</v>
      </c>
      <c r="M149" s="179">
        <v>165</v>
      </c>
      <c r="N149" s="179">
        <v>0</v>
      </c>
      <c r="O149" s="179">
        <v>0</v>
      </c>
      <c r="P149" s="204">
        <v>0</v>
      </c>
      <c r="Q149" s="204">
        <v>0</v>
      </c>
      <c r="R149" s="204">
        <v>0</v>
      </c>
      <c r="S149" s="179">
        <v>0</v>
      </c>
      <c r="T149" s="179">
        <v>0</v>
      </c>
      <c r="U149" s="180">
        <v>0</v>
      </c>
      <c r="V149" s="180">
        <v>0</v>
      </c>
      <c r="W149" s="180">
        <v>0</v>
      </c>
      <c r="X149" s="180">
        <v>0</v>
      </c>
      <c r="Y149" s="180">
        <v>0</v>
      </c>
      <c r="Z149" s="180">
        <v>0</v>
      </c>
      <c r="AA149" s="180">
        <v>110</v>
      </c>
      <c r="AB149" s="180">
        <v>0</v>
      </c>
      <c r="AC149" s="180">
        <v>0</v>
      </c>
      <c r="AD149" s="180">
        <v>0</v>
      </c>
      <c r="AE149" s="180">
        <v>0</v>
      </c>
      <c r="AF149" s="180">
        <v>221</v>
      </c>
      <c r="AG149" s="180">
        <v>0</v>
      </c>
      <c r="AH149" s="180">
        <v>0</v>
      </c>
      <c r="AI149" s="180">
        <v>0</v>
      </c>
      <c r="AJ149" s="180">
        <v>0</v>
      </c>
      <c r="AK149" s="180">
        <v>0</v>
      </c>
      <c r="AL149" s="181">
        <v>0</v>
      </c>
      <c r="AM149" s="181">
        <v>198</v>
      </c>
      <c r="AN149" s="181">
        <v>0</v>
      </c>
      <c r="AO149" s="181">
        <v>0</v>
      </c>
      <c r="AP149" s="181">
        <v>0</v>
      </c>
      <c r="AQ149" s="181">
        <v>0</v>
      </c>
      <c r="AR149" s="181">
        <v>0</v>
      </c>
      <c r="AS149" s="181">
        <v>0</v>
      </c>
      <c r="AT149" s="181">
        <v>0</v>
      </c>
      <c r="AU149" s="181">
        <v>55</v>
      </c>
      <c r="AV149" s="181">
        <v>0</v>
      </c>
      <c r="AW149" s="181">
        <v>0</v>
      </c>
      <c r="AX149" s="181">
        <v>0</v>
      </c>
      <c r="AY149" s="181">
        <v>0</v>
      </c>
      <c r="AZ149" s="181">
        <v>165</v>
      </c>
      <c r="BA149" s="181">
        <v>0</v>
      </c>
      <c r="BB149" s="181">
        <v>0</v>
      </c>
      <c r="BC149" s="181">
        <v>0</v>
      </c>
      <c r="BD149" s="181">
        <v>0</v>
      </c>
      <c r="BE149" s="181">
        <v>0</v>
      </c>
      <c r="BF149" s="181">
        <v>141</v>
      </c>
      <c r="BG149" s="181">
        <v>0</v>
      </c>
      <c r="BH149" s="166">
        <v>0</v>
      </c>
      <c r="BI149" s="166">
        <v>0</v>
      </c>
      <c r="BJ149" s="166">
        <v>0</v>
      </c>
      <c r="BK149" s="166">
        <v>0</v>
      </c>
      <c r="BL149" s="166">
        <v>0</v>
      </c>
      <c r="BM149" s="166">
        <v>0</v>
      </c>
      <c r="BN149" s="166">
        <v>0</v>
      </c>
      <c r="BO149" s="166">
        <f>IF(char3WeapToggle,80+(char3Refine-1)*20,0)</f>
        <v>80</v>
      </c>
      <c r="BP149" s="166">
        <v>0</v>
      </c>
      <c r="BQ149" s="166">
        <v>221</v>
      </c>
      <c r="BR149" s="166">
        <v>0</v>
      </c>
      <c r="BS149" s="166">
        <v>0</v>
      </c>
      <c r="BT149" s="166">
        <v>110</v>
      </c>
      <c r="BU149" s="166">
        <v>0</v>
      </c>
      <c r="BV149" s="166">
        <v>0</v>
      </c>
      <c r="BW149" s="166">
        <v>187</v>
      </c>
      <c r="BX149" s="166">
        <v>0</v>
      </c>
      <c r="BY149" s="166">
        <v>0</v>
      </c>
      <c r="BZ149" s="166">
        <v>0</v>
      </c>
      <c r="CA149" s="182">
        <f>60+(char3Refine-1)*15+IF(char3WeapToggle, 100+(char3Refine-1)*25,0)</f>
        <v>160</v>
      </c>
      <c r="CB149" s="79">
        <v>0</v>
      </c>
      <c r="CC149" s="183">
        <v>0</v>
      </c>
      <c r="CD149" s="183">
        <v>0</v>
      </c>
      <c r="CE149" s="182">
        <v>0</v>
      </c>
      <c r="CF149" s="183">
        <v>0</v>
      </c>
      <c r="CG149" s="183">
        <v>0</v>
      </c>
      <c r="CH149" s="183">
        <v>0</v>
      </c>
      <c r="CI149" s="183">
        <v>0</v>
      </c>
      <c r="CJ149" s="183">
        <v>0</v>
      </c>
      <c r="CK149" s="182">
        <v>165</v>
      </c>
      <c r="CL149" s="183">
        <v>0</v>
      </c>
      <c r="CM149" s="183">
        <v>0</v>
      </c>
      <c r="CN149" s="183">
        <v>0</v>
      </c>
      <c r="CO149" s="183">
        <v>165</v>
      </c>
      <c r="CP149" s="183">
        <v>0</v>
      </c>
      <c r="CQ149" s="183">
        <v>0</v>
      </c>
      <c r="CR149" s="183">
        <v>0</v>
      </c>
      <c r="CS149" s="183">
        <v>0</v>
      </c>
    </row>
    <row r="150" spans="1:97" x14ac:dyDescent="0.25">
      <c r="A150" s="46" t="s">
        <v>457</v>
      </c>
      <c r="B150" s="168">
        <v>0</v>
      </c>
      <c r="C150" s="170">
        <v>0</v>
      </c>
      <c r="D150" s="169">
        <v>0</v>
      </c>
      <c r="E150" s="170">
        <v>0</v>
      </c>
      <c r="F150" s="169">
        <v>0</v>
      </c>
      <c r="G150" s="170">
        <v>0</v>
      </c>
      <c r="H150" s="170">
        <v>0</v>
      </c>
      <c r="I150" s="170">
        <v>0</v>
      </c>
      <c r="J150" s="170">
        <v>0</v>
      </c>
      <c r="K150" s="170">
        <v>0</v>
      </c>
      <c r="L150" s="170">
        <v>0</v>
      </c>
      <c r="M150" s="170">
        <v>0</v>
      </c>
      <c r="N150" s="170">
        <v>0</v>
      </c>
      <c r="O150" s="170">
        <v>0</v>
      </c>
      <c r="P150" s="169">
        <v>0</v>
      </c>
      <c r="Q150" s="169">
        <v>0</v>
      </c>
      <c r="R150" s="169">
        <v>0</v>
      </c>
      <c r="S150" s="170">
        <v>0</v>
      </c>
      <c r="T150" s="170">
        <v>0</v>
      </c>
      <c r="U150" s="171">
        <v>0</v>
      </c>
      <c r="V150" s="171">
        <v>0</v>
      </c>
      <c r="W150" s="171">
        <v>0</v>
      </c>
      <c r="X150" s="171">
        <v>0</v>
      </c>
      <c r="Y150" s="171">
        <v>0</v>
      </c>
      <c r="Z150" s="171">
        <v>0</v>
      </c>
      <c r="AA150" s="171">
        <v>0</v>
      </c>
      <c r="AB150" s="171">
        <v>0</v>
      </c>
      <c r="AC150" s="171">
        <v>0</v>
      </c>
      <c r="AD150" s="171">
        <v>0</v>
      </c>
      <c r="AE150" s="171">
        <v>0</v>
      </c>
      <c r="AF150" s="171">
        <v>0</v>
      </c>
      <c r="AG150" s="171">
        <v>0</v>
      </c>
      <c r="AH150" s="171">
        <v>0</v>
      </c>
      <c r="AI150" s="171">
        <v>0</v>
      </c>
      <c r="AJ150" s="171">
        <v>0</v>
      </c>
      <c r="AK150" s="171">
        <v>0</v>
      </c>
      <c r="AL150" s="172">
        <v>0</v>
      </c>
      <c r="AM150" s="172">
        <v>0</v>
      </c>
      <c r="AN150" s="172">
        <v>0</v>
      </c>
      <c r="AO150" s="172">
        <v>0</v>
      </c>
      <c r="AP150" s="172">
        <v>0</v>
      </c>
      <c r="AQ150" s="172">
        <v>0</v>
      </c>
      <c r="AR150" s="172">
        <v>0</v>
      </c>
      <c r="AS150" s="172">
        <v>0</v>
      </c>
      <c r="AT150" s="172">
        <v>0</v>
      </c>
      <c r="AU150" s="172">
        <v>0</v>
      </c>
      <c r="AV150" s="172">
        <v>0</v>
      </c>
      <c r="AW150" s="172">
        <v>0</v>
      </c>
      <c r="AX150" s="172">
        <v>0</v>
      </c>
      <c r="AY150" s="172">
        <v>0</v>
      </c>
      <c r="AZ150" s="172">
        <v>0</v>
      </c>
      <c r="BA150" s="172">
        <v>0</v>
      </c>
      <c r="BB150" s="172">
        <v>0</v>
      </c>
      <c r="BC150" s="172">
        <v>0</v>
      </c>
      <c r="BD150" s="172">
        <v>0</v>
      </c>
      <c r="BE150" s="172">
        <v>0</v>
      </c>
      <c r="BF150" s="172">
        <v>0</v>
      </c>
      <c r="BG150" s="172">
        <v>0</v>
      </c>
      <c r="BH150" s="174">
        <v>0</v>
      </c>
      <c r="BI150" s="174">
        <v>0</v>
      </c>
      <c r="BJ150" s="174">
        <v>0</v>
      </c>
      <c r="BK150" s="174">
        <v>0</v>
      </c>
      <c r="BL150" s="174">
        <v>0</v>
      </c>
      <c r="BM150" s="174">
        <v>0</v>
      </c>
      <c r="BN150" s="174">
        <v>0</v>
      </c>
      <c r="BO150" s="174">
        <v>0</v>
      </c>
      <c r="BP150" s="174">
        <v>0</v>
      </c>
      <c r="BQ150" s="174">
        <v>0</v>
      </c>
      <c r="BR150" s="174">
        <v>0</v>
      </c>
      <c r="BS150" s="174">
        <v>0</v>
      </c>
      <c r="BT150" s="174">
        <v>0</v>
      </c>
      <c r="BU150" s="174">
        <v>0</v>
      </c>
      <c r="BV150" s="174">
        <v>0</v>
      </c>
      <c r="BW150" s="174">
        <v>0</v>
      </c>
      <c r="BX150" s="174">
        <v>0</v>
      </c>
      <c r="BY150" s="174">
        <v>0</v>
      </c>
      <c r="BZ150" s="174">
        <v>0</v>
      </c>
      <c r="CA150" s="177">
        <v>0</v>
      </c>
      <c r="CB150" s="72">
        <v>0</v>
      </c>
      <c r="CC150" s="176">
        <v>0</v>
      </c>
      <c r="CD150" s="177">
        <v>0</v>
      </c>
      <c r="CE150" s="177">
        <v>0</v>
      </c>
      <c r="CF150" s="176">
        <v>0</v>
      </c>
      <c r="CG150" s="177">
        <v>0</v>
      </c>
      <c r="CH150" s="176">
        <v>0</v>
      </c>
      <c r="CI150" s="177">
        <v>0</v>
      </c>
      <c r="CJ150" s="177">
        <v>0</v>
      </c>
      <c r="CK150" s="177">
        <v>0</v>
      </c>
      <c r="CL150" s="176">
        <v>0</v>
      </c>
      <c r="CM150" s="176">
        <v>0</v>
      </c>
      <c r="CN150" s="176">
        <v>0</v>
      </c>
      <c r="CO150" s="176">
        <v>0</v>
      </c>
      <c r="CP150" s="177">
        <v>0</v>
      </c>
      <c r="CQ150" s="176">
        <v>0</v>
      </c>
      <c r="CR150" s="176">
        <v>0</v>
      </c>
      <c r="CS150" s="176">
        <v>0</v>
      </c>
    </row>
    <row r="151" spans="1:97" x14ac:dyDescent="0.25">
      <c r="A151" s="46" t="s">
        <v>427</v>
      </c>
      <c r="B151" s="168">
        <v>0</v>
      </c>
      <c r="C151" s="169">
        <v>0</v>
      </c>
      <c r="D151" s="169">
        <v>0</v>
      </c>
      <c r="E151" s="170">
        <v>0</v>
      </c>
      <c r="F151" s="169">
        <v>0</v>
      </c>
      <c r="G151" s="170">
        <v>0</v>
      </c>
      <c r="H151" s="170">
        <v>0</v>
      </c>
      <c r="I151" s="170">
        <v>0</v>
      </c>
      <c r="J151" s="170">
        <v>0</v>
      </c>
      <c r="K151" s="170">
        <v>0</v>
      </c>
      <c r="L151" s="170">
        <v>0</v>
      </c>
      <c r="M151" s="170">
        <v>0</v>
      </c>
      <c r="N151" s="170">
        <v>0</v>
      </c>
      <c r="O151" s="170">
        <v>0</v>
      </c>
      <c r="P151" s="169">
        <v>0</v>
      </c>
      <c r="Q151" s="169">
        <v>0</v>
      </c>
      <c r="R151" s="169">
        <v>0</v>
      </c>
      <c r="S151" s="170">
        <v>0</v>
      </c>
      <c r="T151" s="170">
        <v>0</v>
      </c>
      <c r="U151" s="171">
        <v>0</v>
      </c>
      <c r="V151" s="171">
        <v>0</v>
      </c>
      <c r="W151" s="171">
        <v>0</v>
      </c>
      <c r="X151" s="171">
        <v>0</v>
      </c>
      <c r="Y151" s="171">
        <v>0</v>
      </c>
      <c r="Z151" s="171">
        <v>0</v>
      </c>
      <c r="AA151" s="171">
        <v>0</v>
      </c>
      <c r="AB151" s="171">
        <v>0</v>
      </c>
      <c r="AC151" s="171">
        <v>0</v>
      </c>
      <c r="AD151" s="171">
        <v>0</v>
      </c>
      <c r="AE151" s="171">
        <v>0</v>
      </c>
      <c r="AF151" s="171">
        <v>0</v>
      </c>
      <c r="AG151" s="171">
        <v>0</v>
      </c>
      <c r="AH151" s="171">
        <v>0</v>
      </c>
      <c r="AI151" s="171">
        <v>0</v>
      </c>
      <c r="AJ151" s="171">
        <v>0</v>
      </c>
      <c r="AK151" s="171">
        <v>0</v>
      </c>
      <c r="AL151" s="172">
        <v>0</v>
      </c>
      <c r="AM151" s="172">
        <v>0</v>
      </c>
      <c r="AN151" s="172">
        <v>0</v>
      </c>
      <c r="AO151" s="172">
        <v>0</v>
      </c>
      <c r="AP151" s="172">
        <v>0</v>
      </c>
      <c r="AQ151" s="172">
        <v>0</v>
      </c>
      <c r="AR151" s="172">
        <v>0</v>
      </c>
      <c r="AS151" s="172">
        <v>0</v>
      </c>
      <c r="AT151" s="172">
        <v>0</v>
      </c>
      <c r="AU151" s="172">
        <v>0</v>
      </c>
      <c r="AV151" s="172">
        <v>0</v>
      </c>
      <c r="AW151" s="172">
        <v>0</v>
      </c>
      <c r="AX151" s="172">
        <v>0</v>
      </c>
      <c r="AY151" s="172">
        <v>0</v>
      </c>
      <c r="AZ151" s="172">
        <v>0</v>
      </c>
      <c r="BA151" s="172">
        <v>0</v>
      </c>
      <c r="BB151" s="172">
        <v>0</v>
      </c>
      <c r="BC151" s="172">
        <v>0</v>
      </c>
      <c r="BD151" s="172">
        <v>0</v>
      </c>
      <c r="BE151" s="172">
        <v>0</v>
      </c>
      <c r="BF151" s="172">
        <v>0</v>
      </c>
      <c r="BG151" s="172">
        <v>0</v>
      </c>
      <c r="BH151" s="174">
        <v>0</v>
      </c>
      <c r="BI151" s="174">
        <v>0</v>
      </c>
      <c r="BJ151" s="174">
        <v>0</v>
      </c>
      <c r="BK151" s="174">
        <f>(10+(char3Refine-1)*2.5)%</f>
        <v>0.1</v>
      </c>
      <c r="BL151" s="174">
        <v>0</v>
      </c>
      <c r="BM151" s="174">
        <v>0</v>
      </c>
      <c r="BN151" s="174">
        <v>0</v>
      </c>
      <c r="BO151" s="174">
        <v>0</v>
      </c>
      <c r="BP151" s="174">
        <v>0</v>
      </c>
      <c r="BQ151" s="174">
        <v>0</v>
      </c>
      <c r="BR151" s="174">
        <v>0</v>
      </c>
      <c r="BS151" s="174">
        <v>0</v>
      </c>
      <c r="BT151" s="174">
        <v>0</v>
      </c>
      <c r="BU151" s="174">
        <v>0</v>
      </c>
      <c r="BV151" s="174">
        <v>0</v>
      </c>
      <c r="BW151" s="174">
        <v>0</v>
      </c>
      <c r="BX151" s="174">
        <v>0</v>
      </c>
      <c r="BY151" s="174">
        <v>0</v>
      </c>
      <c r="BZ151" s="174">
        <v>0</v>
      </c>
      <c r="CA151" s="177">
        <v>0</v>
      </c>
      <c r="CB151" s="72">
        <v>0</v>
      </c>
      <c r="CC151" s="176">
        <v>0</v>
      </c>
      <c r="CD151" s="176">
        <v>0</v>
      </c>
      <c r="CE151" s="176">
        <v>0</v>
      </c>
      <c r="CF151" s="176">
        <v>0</v>
      </c>
      <c r="CG151" s="177">
        <v>0</v>
      </c>
      <c r="CH151" s="176">
        <v>0</v>
      </c>
      <c r="CI151" s="177">
        <v>0</v>
      </c>
      <c r="CJ151" s="177">
        <v>0</v>
      </c>
      <c r="CK151" s="177">
        <v>0</v>
      </c>
      <c r="CL151" s="176">
        <v>0</v>
      </c>
      <c r="CM151" s="176">
        <v>0</v>
      </c>
      <c r="CN151" s="176">
        <v>0</v>
      </c>
      <c r="CO151" s="176">
        <v>0</v>
      </c>
      <c r="CP151" s="177">
        <v>0</v>
      </c>
      <c r="CQ151" s="176">
        <v>0</v>
      </c>
      <c r="CR151" s="176">
        <v>0</v>
      </c>
      <c r="CS151" s="176">
        <v>0</v>
      </c>
    </row>
    <row r="152" spans="1:97" x14ac:dyDescent="0.25">
      <c r="A152" s="46" t="s">
        <v>77</v>
      </c>
      <c r="B152" s="168">
        <v>0</v>
      </c>
      <c r="C152" s="169">
        <v>0</v>
      </c>
      <c r="D152" s="169">
        <v>0</v>
      </c>
      <c r="E152" s="170">
        <v>0</v>
      </c>
      <c r="F152" s="169">
        <v>0</v>
      </c>
      <c r="G152" s="170">
        <v>0</v>
      </c>
      <c r="H152" s="170">
        <v>0</v>
      </c>
      <c r="I152" s="170">
        <v>0</v>
      </c>
      <c r="J152" s="170">
        <v>0</v>
      </c>
      <c r="K152" s="170">
        <v>0</v>
      </c>
      <c r="L152" s="170">
        <v>0</v>
      </c>
      <c r="M152" s="170">
        <v>0</v>
      </c>
      <c r="N152" s="170">
        <v>0</v>
      </c>
      <c r="O152" s="170">
        <v>0</v>
      </c>
      <c r="P152" s="169">
        <v>0</v>
      </c>
      <c r="Q152" s="169">
        <v>0</v>
      </c>
      <c r="R152" s="169">
        <v>0</v>
      </c>
      <c r="S152" s="170">
        <v>0</v>
      </c>
      <c r="T152" s="170">
        <v>0</v>
      </c>
      <c r="U152" s="171">
        <v>0</v>
      </c>
      <c r="V152" s="171">
        <v>0</v>
      </c>
      <c r="W152" s="171">
        <v>0</v>
      </c>
      <c r="X152" s="171">
        <v>0</v>
      </c>
      <c r="Y152" s="171">
        <v>0</v>
      </c>
      <c r="Z152" s="171">
        <v>0</v>
      </c>
      <c r="AA152" s="171">
        <v>0</v>
      </c>
      <c r="AB152" s="171">
        <v>0</v>
      </c>
      <c r="AC152" s="171">
        <v>0</v>
      </c>
      <c r="AD152" s="171">
        <f>((8+(char3Refine-1)*4)*char3WeapStacks)%</f>
        <v>0</v>
      </c>
      <c r="AE152" s="171">
        <v>0</v>
      </c>
      <c r="AF152" s="171">
        <v>0</v>
      </c>
      <c r="AG152" s="171">
        <v>0</v>
      </c>
      <c r="AH152" s="171">
        <v>0</v>
      </c>
      <c r="AI152" s="171">
        <v>0</v>
      </c>
      <c r="AJ152" s="171">
        <f>(24+(char3Refine-1)*6)%</f>
        <v>0.24</v>
      </c>
      <c r="AK152" s="171">
        <v>0</v>
      </c>
      <c r="AL152" s="172">
        <v>0</v>
      </c>
      <c r="AM152" s="172">
        <f>IF(char3WeapToggle, (16+(char3Refine-1)*4), 0)%</f>
        <v>0.16</v>
      </c>
      <c r="AN152" s="172">
        <v>0</v>
      </c>
      <c r="AO152" s="172">
        <v>0</v>
      </c>
      <c r="AP152" s="172">
        <v>0</v>
      </c>
      <c r="AQ152" s="172">
        <v>0</v>
      </c>
      <c r="AR152" s="172">
        <v>0</v>
      </c>
      <c r="AS152" s="172">
        <v>0</v>
      </c>
      <c r="AT152" s="172">
        <f>(20+(char3Refine-1)*5)%</f>
        <v>0.2</v>
      </c>
      <c r="AU152" s="172">
        <v>0</v>
      </c>
      <c r="AV152" s="172">
        <v>0</v>
      </c>
      <c r="AW152" s="172">
        <v>0</v>
      </c>
      <c r="AX152" s="172">
        <v>0</v>
      </c>
      <c r="AY152" s="172">
        <v>0</v>
      </c>
      <c r="AZ152" s="172">
        <v>0</v>
      </c>
      <c r="BA152" s="172">
        <v>0</v>
      </c>
      <c r="BB152" s="172">
        <v>0</v>
      </c>
      <c r="BC152" s="172">
        <v>0</v>
      </c>
      <c r="BD152" s="172">
        <v>0</v>
      </c>
      <c r="BE152" s="172">
        <v>0</v>
      </c>
      <c r="BF152" s="172">
        <v>0</v>
      </c>
      <c r="BG152" s="172">
        <v>0</v>
      </c>
      <c r="BH152" s="174">
        <v>0</v>
      </c>
      <c r="BI152" s="174">
        <v>0</v>
      </c>
      <c r="BJ152" s="174">
        <v>0</v>
      </c>
      <c r="BK152" s="174">
        <v>0</v>
      </c>
      <c r="BL152" s="174">
        <v>0</v>
      </c>
      <c r="BM152" s="174">
        <v>0</v>
      </c>
      <c r="BN152" s="174">
        <v>0</v>
      </c>
      <c r="BO152" s="174">
        <v>0</v>
      </c>
      <c r="BP152" s="174">
        <f>IF(char3WeapToggle,20+(char3Refine-1)*5,0)%</f>
        <v>0.2</v>
      </c>
      <c r="BQ152" s="174">
        <v>0</v>
      </c>
      <c r="BR152" s="174">
        <v>0</v>
      </c>
      <c r="BS152" s="174">
        <v>0</v>
      </c>
      <c r="BT152" s="174">
        <v>0</v>
      </c>
      <c r="BU152" s="174">
        <v>0</v>
      </c>
      <c r="BV152" s="174">
        <v>0</v>
      </c>
      <c r="BW152" s="174">
        <v>0</v>
      </c>
      <c r="BX152" s="174">
        <v>0</v>
      </c>
      <c r="BY152" s="174">
        <v>0</v>
      </c>
      <c r="BZ152" s="174">
        <v>0</v>
      </c>
      <c r="CA152" s="177">
        <v>0</v>
      </c>
      <c r="CB152" s="72">
        <v>0</v>
      </c>
      <c r="CC152" s="176">
        <v>0</v>
      </c>
      <c r="CD152" s="176">
        <f>(12+(char3Refine-1)*3)%+char3WeapStacks*(8+(char3Refine-1)*2)%</f>
        <v>0.12</v>
      </c>
      <c r="CE152" s="176">
        <f>(40+(char3Refine-1)*10)%</f>
        <v>0.4</v>
      </c>
      <c r="CF152" s="176">
        <v>0</v>
      </c>
      <c r="CG152" s="177">
        <v>0</v>
      </c>
      <c r="CH152" s="176">
        <v>0</v>
      </c>
      <c r="CI152" s="177">
        <v>0</v>
      </c>
      <c r="CJ152" s="177">
        <v>0</v>
      </c>
      <c r="CK152" s="177">
        <v>0</v>
      </c>
      <c r="CL152" s="176">
        <v>0</v>
      </c>
      <c r="CM152" s="176">
        <v>0</v>
      </c>
      <c r="CN152" s="176">
        <f>IF(char3WeapToggle, 2*(16+(char3Refine-1)*4), 16+(char3Refine-1)*4)%</f>
        <v>0.32</v>
      </c>
      <c r="CO152" s="176">
        <v>0</v>
      </c>
      <c r="CP152" s="177">
        <v>0</v>
      </c>
      <c r="CQ152" s="176">
        <f>IF(char3WeapToggle, 20+(char3Refine-1)*5, 0)%</f>
        <v>0.2</v>
      </c>
      <c r="CR152" s="176">
        <f>IF(char3WeapToggle, (36+(char3Refine-1)*6)%, -10%)</f>
        <v>0.36</v>
      </c>
      <c r="CS152" s="176">
        <f>IF(char3WeapStacks=1, (12+(char3Refine-1)*3)%, IF(char3WeapStacks=2, (24+(char3Refine-1)*6)%, IF(char3WeapStacks=3, (40+(char3Refine-1)*10)%, 0)))</f>
        <v>0</v>
      </c>
    </row>
    <row r="153" spans="1:97" x14ac:dyDescent="0.25">
      <c r="A153" s="46" t="s">
        <v>78</v>
      </c>
      <c r="B153" s="168">
        <v>0</v>
      </c>
      <c r="C153" s="169">
        <v>0</v>
      </c>
      <c r="D153" s="169">
        <v>0</v>
      </c>
      <c r="E153" s="170">
        <v>0</v>
      </c>
      <c r="F153" s="169">
        <v>0</v>
      </c>
      <c r="G153" s="170">
        <v>0</v>
      </c>
      <c r="H153" s="170">
        <v>0</v>
      </c>
      <c r="I153" s="170">
        <v>0</v>
      </c>
      <c r="J153" s="170">
        <v>0</v>
      </c>
      <c r="K153" s="170">
        <v>0</v>
      </c>
      <c r="L153" s="170">
        <v>0</v>
      </c>
      <c r="M153" s="170">
        <v>0</v>
      </c>
      <c r="N153" s="170">
        <v>0</v>
      </c>
      <c r="O153" s="170">
        <v>0</v>
      </c>
      <c r="P153" s="169">
        <v>0</v>
      </c>
      <c r="Q153" s="169">
        <v>0</v>
      </c>
      <c r="R153" s="169">
        <v>0</v>
      </c>
      <c r="S153" s="170">
        <v>0</v>
      </c>
      <c r="T153" s="170">
        <v>0</v>
      </c>
      <c r="U153" s="171">
        <v>0</v>
      </c>
      <c r="V153" s="171">
        <v>0</v>
      </c>
      <c r="W153" s="171">
        <v>0</v>
      </c>
      <c r="X153" s="171">
        <v>0</v>
      </c>
      <c r="Y153" s="171">
        <v>0</v>
      </c>
      <c r="Z153" s="171">
        <v>0</v>
      </c>
      <c r="AA153" s="171">
        <v>0</v>
      </c>
      <c r="AB153" s="171">
        <v>0</v>
      </c>
      <c r="AC153" s="171">
        <v>0</v>
      </c>
      <c r="AD153" s="171">
        <f>((8+(char3Refine-1)*4)*char3WeapStacks)%</f>
        <v>0</v>
      </c>
      <c r="AE153" s="171">
        <v>0</v>
      </c>
      <c r="AF153" s="171">
        <v>0</v>
      </c>
      <c r="AG153" s="171">
        <v>0</v>
      </c>
      <c r="AH153" s="171">
        <v>0</v>
      </c>
      <c r="AI153" s="171">
        <v>0</v>
      </c>
      <c r="AJ153" s="171">
        <v>0</v>
      </c>
      <c r="AK153" s="171">
        <v>0</v>
      </c>
      <c r="AL153" s="172">
        <v>0</v>
      </c>
      <c r="AM153" s="172">
        <f>IF(char3WeapToggle, (16+(char3Refine-1)*4), 0)%</f>
        <v>0.16</v>
      </c>
      <c r="AN153" s="172">
        <v>0</v>
      </c>
      <c r="AO153" s="172">
        <v>0</v>
      </c>
      <c r="AP153" s="172">
        <v>0</v>
      </c>
      <c r="AQ153" s="172">
        <v>0</v>
      </c>
      <c r="AR153" s="172">
        <v>0</v>
      </c>
      <c r="AS153" s="172">
        <v>0</v>
      </c>
      <c r="AT153" s="172">
        <f>(20+(char3Refine-1)*5)%</f>
        <v>0.2</v>
      </c>
      <c r="AU153" s="172">
        <v>0</v>
      </c>
      <c r="AV153" s="172">
        <v>0</v>
      </c>
      <c r="AW153" s="172">
        <v>0</v>
      </c>
      <c r="AX153" s="172">
        <v>0</v>
      </c>
      <c r="AY153" s="172">
        <v>0</v>
      </c>
      <c r="AZ153" s="172">
        <v>0</v>
      </c>
      <c r="BA153" s="172">
        <v>0</v>
      </c>
      <c r="BB153" s="172">
        <v>0</v>
      </c>
      <c r="BC153" s="172">
        <v>0</v>
      </c>
      <c r="BD153" s="172">
        <v>0</v>
      </c>
      <c r="BE153" s="172">
        <v>0</v>
      </c>
      <c r="BF153" s="172">
        <v>0</v>
      </c>
      <c r="BG153" s="172">
        <v>0</v>
      </c>
      <c r="BH153" s="174">
        <v>0</v>
      </c>
      <c r="BI153" s="174">
        <v>0</v>
      </c>
      <c r="BJ153" s="174">
        <v>0</v>
      </c>
      <c r="BK153" s="174">
        <v>0</v>
      </c>
      <c r="BL153" s="174">
        <v>0</v>
      </c>
      <c r="BM153" s="174">
        <v>0</v>
      </c>
      <c r="BN153" s="174">
        <v>0</v>
      </c>
      <c r="BO153" s="174">
        <v>0</v>
      </c>
      <c r="BP153" s="174">
        <v>0</v>
      </c>
      <c r="BQ153" s="174">
        <v>0</v>
      </c>
      <c r="BR153" s="174">
        <v>0</v>
      </c>
      <c r="BS153" s="174">
        <v>0</v>
      </c>
      <c r="BT153" s="174">
        <v>0</v>
      </c>
      <c r="BU153" s="174">
        <v>0</v>
      </c>
      <c r="BV153" s="174">
        <f>IF(char3WeapToggle,16+(char3Refine-1)*4,0)%</f>
        <v>0.16</v>
      </c>
      <c r="BW153" s="174">
        <v>0</v>
      </c>
      <c r="BX153" s="174">
        <v>0</v>
      </c>
      <c r="BY153" s="174">
        <v>0</v>
      </c>
      <c r="BZ153" s="174">
        <v>0</v>
      </c>
      <c r="CA153" s="177">
        <v>0</v>
      </c>
      <c r="CB153" s="72">
        <v>0</v>
      </c>
      <c r="CC153" s="176">
        <v>0</v>
      </c>
      <c r="CD153" s="176">
        <f>(12+(char3Refine-1)*3)%+char3WeapStacks*(8+(char3Refine-1)*2)%</f>
        <v>0.12</v>
      </c>
      <c r="CE153" s="176">
        <f>-10%</f>
        <v>-0.1</v>
      </c>
      <c r="CF153" s="176">
        <v>0</v>
      </c>
      <c r="CG153" s="177">
        <v>0</v>
      </c>
      <c r="CH153" s="176">
        <v>0</v>
      </c>
      <c r="CI153" s="177">
        <v>0</v>
      </c>
      <c r="CJ153" s="177">
        <v>0</v>
      </c>
      <c r="CK153" s="177">
        <v>0</v>
      </c>
      <c r="CL153" s="176">
        <v>0</v>
      </c>
      <c r="CM153" s="176">
        <v>0</v>
      </c>
      <c r="CN153" s="176">
        <f>IF(char3WeapToggle, 2*(12+(char3Refine-1)*3), (12+(char3Refine-1)*3))%</f>
        <v>0.24</v>
      </c>
      <c r="CO153" s="176">
        <v>0</v>
      </c>
      <c r="CP153" s="177">
        <v>0</v>
      </c>
      <c r="CQ153" s="176">
        <v>0</v>
      </c>
      <c r="CR153" s="176">
        <f>IF(char3WeapToggle, (36+(char3Refine-1)*6)%, -10%)</f>
        <v>0.36</v>
      </c>
      <c r="CS153" s="176">
        <v>0</v>
      </c>
    </row>
    <row r="154" spans="1:97" x14ac:dyDescent="0.25">
      <c r="A154" s="46" t="s">
        <v>79</v>
      </c>
      <c r="B154" s="168">
        <v>0</v>
      </c>
      <c r="C154" s="170">
        <v>0</v>
      </c>
      <c r="D154" s="169">
        <v>0</v>
      </c>
      <c r="E154" s="170">
        <v>0</v>
      </c>
      <c r="F154" s="169">
        <v>0</v>
      </c>
      <c r="G154" s="170">
        <v>0</v>
      </c>
      <c r="H154" s="170">
        <v>0</v>
      </c>
      <c r="I154" s="170">
        <v>0</v>
      </c>
      <c r="J154" s="170">
        <v>0</v>
      </c>
      <c r="K154" s="170">
        <v>0</v>
      </c>
      <c r="L154" s="170">
        <v>0</v>
      </c>
      <c r="M154" s="170">
        <v>0</v>
      </c>
      <c r="N154" s="170">
        <v>0</v>
      </c>
      <c r="O154" s="170">
        <v>0</v>
      </c>
      <c r="P154" s="169">
        <v>0</v>
      </c>
      <c r="Q154" s="169">
        <v>0</v>
      </c>
      <c r="R154" s="169">
        <v>0</v>
      </c>
      <c r="S154" s="170">
        <v>0</v>
      </c>
      <c r="T154" s="170">
        <v>0</v>
      </c>
      <c r="U154" s="171">
        <v>0</v>
      </c>
      <c r="V154" s="171">
        <v>0</v>
      </c>
      <c r="W154" s="171">
        <v>0</v>
      </c>
      <c r="X154" s="171">
        <v>0</v>
      </c>
      <c r="Y154" s="171">
        <v>0</v>
      </c>
      <c r="Z154" s="171">
        <v>0</v>
      </c>
      <c r="AA154" s="171">
        <v>0</v>
      </c>
      <c r="AB154" s="171">
        <v>0</v>
      </c>
      <c r="AC154" s="171">
        <v>0</v>
      </c>
      <c r="AD154" s="171">
        <v>0</v>
      </c>
      <c r="AE154" s="171">
        <v>0</v>
      </c>
      <c r="AF154" s="171">
        <v>0</v>
      </c>
      <c r="AG154" s="171">
        <v>0</v>
      </c>
      <c r="AH154" s="171">
        <v>0</v>
      </c>
      <c r="AI154" s="171">
        <v>0</v>
      </c>
      <c r="AJ154" s="171">
        <v>0</v>
      </c>
      <c r="AK154" s="171">
        <v>0</v>
      </c>
      <c r="AL154" s="172">
        <v>0</v>
      </c>
      <c r="AM154" s="172">
        <f>IF(char3WeapToggle, (16+(char3Refine-1)*4), 0)%</f>
        <v>0.16</v>
      </c>
      <c r="AN154" s="172">
        <v>0</v>
      </c>
      <c r="AO154" s="172">
        <v>0</v>
      </c>
      <c r="AP154" s="172">
        <v>0</v>
      </c>
      <c r="AQ154" s="172">
        <v>0</v>
      </c>
      <c r="AR154" s="172">
        <v>0</v>
      </c>
      <c r="AS154" s="172">
        <v>0</v>
      </c>
      <c r="AT154" s="172">
        <v>0</v>
      </c>
      <c r="AU154" s="172">
        <v>0</v>
      </c>
      <c r="AV154" s="172">
        <v>0</v>
      </c>
      <c r="AW154" s="172">
        <v>0</v>
      </c>
      <c r="AX154" s="172">
        <v>0</v>
      </c>
      <c r="AY154" s="172">
        <v>0</v>
      </c>
      <c r="AZ154" s="172">
        <v>0</v>
      </c>
      <c r="BA154" s="172">
        <v>0</v>
      </c>
      <c r="BB154" s="172">
        <v>0</v>
      </c>
      <c r="BC154" s="172">
        <v>0</v>
      </c>
      <c r="BD154" s="172">
        <v>0</v>
      </c>
      <c r="BE154" s="172">
        <v>0</v>
      </c>
      <c r="BF154" s="172">
        <v>0</v>
      </c>
      <c r="BG154" s="172">
        <v>0</v>
      </c>
      <c r="BH154" s="174">
        <v>0</v>
      </c>
      <c r="BI154" s="174">
        <v>0</v>
      </c>
      <c r="BJ154" s="174">
        <v>0</v>
      </c>
      <c r="BK154" s="174">
        <v>0</v>
      </c>
      <c r="BL154" s="174">
        <v>0</v>
      </c>
      <c r="BM154" s="174">
        <v>0</v>
      </c>
      <c r="BN154" s="174">
        <v>0</v>
      </c>
      <c r="BO154" s="174">
        <v>0</v>
      </c>
      <c r="BP154" s="174">
        <v>0</v>
      </c>
      <c r="BQ154" s="174">
        <v>0</v>
      </c>
      <c r="BR154" s="174">
        <v>0</v>
      </c>
      <c r="BS154" s="174">
        <v>0</v>
      </c>
      <c r="BT154" s="174">
        <v>0</v>
      </c>
      <c r="BU154" s="174">
        <v>0</v>
      </c>
      <c r="BV154" s="174">
        <v>0</v>
      </c>
      <c r="BW154" s="174">
        <v>0</v>
      </c>
      <c r="BX154" s="174">
        <v>0</v>
      </c>
      <c r="BY154" s="174">
        <v>0</v>
      </c>
      <c r="BZ154" s="174">
        <v>0</v>
      </c>
      <c r="CA154" s="177">
        <v>0</v>
      </c>
      <c r="CB154" s="72">
        <v>0</v>
      </c>
      <c r="CC154" s="176">
        <v>0</v>
      </c>
      <c r="CD154" s="176">
        <v>0</v>
      </c>
      <c r="CE154" s="176">
        <v>0</v>
      </c>
      <c r="CF154" s="176">
        <v>0</v>
      </c>
      <c r="CG154" s="177">
        <v>0</v>
      </c>
      <c r="CH154" s="176">
        <v>0</v>
      </c>
      <c r="CI154" s="177">
        <v>0</v>
      </c>
      <c r="CJ154" s="177">
        <v>0</v>
      </c>
      <c r="CK154" s="177">
        <v>0</v>
      </c>
      <c r="CL154" s="176">
        <v>0</v>
      </c>
      <c r="CM154" s="176">
        <v>0</v>
      </c>
      <c r="CN154" s="176">
        <v>0</v>
      </c>
      <c r="CO154" s="176">
        <v>0</v>
      </c>
      <c r="CP154" s="177">
        <v>0</v>
      </c>
      <c r="CQ154" s="176">
        <v>0</v>
      </c>
      <c r="CR154" s="176">
        <v>0</v>
      </c>
      <c r="CS154" s="176">
        <v>0</v>
      </c>
    </row>
    <row r="155" spans="1:97" x14ac:dyDescent="0.25">
      <c r="A155" s="46" t="s">
        <v>80</v>
      </c>
      <c r="B155" s="168">
        <v>0</v>
      </c>
      <c r="C155" s="169">
        <v>0</v>
      </c>
      <c r="D155" s="169">
        <v>0</v>
      </c>
      <c r="E155" s="170">
        <v>0</v>
      </c>
      <c r="F155" s="169">
        <v>0</v>
      </c>
      <c r="G155" s="170">
        <v>0</v>
      </c>
      <c r="H155" s="170">
        <v>0</v>
      </c>
      <c r="I155" s="170">
        <v>0</v>
      </c>
      <c r="J155" s="170">
        <v>0</v>
      </c>
      <c r="K155" s="170">
        <v>0</v>
      </c>
      <c r="L155" s="170">
        <v>0</v>
      </c>
      <c r="M155" s="170">
        <v>0</v>
      </c>
      <c r="N155" s="170">
        <v>0</v>
      </c>
      <c r="O155" s="170">
        <v>0</v>
      </c>
      <c r="P155" s="169">
        <v>0</v>
      </c>
      <c r="Q155" s="169">
        <v>0</v>
      </c>
      <c r="R155" s="169">
        <v>0</v>
      </c>
      <c r="S155" s="170">
        <v>0</v>
      </c>
      <c r="T155" s="170">
        <v>0</v>
      </c>
      <c r="U155" s="171">
        <v>0</v>
      </c>
      <c r="V155" s="171">
        <v>0</v>
      </c>
      <c r="W155" s="171">
        <v>0</v>
      </c>
      <c r="X155" s="171">
        <v>0</v>
      </c>
      <c r="Y155" s="171">
        <v>0</v>
      </c>
      <c r="Z155" s="171">
        <v>0</v>
      </c>
      <c r="AA155" s="171">
        <f>(6+(char3Refine-1)*1.5)%</f>
        <v>0.06</v>
      </c>
      <c r="AB155" s="171">
        <v>0</v>
      </c>
      <c r="AC155" s="171">
        <v>0</v>
      </c>
      <c r="AD155" s="171">
        <v>0</v>
      </c>
      <c r="AE155" s="171">
        <v>0</v>
      </c>
      <c r="AF155" s="171">
        <v>0</v>
      </c>
      <c r="AG155" s="171">
        <v>0</v>
      </c>
      <c r="AH155" s="171">
        <v>0</v>
      </c>
      <c r="AI155" s="171">
        <v>0</v>
      </c>
      <c r="AJ155" s="171">
        <v>0</v>
      </c>
      <c r="AK155" s="171">
        <v>0</v>
      </c>
      <c r="AL155" s="172">
        <v>0</v>
      </c>
      <c r="AM155" s="172">
        <v>0</v>
      </c>
      <c r="AN155" s="172">
        <v>0</v>
      </c>
      <c r="AO155" s="172">
        <v>0</v>
      </c>
      <c r="AP155" s="172">
        <v>0</v>
      </c>
      <c r="AQ155" s="172">
        <v>0</v>
      </c>
      <c r="AR155" s="172">
        <f>(16+(char3Refine-1)*4)%</f>
        <v>0.16</v>
      </c>
      <c r="AS155" s="172">
        <v>0</v>
      </c>
      <c r="AT155" s="172">
        <v>0</v>
      </c>
      <c r="AU155" s="172">
        <v>0</v>
      </c>
      <c r="AV155" s="172">
        <v>0</v>
      </c>
      <c r="AW155" s="172">
        <v>0</v>
      </c>
      <c r="AX155" s="172">
        <v>0</v>
      </c>
      <c r="AY155" s="172">
        <v>0</v>
      </c>
      <c r="AZ155" s="172">
        <v>0</v>
      </c>
      <c r="BA155" s="172">
        <v>0</v>
      </c>
      <c r="BB155" s="172">
        <v>0</v>
      </c>
      <c r="BC155" s="172">
        <v>0</v>
      </c>
      <c r="BD155" s="172">
        <v>0</v>
      </c>
      <c r="BE155" s="172">
        <v>0</v>
      </c>
      <c r="BF155" s="172">
        <v>0</v>
      </c>
      <c r="BG155" s="172">
        <v>0</v>
      </c>
      <c r="BH155" s="174">
        <v>0</v>
      </c>
      <c r="BI155" s="174">
        <v>0</v>
      </c>
      <c r="BJ155" s="174">
        <v>0</v>
      </c>
      <c r="BK155" s="174">
        <v>0</v>
      </c>
      <c r="BL155" s="174">
        <v>0</v>
      </c>
      <c r="BM155" s="174">
        <v>0</v>
      </c>
      <c r="BN155" s="174">
        <v>0</v>
      </c>
      <c r="BO155" s="174">
        <v>0</v>
      </c>
      <c r="BP155" s="174">
        <f>IF(char3WeapToggle, 20+(char3Refine-1)*5,0)%</f>
        <v>0.2</v>
      </c>
      <c r="BQ155" s="174">
        <v>0</v>
      </c>
      <c r="BR155" s="174">
        <v>0</v>
      </c>
      <c r="BS155" s="174">
        <v>0</v>
      </c>
      <c r="BT155" s="174">
        <v>0</v>
      </c>
      <c r="BU155" s="174">
        <v>0</v>
      </c>
      <c r="BV155" s="174">
        <v>0</v>
      </c>
      <c r="BW155" s="174">
        <v>0</v>
      </c>
      <c r="BX155" s="174">
        <v>0</v>
      </c>
      <c r="BY155" s="174">
        <v>0</v>
      </c>
      <c r="BZ155" s="174">
        <v>0</v>
      </c>
      <c r="CA155" s="177">
        <v>0</v>
      </c>
      <c r="CB155" s="72">
        <f>12%+(char3Refine-1)*3%</f>
        <v>0.12</v>
      </c>
      <c r="CC155" s="176">
        <v>0</v>
      </c>
      <c r="CD155" s="176">
        <v>0</v>
      </c>
      <c r="CE155" s="176">
        <v>0</v>
      </c>
      <c r="CF155" s="176">
        <v>0</v>
      </c>
      <c r="CG155" s="177">
        <v>0</v>
      </c>
      <c r="CH155" s="176">
        <v>0</v>
      </c>
      <c r="CI155" s="177">
        <v>0</v>
      </c>
      <c r="CJ155" s="177">
        <v>0</v>
      </c>
      <c r="CK155" s="177">
        <v>0</v>
      </c>
      <c r="CL155" s="176">
        <v>0</v>
      </c>
      <c r="CM155" s="176">
        <v>0</v>
      </c>
      <c r="CN155" s="176">
        <v>0</v>
      </c>
      <c r="CO155" s="176">
        <f>(24+(char3Refine-1)*6)%</f>
        <v>0.24</v>
      </c>
      <c r="CP155" s="177">
        <v>0</v>
      </c>
      <c r="CQ155" s="176">
        <f>IF(char3WeapToggle, 20+(char3Refine-1)*5, 0)%</f>
        <v>0.2</v>
      </c>
      <c r="CR155" s="176">
        <v>0</v>
      </c>
      <c r="CS155" s="176">
        <v>0</v>
      </c>
    </row>
    <row r="156" spans="1:97" x14ac:dyDescent="0.25">
      <c r="A156" s="46" t="s">
        <v>81</v>
      </c>
      <c r="B156" s="168">
        <v>0</v>
      </c>
      <c r="C156" s="169">
        <v>0</v>
      </c>
      <c r="D156" s="169">
        <v>0</v>
      </c>
      <c r="E156" s="170">
        <v>0</v>
      </c>
      <c r="F156" s="169">
        <v>0</v>
      </c>
      <c r="G156" s="170">
        <v>0</v>
      </c>
      <c r="H156" s="170">
        <v>0</v>
      </c>
      <c r="I156" s="170">
        <v>0</v>
      </c>
      <c r="J156" s="170">
        <v>0</v>
      </c>
      <c r="K156" s="170">
        <v>0</v>
      </c>
      <c r="L156" s="170">
        <v>0</v>
      </c>
      <c r="M156" s="170">
        <v>0</v>
      </c>
      <c r="N156" s="170">
        <v>0</v>
      </c>
      <c r="O156" s="170">
        <v>0</v>
      </c>
      <c r="P156" s="169">
        <f>(12+(char3Refine-1)*3)%</f>
        <v>0.12</v>
      </c>
      <c r="Q156" s="169">
        <v>0</v>
      </c>
      <c r="R156" s="169">
        <v>0</v>
      </c>
      <c r="S156" s="170">
        <f>MIN((40+(char3Refine-1)*10)%, char3WeapStacks*(0.12%+(char3Refine-1)*0.03%))</f>
        <v>0</v>
      </c>
      <c r="T156" s="170">
        <v>0</v>
      </c>
      <c r="U156" s="171">
        <v>0</v>
      </c>
      <c r="V156" s="171">
        <v>0</v>
      </c>
      <c r="W156" s="171">
        <v>0</v>
      </c>
      <c r="X156" s="171">
        <v>0</v>
      </c>
      <c r="Y156" s="171">
        <v>0</v>
      </c>
      <c r="Z156" s="171">
        <f>(16+(char3Refine-1)*4)%</f>
        <v>0.16</v>
      </c>
      <c r="AA156" s="171">
        <v>0</v>
      </c>
      <c r="AB156" s="171">
        <v>0</v>
      </c>
      <c r="AC156" s="171">
        <v>0</v>
      </c>
      <c r="AD156" s="171">
        <v>0</v>
      </c>
      <c r="AE156" s="171">
        <v>0</v>
      </c>
      <c r="AF156" s="171">
        <v>0</v>
      </c>
      <c r="AG156" s="171">
        <v>0</v>
      </c>
      <c r="AH156" s="171">
        <v>0</v>
      </c>
      <c r="AI156" s="171">
        <v>0</v>
      </c>
      <c r="AJ156" s="171">
        <v>0</v>
      </c>
      <c r="AK156" s="171">
        <v>0</v>
      </c>
      <c r="AL156" s="172">
        <v>0</v>
      </c>
      <c r="AM156" s="172">
        <v>0</v>
      </c>
      <c r="AN156" s="172">
        <v>0</v>
      </c>
      <c r="AO156" s="172">
        <v>0</v>
      </c>
      <c r="AP156" s="172">
        <v>0</v>
      </c>
      <c r="AQ156" s="172">
        <v>0</v>
      </c>
      <c r="AR156" s="172">
        <v>0</v>
      </c>
      <c r="AS156" s="172">
        <v>0</v>
      </c>
      <c r="AT156" s="172">
        <v>0</v>
      </c>
      <c r="AU156" s="172">
        <v>0</v>
      </c>
      <c r="AV156" s="172">
        <v>0</v>
      </c>
      <c r="AW156" s="172">
        <v>0</v>
      </c>
      <c r="AX156" s="172">
        <v>0</v>
      </c>
      <c r="AY156" s="172">
        <v>0</v>
      </c>
      <c r="AZ156" s="172">
        <v>0</v>
      </c>
      <c r="BA156" s="172">
        <v>0</v>
      </c>
      <c r="BB156" s="172">
        <v>0</v>
      </c>
      <c r="BC156" s="172">
        <v>0</v>
      </c>
      <c r="BD156" s="172">
        <v>0</v>
      </c>
      <c r="BE156" s="172">
        <v>0</v>
      </c>
      <c r="BF156" s="172">
        <v>0</v>
      </c>
      <c r="BG156" s="172">
        <v>0</v>
      </c>
      <c r="BH156" s="174">
        <v>0</v>
      </c>
      <c r="BI156" s="174">
        <v>0</v>
      </c>
      <c r="BJ156" s="174">
        <v>0</v>
      </c>
      <c r="BK156" s="174">
        <v>0</v>
      </c>
      <c r="BL156" s="174">
        <v>0</v>
      </c>
      <c r="BM156" s="174">
        <v>0</v>
      </c>
      <c r="BN156" s="174">
        <v>0</v>
      </c>
      <c r="BO156" s="174">
        <v>0</v>
      </c>
      <c r="BP156" s="174">
        <f>IF(char3WeapToggle, 20+(char3Refine-1)*5,0)%</f>
        <v>0.2</v>
      </c>
      <c r="BQ156" s="174">
        <v>0</v>
      </c>
      <c r="BR156" s="174">
        <v>0</v>
      </c>
      <c r="BS156" s="174">
        <v>0</v>
      </c>
      <c r="BT156" s="174">
        <v>0</v>
      </c>
      <c r="BU156" s="174">
        <v>0</v>
      </c>
      <c r="BV156" s="174">
        <v>0</v>
      </c>
      <c r="BW156" s="174">
        <v>0</v>
      </c>
      <c r="BX156" s="174">
        <v>0</v>
      </c>
      <c r="BY156" s="174">
        <v>0</v>
      </c>
      <c r="BZ156" s="174">
        <v>0</v>
      </c>
      <c r="CA156" s="177">
        <v>0</v>
      </c>
      <c r="CB156" s="72">
        <f>12%+(char3Refine-1)*3%</f>
        <v>0.12</v>
      </c>
      <c r="CC156" s="176">
        <v>0</v>
      </c>
      <c r="CD156" s="176">
        <v>0</v>
      </c>
      <c r="CE156" s="176">
        <v>0</v>
      </c>
      <c r="CF156" s="176">
        <v>0</v>
      </c>
      <c r="CG156" s="177">
        <v>0</v>
      </c>
      <c r="CH156" s="176">
        <v>0</v>
      </c>
      <c r="CI156" s="177">
        <v>0</v>
      </c>
      <c r="CJ156" s="177">
        <v>0</v>
      </c>
      <c r="CK156" s="177">
        <v>0</v>
      </c>
      <c r="CL156" s="176">
        <v>0</v>
      </c>
      <c r="CM156" s="176">
        <v>0</v>
      </c>
      <c r="CN156" s="176">
        <v>0</v>
      </c>
      <c r="CO156" s="176">
        <f>(24+(char3Refine-1)*6)%</f>
        <v>0.24</v>
      </c>
      <c r="CP156" s="177">
        <v>0</v>
      </c>
      <c r="CQ156" s="176">
        <v>0</v>
      </c>
      <c r="CR156" s="176">
        <v>0</v>
      </c>
      <c r="CS156" s="176">
        <v>0</v>
      </c>
    </row>
    <row r="157" spans="1:97" x14ac:dyDescent="0.25">
      <c r="A157" t="s">
        <v>82</v>
      </c>
      <c r="B157" s="168">
        <f>(8+(char3Refine-1)*2)%</f>
        <v>0.08</v>
      </c>
      <c r="C157" s="169">
        <v>0</v>
      </c>
      <c r="D157" s="169">
        <v>0</v>
      </c>
      <c r="E157" s="170">
        <v>0</v>
      </c>
      <c r="F157" s="169">
        <v>0</v>
      </c>
      <c r="G157" s="170">
        <f>char3WeapStacks*(6+(char3Refine-1))%</f>
        <v>0</v>
      </c>
      <c r="H157" s="170">
        <f>IF(char3WeapToggle, 12+(char3Refine-1)*3)%</f>
        <v>0.12</v>
      </c>
      <c r="I157" s="170">
        <v>0</v>
      </c>
      <c r="J157" s="170">
        <v>0</v>
      </c>
      <c r="K157" s="170">
        <v>0</v>
      </c>
      <c r="L157" s="170">
        <v>0</v>
      </c>
      <c r="M157" s="170">
        <f>IF(char3WeapToggle, 20+(char3Refine-1)*4, 0)%</f>
        <v>0.2</v>
      </c>
      <c r="N157" s="170">
        <v>0</v>
      </c>
      <c r="O157" s="170">
        <v>0</v>
      </c>
      <c r="P157" s="169">
        <v>0</v>
      </c>
      <c r="Q157" s="169">
        <v>0</v>
      </c>
      <c r="R157" s="169">
        <v>0</v>
      </c>
      <c r="S157" s="170">
        <v>0</v>
      </c>
      <c r="T157" s="170">
        <v>0</v>
      </c>
      <c r="U157" s="171">
        <v>0</v>
      </c>
      <c r="V157" s="171">
        <v>0</v>
      </c>
      <c r="W157" s="171">
        <f>IF(char3WeapStacks&gt;=7,(12+(char3Refine-1)*3),0)%</f>
        <v>0</v>
      </c>
      <c r="X157" s="171">
        <v>0</v>
      </c>
      <c r="Y157" s="171">
        <v>0</v>
      </c>
      <c r="Z157" s="171">
        <v>0</v>
      </c>
      <c r="AA157" s="171">
        <v>0</v>
      </c>
      <c r="AB157" s="171">
        <v>0</v>
      </c>
      <c r="AC157" s="171">
        <v>0</v>
      </c>
      <c r="AD157" s="171">
        <v>0</v>
      </c>
      <c r="AE157" s="171">
        <v>0</v>
      </c>
      <c r="AF157" s="171">
        <f>IF(char3WeapToggle,(20+(char3Refine-1)*4),0)%</f>
        <v>0.2</v>
      </c>
      <c r="AG157" s="171">
        <v>0</v>
      </c>
      <c r="AH157" s="171">
        <v>0</v>
      </c>
      <c r="AI157" s="171">
        <v>0</v>
      </c>
      <c r="AJ157" s="171">
        <v>0</v>
      </c>
      <c r="AK157" s="171">
        <f>IF(char3WeapToggle,(40+(char3Refine-1)*10),0)%</f>
        <v>0.4</v>
      </c>
      <c r="AL157" s="172">
        <v>0</v>
      </c>
      <c r="AM157" s="172">
        <f>(10+(char3Refine-1)*2.5)%</f>
        <v>0.1</v>
      </c>
      <c r="AN157" s="172">
        <v>0</v>
      </c>
      <c r="AO157" s="172">
        <v>0</v>
      </c>
      <c r="AP157" s="172">
        <v>0</v>
      </c>
      <c r="AQ157" s="172">
        <v>0</v>
      </c>
      <c r="AR157" s="172">
        <v>0</v>
      </c>
      <c r="AS157" s="172">
        <v>0</v>
      </c>
      <c r="AT157" s="172">
        <v>0</v>
      </c>
      <c r="AU157" s="172">
        <f>IF(char3WeapToggle,(12+(char3Refine-1)*3),0)%</f>
        <v>0.12</v>
      </c>
      <c r="AV157" s="172">
        <v>0</v>
      </c>
      <c r="AW157" s="172">
        <v>0</v>
      </c>
      <c r="AX157" s="172">
        <v>0</v>
      </c>
      <c r="AY157" s="172">
        <f>IF(char3WeapToggle,(20+(char3Refine-1)*4),0)%</f>
        <v>0.2</v>
      </c>
      <c r="AZ157" s="172">
        <f>(char3WeapStacks*(6+(char3Refine-1)*1.5))%</f>
        <v>0</v>
      </c>
      <c r="BA157" s="172">
        <v>0</v>
      </c>
      <c r="BB157" s="172">
        <v>0</v>
      </c>
      <c r="BC157" s="172">
        <v>0</v>
      </c>
      <c r="BD157" s="172">
        <v>0</v>
      </c>
      <c r="BE157" s="172">
        <v>0</v>
      </c>
      <c r="BF157" s="172">
        <v>0</v>
      </c>
      <c r="BG157" s="172">
        <v>0</v>
      </c>
      <c r="BH157" s="174">
        <v>0</v>
      </c>
      <c r="BI157" s="174">
        <v>0</v>
      </c>
      <c r="BJ157" s="174">
        <v>0</v>
      </c>
      <c r="BK157" s="174">
        <v>0</v>
      </c>
      <c r="BL157" s="174">
        <v>0</v>
      </c>
      <c r="BM157" s="174">
        <v>0</v>
      </c>
      <c r="BN157" s="174">
        <v>0</v>
      </c>
      <c r="BO157" s="174">
        <v>0</v>
      </c>
      <c r="BP157" s="174">
        <v>0</v>
      </c>
      <c r="BQ157" s="174">
        <v>0</v>
      </c>
      <c r="BR157" s="174">
        <v>0</v>
      </c>
      <c r="BS157" s="174">
        <v>0</v>
      </c>
      <c r="BT157" s="174">
        <v>0</v>
      </c>
      <c r="BU157" s="174">
        <v>0</v>
      </c>
      <c r="BV157" s="174">
        <v>0</v>
      </c>
      <c r="BW157" s="174">
        <f>IF(char3WeapToggle, 12+(char3Refine-1)*3, 0)%</f>
        <v>0.12</v>
      </c>
      <c r="BX157" s="174">
        <v>0</v>
      </c>
      <c r="BY157" s="174">
        <f>IF(char3WeapToggle, 10+(char3Refine-1)*2.5,0)%</f>
        <v>0.1</v>
      </c>
      <c r="BZ157" s="174">
        <v>0</v>
      </c>
      <c r="CA157" s="177">
        <v>0</v>
      </c>
      <c r="CB157" s="72">
        <v>0</v>
      </c>
      <c r="CC157" s="176">
        <v>0</v>
      </c>
      <c r="CD157" s="176">
        <v>0</v>
      </c>
      <c r="CE157" s="176">
        <v>0</v>
      </c>
      <c r="CF157" s="176">
        <v>0</v>
      </c>
      <c r="CG157" s="177">
        <v>0</v>
      </c>
      <c r="CH157" s="176">
        <v>0</v>
      </c>
      <c r="CI157" s="177">
        <v>0</v>
      </c>
      <c r="CJ157" s="177">
        <v>0</v>
      </c>
      <c r="CK157" s="177">
        <v>0</v>
      </c>
      <c r="CL157" s="176">
        <f>IF(char3WeapToggle, 20%+(char3Refine-1)*4%, 0%)</f>
        <v>0.2</v>
      </c>
      <c r="CM157" s="176">
        <v>0</v>
      </c>
      <c r="CN157" s="176">
        <v>0</v>
      </c>
      <c r="CO157" s="176">
        <v>0</v>
      </c>
      <c r="CP157" s="177">
        <v>0</v>
      </c>
      <c r="CQ157" s="176">
        <v>0</v>
      </c>
      <c r="CR157" s="176">
        <v>0</v>
      </c>
      <c r="CS157" s="176">
        <v>0</v>
      </c>
    </row>
    <row r="158" spans="1:97" x14ac:dyDescent="0.25">
      <c r="A158" t="s">
        <v>458</v>
      </c>
      <c r="B158" s="168">
        <v>0</v>
      </c>
      <c r="C158" s="170">
        <f>(20+(char3Refine-1)*5)%</f>
        <v>0.2</v>
      </c>
      <c r="D158" s="169">
        <v>0</v>
      </c>
      <c r="E158" s="170">
        <v>0</v>
      </c>
      <c r="F158" s="169">
        <v>0</v>
      </c>
      <c r="G158" s="170">
        <v>0</v>
      </c>
      <c r="H158" s="170">
        <v>0</v>
      </c>
      <c r="I158" s="170">
        <v>0</v>
      </c>
      <c r="J158" s="170">
        <v>0</v>
      </c>
      <c r="K158" s="170">
        <v>0</v>
      </c>
      <c r="L158" s="170">
        <v>0</v>
      </c>
      <c r="M158" s="170">
        <v>0</v>
      </c>
      <c r="N158" s="170">
        <v>0</v>
      </c>
      <c r="O158" s="170">
        <v>0</v>
      </c>
      <c r="P158" s="169">
        <v>0</v>
      </c>
      <c r="Q158" s="169">
        <v>0</v>
      </c>
      <c r="R158" s="169">
        <v>0</v>
      </c>
      <c r="S158" s="170">
        <v>0</v>
      </c>
      <c r="T158" s="170">
        <v>0</v>
      </c>
      <c r="U158" s="171">
        <v>0</v>
      </c>
      <c r="V158" s="171">
        <v>0</v>
      </c>
      <c r="W158" s="171">
        <v>0</v>
      </c>
      <c r="X158" s="171">
        <f>(20+5*(char3Refine-1))%</f>
        <v>0.2</v>
      </c>
      <c r="Y158" s="171">
        <v>0</v>
      </c>
      <c r="Z158" s="171">
        <v>0</v>
      </c>
      <c r="AA158" s="171">
        <v>0</v>
      </c>
      <c r="AB158" s="171">
        <v>0</v>
      </c>
      <c r="AC158" s="171">
        <v>0</v>
      </c>
      <c r="AD158" s="171">
        <v>0</v>
      </c>
      <c r="AE158" s="171">
        <v>0</v>
      </c>
      <c r="AF158" s="171">
        <v>0</v>
      </c>
      <c r="AG158" s="171">
        <v>0</v>
      </c>
      <c r="AH158" s="171">
        <v>0</v>
      </c>
      <c r="AI158" s="171">
        <v>0</v>
      </c>
      <c r="AJ158" s="171">
        <v>0</v>
      </c>
      <c r="AK158" s="171">
        <v>0</v>
      </c>
      <c r="AL158" s="172">
        <v>0</v>
      </c>
      <c r="AM158" s="172">
        <v>0</v>
      </c>
      <c r="AN158" s="172">
        <v>0</v>
      </c>
      <c r="AO158" s="172">
        <f>(20+5*(char3Refine-1))%</f>
        <v>0.2</v>
      </c>
      <c r="AP158" s="172">
        <v>0</v>
      </c>
      <c r="AQ158" s="172">
        <v>0</v>
      </c>
      <c r="AR158" s="172">
        <v>0</v>
      </c>
      <c r="AS158" s="172">
        <v>0</v>
      </c>
      <c r="AT158" s="172">
        <v>0</v>
      </c>
      <c r="AU158" s="172">
        <v>0</v>
      </c>
      <c r="AV158" s="172">
        <v>0</v>
      </c>
      <c r="AW158" s="172">
        <v>0</v>
      </c>
      <c r="AX158" s="172">
        <v>0</v>
      </c>
      <c r="AY158" s="172">
        <v>0</v>
      </c>
      <c r="AZ158" s="172">
        <v>0</v>
      </c>
      <c r="BA158" s="172">
        <v>0</v>
      </c>
      <c r="BB158" s="172">
        <v>0</v>
      </c>
      <c r="BC158" s="172">
        <v>0</v>
      </c>
      <c r="BD158" s="172">
        <v>0</v>
      </c>
      <c r="BE158" s="172">
        <v>0</v>
      </c>
      <c r="BF158" s="172">
        <v>0</v>
      </c>
      <c r="BG158" s="172">
        <v>0</v>
      </c>
      <c r="BH158" s="174">
        <f>(20+5*(char3Refine-1))%</f>
        <v>0.2</v>
      </c>
      <c r="BI158" s="174">
        <v>0</v>
      </c>
      <c r="BJ158" s="174">
        <v>0</v>
      </c>
      <c r="BK158" s="174">
        <v>0</v>
      </c>
      <c r="BL158" s="174">
        <v>0</v>
      </c>
      <c r="BM158" s="174">
        <v>0</v>
      </c>
      <c r="BN158" s="174">
        <v>0</v>
      </c>
      <c r="BO158" s="174">
        <v>0</v>
      </c>
      <c r="BP158" s="174">
        <v>0</v>
      </c>
      <c r="BQ158" s="174">
        <v>0</v>
      </c>
      <c r="BR158" s="174">
        <v>0</v>
      </c>
      <c r="BS158" s="174">
        <v>0</v>
      </c>
      <c r="BT158" s="174">
        <v>0</v>
      </c>
      <c r="BU158" s="174">
        <v>0</v>
      </c>
      <c r="BV158" s="174">
        <v>0</v>
      </c>
      <c r="BW158" s="174">
        <v>0</v>
      </c>
      <c r="BX158" s="174">
        <v>0</v>
      </c>
      <c r="BY158" s="174">
        <v>0</v>
      </c>
      <c r="BZ158" s="174">
        <v>0</v>
      </c>
      <c r="CA158" s="177">
        <v>0</v>
      </c>
      <c r="CB158" s="72">
        <v>0</v>
      </c>
      <c r="CC158" s="176">
        <v>0</v>
      </c>
      <c r="CD158" s="176">
        <v>0</v>
      </c>
      <c r="CE158" s="176">
        <v>0</v>
      </c>
      <c r="CF158" s="176">
        <v>0</v>
      </c>
      <c r="CG158" s="177">
        <v>0</v>
      </c>
      <c r="CH158" s="176">
        <v>0</v>
      </c>
      <c r="CI158" s="177">
        <v>0</v>
      </c>
      <c r="CJ158" s="177">
        <v>0</v>
      </c>
      <c r="CK158" s="177">
        <v>0</v>
      </c>
      <c r="CL158" s="176">
        <v>0</v>
      </c>
      <c r="CM158" s="176">
        <v>0</v>
      </c>
      <c r="CN158" s="176">
        <v>0</v>
      </c>
      <c r="CO158" s="176">
        <v>0</v>
      </c>
      <c r="CP158" s="177">
        <v>0</v>
      </c>
      <c r="CQ158" s="176">
        <v>0</v>
      </c>
      <c r="CR158" s="176">
        <v>0</v>
      </c>
      <c r="CS158" s="176">
        <v>0</v>
      </c>
    </row>
    <row r="159" spans="1:97" x14ac:dyDescent="0.25">
      <c r="A159" t="s">
        <v>83</v>
      </c>
      <c r="B159" s="168">
        <v>0</v>
      </c>
      <c r="C159" s="170">
        <v>0</v>
      </c>
      <c r="D159" s="169">
        <v>0</v>
      </c>
      <c r="E159" s="170">
        <v>0</v>
      </c>
      <c r="F159" s="169">
        <v>0</v>
      </c>
      <c r="G159" s="170">
        <v>0</v>
      </c>
      <c r="H159" s="170">
        <v>0</v>
      </c>
      <c r="I159" s="170">
        <v>0</v>
      </c>
      <c r="J159" s="170">
        <v>0</v>
      </c>
      <c r="K159" s="170">
        <v>0</v>
      </c>
      <c r="L159" s="170">
        <v>0</v>
      </c>
      <c r="M159" s="170">
        <v>0</v>
      </c>
      <c r="N159" s="170">
        <v>0</v>
      </c>
      <c r="O159" s="170">
        <v>0</v>
      </c>
      <c r="P159" s="169">
        <v>0</v>
      </c>
      <c r="Q159" s="169">
        <v>0</v>
      </c>
      <c r="R159" s="169">
        <v>0</v>
      </c>
      <c r="S159" s="170">
        <v>0</v>
      </c>
      <c r="T159" s="170">
        <v>0</v>
      </c>
      <c r="U159" s="171">
        <v>0</v>
      </c>
      <c r="V159" s="171">
        <v>0</v>
      </c>
      <c r="W159" s="171">
        <v>0</v>
      </c>
      <c r="X159" s="171">
        <v>0</v>
      </c>
      <c r="Y159" s="171">
        <v>0</v>
      </c>
      <c r="Z159" s="171">
        <v>0</v>
      </c>
      <c r="AA159" s="171">
        <v>0</v>
      </c>
      <c r="AB159" s="171">
        <v>0</v>
      </c>
      <c r="AC159" s="171">
        <v>0</v>
      </c>
      <c r="AD159" s="171">
        <v>0</v>
      </c>
      <c r="AE159" s="171">
        <v>0</v>
      </c>
      <c r="AF159" s="171">
        <v>0</v>
      </c>
      <c r="AG159" s="171">
        <v>0</v>
      </c>
      <c r="AH159" s="171">
        <v>0</v>
      </c>
      <c r="AI159" s="171">
        <v>0</v>
      </c>
      <c r="AJ159" s="171">
        <v>0</v>
      </c>
      <c r="AK159" s="171">
        <v>0</v>
      </c>
      <c r="AL159" s="172">
        <v>0</v>
      </c>
      <c r="AM159" s="172">
        <v>0</v>
      </c>
      <c r="AN159" s="172">
        <v>0</v>
      </c>
      <c r="AO159" s="172">
        <v>0</v>
      </c>
      <c r="AP159" s="172">
        <v>0</v>
      </c>
      <c r="AQ159" s="172">
        <v>0</v>
      </c>
      <c r="AR159" s="172">
        <v>0</v>
      </c>
      <c r="AS159" s="172">
        <v>0</v>
      </c>
      <c r="AT159" s="172">
        <v>0</v>
      </c>
      <c r="AU159" s="172">
        <v>0</v>
      </c>
      <c r="AV159" s="172">
        <v>0</v>
      </c>
      <c r="AW159" s="172">
        <v>0</v>
      </c>
      <c r="AX159" s="172">
        <v>0</v>
      </c>
      <c r="AY159" s="172">
        <v>0</v>
      </c>
      <c r="AZ159" s="172">
        <v>0</v>
      </c>
      <c r="BA159" s="172">
        <v>0</v>
      </c>
      <c r="BB159" s="172">
        <v>0</v>
      </c>
      <c r="BC159" s="172">
        <v>0</v>
      </c>
      <c r="BD159" s="172">
        <v>0</v>
      </c>
      <c r="BE159" s="172">
        <v>0</v>
      </c>
      <c r="BF159" s="172">
        <v>0</v>
      </c>
      <c r="BG159" s="172">
        <v>0</v>
      </c>
      <c r="BH159" s="174">
        <v>0</v>
      </c>
      <c r="BI159" s="174">
        <v>0</v>
      </c>
      <c r="BJ159" s="174">
        <v>0</v>
      </c>
      <c r="BK159" s="174">
        <v>0</v>
      </c>
      <c r="BL159" s="174">
        <v>0</v>
      </c>
      <c r="BM159" s="174">
        <v>0</v>
      </c>
      <c r="BN159" s="174">
        <v>0</v>
      </c>
      <c r="BO159" s="174">
        <v>0</v>
      </c>
      <c r="BP159" s="174">
        <v>0</v>
      </c>
      <c r="BQ159" s="174">
        <v>0</v>
      </c>
      <c r="BR159" s="174">
        <v>0</v>
      </c>
      <c r="BS159" s="174">
        <v>0</v>
      </c>
      <c r="BT159" s="174">
        <v>0</v>
      </c>
      <c r="BU159" s="174">
        <v>0</v>
      </c>
      <c r="BV159" s="174">
        <v>0</v>
      </c>
      <c r="BW159" s="174">
        <v>0</v>
      </c>
      <c r="BX159" s="174">
        <v>0</v>
      </c>
      <c r="BY159" s="174">
        <v>0</v>
      </c>
      <c r="BZ159" s="174">
        <v>0</v>
      </c>
      <c r="CA159" s="177">
        <v>0</v>
      </c>
      <c r="CB159" s="72">
        <v>0</v>
      </c>
      <c r="CC159" s="176">
        <v>0</v>
      </c>
      <c r="CD159" s="176">
        <v>0</v>
      </c>
      <c r="CE159" s="176">
        <v>0</v>
      </c>
      <c r="CF159" s="176">
        <v>0</v>
      </c>
      <c r="CG159" s="177">
        <v>0</v>
      </c>
      <c r="CH159" s="176">
        <v>0</v>
      </c>
      <c r="CI159" s="177">
        <v>0</v>
      </c>
      <c r="CJ159" s="177">
        <v>0</v>
      </c>
      <c r="CK159" s="177">
        <v>0</v>
      </c>
      <c r="CL159" s="176">
        <v>0</v>
      </c>
      <c r="CM159" s="176">
        <v>0</v>
      </c>
      <c r="CN159" s="176">
        <v>0</v>
      </c>
      <c r="CO159" s="176">
        <v>0</v>
      </c>
      <c r="CP159" s="177">
        <v>0</v>
      </c>
      <c r="CQ159" s="176">
        <v>0</v>
      </c>
      <c r="CR159" s="176">
        <v>0</v>
      </c>
      <c r="CS159" s="176">
        <v>0</v>
      </c>
    </row>
    <row r="160" spans="1:97" x14ac:dyDescent="0.25">
      <c r="A160" t="s">
        <v>84</v>
      </c>
      <c r="B160" s="168">
        <v>0</v>
      </c>
      <c r="C160" s="170">
        <v>0</v>
      </c>
      <c r="D160" s="169">
        <v>0</v>
      </c>
      <c r="E160" s="170">
        <v>0</v>
      </c>
      <c r="F160" s="169">
        <v>0</v>
      </c>
      <c r="G160" s="170">
        <v>0</v>
      </c>
      <c r="H160" s="170">
        <v>0</v>
      </c>
      <c r="I160" s="170">
        <v>0</v>
      </c>
      <c r="J160" s="170">
        <v>0</v>
      </c>
      <c r="K160" s="170">
        <v>0</v>
      </c>
      <c r="L160" s="170">
        <v>0</v>
      </c>
      <c r="M160" s="170">
        <v>0</v>
      </c>
      <c r="N160" s="170">
        <v>0</v>
      </c>
      <c r="O160" s="170">
        <v>0</v>
      </c>
      <c r="P160" s="169">
        <v>0</v>
      </c>
      <c r="Q160" s="169">
        <v>0</v>
      </c>
      <c r="R160" s="169">
        <v>0</v>
      </c>
      <c r="S160" s="170">
        <v>0</v>
      </c>
      <c r="T160" s="170">
        <v>0</v>
      </c>
      <c r="U160" s="171">
        <v>0</v>
      </c>
      <c r="V160" s="171">
        <v>0</v>
      </c>
      <c r="W160" s="171">
        <v>0</v>
      </c>
      <c r="X160" s="171">
        <v>0</v>
      </c>
      <c r="Y160" s="171">
        <v>0</v>
      </c>
      <c r="Z160" s="171">
        <v>0</v>
      </c>
      <c r="AA160" s="171">
        <v>0</v>
      </c>
      <c r="AB160" s="171">
        <v>0</v>
      </c>
      <c r="AC160" s="171">
        <v>0</v>
      </c>
      <c r="AD160" s="171">
        <v>0</v>
      </c>
      <c r="AE160" s="171">
        <v>0</v>
      </c>
      <c r="AF160" s="171">
        <v>0</v>
      </c>
      <c r="AG160" s="171">
        <v>0</v>
      </c>
      <c r="AH160" s="171">
        <v>0</v>
      </c>
      <c r="AI160" s="171">
        <v>0</v>
      </c>
      <c r="AJ160" s="171">
        <v>0</v>
      </c>
      <c r="AK160" s="171">
        <v>0</v>
      </c>
      <c r="AL160" s="172">
        <v>0</v>
      </c>
      <c r="AM160" s="172">
        <v>0</v>
      </c>
      <c r="AN160" s="172">
        <v>0</v>
      </c>
      <c r="AO160" s="172">
        <v>0</v>
      </c>
      <c r="AP160" s="172">
        <v>0</v>
      </c>
      <c r="AQ160" s="172">
        <v>0</v>
      </c>
      <c r="AR160" s="172">
        <v>0</v>
      </c>
      <c r="AS160" s="172">
        <v>0</v>
      </c>
      <c r="AT160" s="172">
        <v>0</v>
      </c>
      <c r="AU160" s="172">
        <v>0</v>
      </c>
      <c r="AV160" s="172">
        <v>0</v>
      </c>
      <c r="AW160" s="172">
        <v>0</v>
      </c>
      <c r="AX160" s="172">
        <v>0</v>
      </c>
      <c r="AY160" s="172">
        <v>0</v>
      </c>
      <c r="AZ160" s="172">
        <v>0</v>
      </c>
      <c r="BA160" s="172">
        <v>0</v>
      </c>
      <c r="BB160" s="172">
        <v>0</v>
      </c>
      <c r="BC160" s="172">
        <v>0</v>
      </c>
      <c r="BD160" s="172">
        <v>0</v>
      </c>
      <c r="BE160" s="172">
        <v>0</v>
      </c>
      <c r="BF160" s="172">
        <v>0</v>
      </c>
      <c r="BG160" s="172">
        <v>0</v>
      </c>
      <c r="BH160" s="174">
        <v>0</v>
      </c>
      <c r="BI160" s="174">
        <v>0</v>
      </c>
      <c r="BJ160" s="174">
        <v>0</v>
      </c>
      <c r="BK160" s="174">
        <v>0</v>
      </c>
      <c r="BL160" s="174">
        <v>0</v>
      </c>
      <c r="BM160" s="174">
        <v>0</v>
      </c>
      <c r="BN160" s="174">
        <v>0</v>
      </c>
      <c r="BO160" s="174">
        <v>0</v>
      </c>
      <c r="BP160" s="174">
        <v>0</v>
      </c>
      <c r="BQ160" s="174">
        <v>0</v>
      </c>
      <c r="BR160" s="174">
        <v>0</v>
      </c>
      <c r="BS160" s="174">
        <v>0</v>
      </c>
      <c r="BT160" s="174">
        <v>0</v>
      </c>
      <c r="BU160" s="174">
        <v>0</v>
      </c>
      <c r="BV160" s="174">
        <v>0</v>
      </c>
      <c r="BW160" s="174">
        <v>0</v>
      </c>
      <c r="BX160" s="174">
        <v>0</v>
      </c>
      <c r="BY160" s="174">
        <v>0</v>
      </c>
      <c r="BZ160" s="174">
        <v>0</v>
      </c>
      <c r="CA160" s="177">
        <v>0</v>
      </c>
      <c r="CB160" s="72">
        <v>0</v>
      </c>
      <c r="CC160" s="176">
        <v>0</v>
      </c>
      <c r="CD160" s="176">
        <v>0</v>
      </c>
      <c r="CE160" s="176">
        <v>0</v>
      </c>
      <c r="CF160" s="176">
        <v>0</v>
      </c>
      <c r="CG160" s="177">
        <v>0</v>
      </c>
      <c r="CH160" s="176">
        <v>0</v>
      </c>
      <c r="CI160" s="177">
        <v>0</v>
      </c>
      <c r="CJ160" s="177">
        <v>0</v>
      </c>
      <c r="CK160" s="177">
        <v>0</v>
      </c>
      <c r="CL160" s="176">
        <v>0</v>
      </c>
      <c r="CM160" s="176">
        <v>0</v>
      </c>
      <c r="CN160" s="176">
        <v>0</v>
      </c>
      <c r="CO160" s="176">
        <v>0</v>
      </c>
      <c r="CP160" s="177">
        <v>0</v>
      </c>
      <c r="CQ160" s="176">
        <v>0</v>
      </c>
      <c r="CR160" s="176">
        <v>0</v>
      </c>
      <c r="CS160" s="176">
        <v>0</v>
      </c>
    </row>
    <row r="161" spans="1:97" x14ac:dyDescent="0.25">
      <c r="A161" t="s">
        <v>85</v>
      </c>
      <c r="B161" s="168">
        <v>0</v>
      </c>
      <c r="C161" s="170">
        <v>0</v>
      </c>
      <c r="D161" s="169">
        <v>0</v>
      </c>
      <c r="E161" s="170">
        <v>0</v>
      </c>
      <c r="F161" s="169">
        <v>0</v>
      </c>
      <c r="G161" s="170">
        <v>0</v>
      </c>
      <c r="H161" s="170">
        <v>0</v>
      </c>
      <c r="I161" s="170">
        <v>0</v>
      </c>
      <c r="J161" s="170">
        <v>0</v>
      </c>
      <c r="K161" s="170">
        <v>0</v>
      </c>
      <c r="L161" s="170">
        <v>0</v>
      </c>
      <c r="M161" s="170">
        <v>0</v>
      </c>
      <c r="N161" s="170">
        <v>0</v>
      </c>
      <c r="O161" s="170">
        <v>0</v>
      </c>
      <c r="P161" s="169">
        <v>0</v>
      </c>
      <c r="Q161" s="169">
        <v>0</v>
      </c>
      <c r="R161" s="169">
        <v>0</v>
      </c>
      <c r="S161" s="170">
        <v>0</v>
      </c>
      <c r="T161" s="170">
        <v>0</v>
      </c>
      <c r="U161" s="171">
        <v>0</v>
      </c>
      <c r="V161" s="171">
        <v>0</v>
      </c>
      <c r="W161" s="171">
        <v>0</v>
      </c>
      <c r="X161" s="171">
        <v>0</v>
      </c>
      <c r="Y161" s="171">
        <v>0</v>
      </c>
      <c r="Z161" s="171">
        <v>0</v>
      </c>
      <c r="AA161" s="171">
        <v>0</v>
      </c>
      <c r="AB161" s="171">
        <v>0</v>
      </c>
      <c r="AC161" s="171">
        <v>0</v>
      </c>
      <c r="AD161" s="171">
        <v>0</v>
      </c>
      <c r="AE161" s="171">
        <v>0</v>
      </c>
      <c r="AF161" s="171">
        <v>0</v>
      </c>
      <c r="AG161" s="171">
        <v>0</v>
      </c>
      <c r="AH161" s="171">
        <v>0</v>
      </c>
      <c r="AI161" s="171">
        <v>0</v>
      </c>
      <c r="AJ161" s="171">
        <v>0</v>
      </c>
      <c r="AK161" s="171">
        <v>0</v>
      </c>
      <c r="AL161" s="172">
        <v>0</v>
      </c>
      <c r="AM161" s="172">
        <v>0</v>
      </c>
      <c r="AN161" s="172">
        <v>0</v>
      </c>
      <c r="AO161" s="172">
        <v>0</v>
      </c>
      <c r="AP161" s="172">
        <v>0</v>
      </c>
      <c r="AQ161" s="172">
        <v>0</v>
      </c>
      <c r="AR161" s="172">
        <v>0</v>
      </c>
      <c r="AS161" s="172">
        <v>0</v>
      </c>
      <c r="AT161" s="172">
        <v>0</v>
      </c>
      <c r="AU161" s="172">
        <v>0</v>
      </c>
      <c r="AV161" s="172">
        <v>0</v>
      </c>
      <c r="AW161" s="172">
        <v>0</v>
      </c>
      <c r="AX161" s="172">
        <v>0</v>
      </c>
      <c r="AY161" s="172">
        <v>0</v>
      </c>
      <c r="AZ161" s="172">
        <v>0</v>
      </c>
      <c r="BA161" s="172">
        <v>0</v>
      </c>
      <c r="BB161" s="172">
        <v>0</v>
      </c>
      <c r="BC161" s="172">
        <v>0</v>
      </c>
      <c r="BD161" s="172">
        <v>0</v>
      </c>
      <c r="BE161" s="172">
        <v>0</v>
      </c>
      <c r="BF161" s="172">
        <v>0</v>
      </c>
      <c r="BG161" s="172">
        <v>0</v>
      </c>
      <c r="BH161" s="174">
        <v>0</v>
      </c>
      <c r="BI161" s="174">
        <v>0</v>
      </c>
      <c r="BJ161" s="174">
        <v>0</v>
      </c>
      <c r="BK161" s="174">
        <v>0</v>
      </c>
      <c r="BL161" s="174">
        <v>0</v>
      </c>
      <c r="BM161" s="174">
        <v>0</v>
      </c>
      <c r="BN161" s="174">
        <v>0</v>
      </c>
      <c r="BO161" s="174">
        <v>0</v>
      </c>
      <c r="BP161" s="174">
        <v>0</v>
      </c>
      <c r="BQ161" s="174">
        <v>0</v>
      </c>
      <c r="BR161" s="174">
        <v>0</v>
      </c>
      <c r="BS161" s="174">
        <v>0</v>
      </c>
      <c r="BT161" s="174">
        <v>0</v>
      </c>
      <c r="BU161" s="174">
        <v>0</v>
      </c>
      <c r="BV161" s="174">
        <v>0</v>
      </c>
      <c r="BW161" s="174">
        <v>0</v>
      </c>
      <c r="BX161" s="174">
        <v>0</v>
      </c>
      <c r="BY161" s="174">
        <v>0</v>
      </c>
      <c r="BZ161" s="174">
        <v>0</v>
      </c>
      <c r="CA161" s="177">
        <v>0</v>
      </c>
      <c r="CB161" s="72">
        <v>0</v>
      </c>
      <c r="CC161" s="176">
        <v>0</v>
      </c>
      <c r="CD161" s="176">
        <v>0</v>
      </c>
      <c r="CE161" s="176">
        <v>0</v>
      </c>
      <c r="CF161" s="176">
        <v>0</v>
      </c>
      <c r="CG161" s="177">
        <v>0</v>
      </c>
      <c r="CH161" s="176">
        <v>0</v>
      </c>
      <c r="CI161" s="177">
        <v>0</v>
      </c>
      <c r="CJ161" s="177">
        <v>0</v>
      </c>
      <c r="CK161" s="177">
        <v>0</v>
      </c>
      <c r="CL161" s="176">
        <v>0</v>
      </c>
      <c r="CM161" s="176">
        <v>0</v>
      </c>
      <c r="CN161" s="176">
        <v>0</v>
      </c>
      <c r="CO161" s="176">
        <v>0</v>
      </c>
      <c r="CP161" s="177">
        <v>0</v>
      </c>
      <c r="CQ161" s="176">
        <v>0</v>
      </c>
      <c r="CR161" s="176">
        <v>0</v>
      </c>
      <c r="CS161" s="176">
        <v>0</v>
      </c>
    </row>
    <row r="162" spans="1:97" x14ac:dyDescent="0.25">
      <c r="A162" t="s">
        <v>87</v>
      </c>
      <c r="B162" s="168">
        <v>0</v>
      </c>
      <c r="C162" s="170">
        <v>0</v>
      </c>
      <c r="D162" s="169">
        <v>0</v>
      </c>
      <c r="E162" s="170">
        <v>0</v>
      </c>
      <c r="F162" s="169">
        <v>0</v>
      </c>
      <c r="G162" s="170">
        <v>0</v>
      </c>
      <c r="H162" s="170">
        <v>0</v>
      </c>
      <c r="I162" s="170">
        <v>0</v>
      </c>
      <c r="J162" s="170">
        <v>0</v>
      </c>
      <c r="K162" s="170">
        <v>0</v>
      </c>
      <c r="L162" s="170">
        <v>0</v>
      </c>
      <c r="M162" s="170">
        <v>0</v>
      </c>
      <c r="N162" s="170">
        <v>0</v>
      </c>
      <c r="O162" s="170">
        <v>0</v>
      </c>
      <c r="P162" s="169">
        <v>0</v>
      </c>
      <c r="Q162" s="169">
        <v>0</v>
      </c>
      <c r="R162" s="169">
        <v>0</v>
      </c>
      <c r="S162" s="170">
        <v>0</v>
      </c>
      <c r="T162" s="170">
        <v>0</v>
      </c>
      <c r="U162" s="171">
        <v>0</v>
      </c>
      <c r="V162" s="171">
        <v>0</v>
      </c>
      <c r="W162" s="171">
        <v>0</v>
      </c>
      <c r="X162" s="171">
        <v>0</v>
      </c>
      <c r="Y162" s="171">
        <v>0</v>
      </c>
      <c r="Z162" s="171">
        <v>0</v>
      </c>
      <c r="AA162" s="171">
        <v>0</v>
      </c>
      <c r="AB162" s="171">
        <v>0</v>
      </c>
      <c r="AC162" s="171">
        <v>0</v>
      </c>
      <c r="AD162" s="171">
        <v>0</v>
      </c>
      <c r="AE162" s="171">
        <v>0</v>
      </c>
      <c r="AF162" s="171">
        <v>0</v>
      </c>
      <c r="AG162" s="171">
        <v>0</v>
      </c>
      <c r="AH162" s="171">
        <v>0</v>
      </c>
      <c r="AI162" s="171">
        <v>0</v>
      </c>
      <c r="AJ162" s="171">
        <v>0</v>
      </c>
      <c r="AK162" s="171">
        <v>0</v>
      </c>
      <c r="AL162" s="172">
        <v>0</v>
      </c>
      <c r="AM162" s="172">
        <v>0</v>
      </c>
      <c r="AN162" s="172">
        <v>0</v>
      </c>
      <c r="AO162" s="172">
        <v>0</v>
      </c>
      <c r="AP162" s="172">
        <v>0</v>
      </c>
      <c r="AQ162" s="172">
        <v>0</v>
      </c>
      <c r="AR162" s="172">
        <v>0</v>
      </c>
      <c r="AS162" s="172">
        <v>0</v>
      </c>
      <c r="AT162" s="172">
        <v>0</v>
      </c>
      <c r="AU162" s="172">
        <v>0</v>
      </c>
      <c r="AV162" s="172">
        <v>0</v>
      </c>
      <c r="AW162" s="172">
        <v>0</v>
      </c>
      <c r="AX162" s="172">
        <v>0</v>
      </c>
      <c r="AY162" s="172">
        <v>0</v>
      </c>
      <c r="AZ162" s="172">
        <v>0</v>
      </c>
      <c r="BA162" s="172">
        <v>0</v>
      </c>
      <c r="BB162" s="172">
        <v>0</v>
      </c>
      <c r="BC162" s="172">
        <v>0</v>
      </c>
      <c r="BD162" s="172">
        <v>0</v>
      </c>
      <c r="BE162" s="172">
        <v>0</v>
      </c>
      <c r="BF162" s="172">
        <v>0</v>
      </c>
      <c r="BG162" s="172">
        <v>0</v>
      </c>
      <c r="BH162" s="174">
        <v>0</v>
      </c>
      <c r="BI162" s="174">
        <v>0</v>
      </c>
      <c r="BJ162" s="174">
        <v>0</v>
      </c>
      <c r="BK162" s="174">
        <v>0</v>
      </c>
      <c r="BL162" s="174">
        <v>0</v>
      </c>
      <c r="BM162" s="174">
        <v>0</v>
      </c>
      <c r="BN162" s="174">
        <v>0</v>
      </c>
      <c r="BO162" s="174">
        <v>0</v>
      </c>
      <c r="BP162" s="174">
        <v>0</v>
      </c>
      <c r="BQ162" s="174">
        <v>0</v>
      </c>
      <c r="BR162" s="174">
        <v>0</v>
      </c>
      <c r="BS162" s="174">
        <v>0</v>
      </c>
      <c r="BT162" s="174">
        <v>0</v>
      </c>
      <c r="BU162" s="174">
        <v>0</v>
      </c>
      <c r="BV162" s="174">
        <v>0</v>
      </c>
      <c r="BW162" s="174">
        <v>0</v>
      </c>
      <c r="BX162" s="174">
        <v>0</v>
      </c>
      <c r="BY162" s="174">
        <v>0</v>
      </c>
      <c r="BZ162" s="174">
        <v>0</v>
      </c>
      <c r="CA162" s="177">
        <v>0</v>
      </c>
      <c r="CB162" s="72">
        <v>0</v>
      </c>
      <c r="CC162" s="176">
        <v>0</v>
      </c>
      <c r="CD162" s="176">
        <v>0</v>
      </c>
      <c r="CE162" s="176">
        <v>0</v>
      </c>
      <c r="CF162" s="176">
        <v>0</v>
      </c>
      <c r="CG162" s="177">
        <v>0</v>
      </c>
      <c r="CH162" s="176">
        <v>0</v>
      </c>
      <c r="CI162" s="177">
        <v>0</v>
      </c>
      <c r="CJ162" s="177">
        <v>0</v>
      </c>
      <c r="CK162" s="177">
        <v>0</v>
      </c>
      <c r="CL162" s="176">
        <v>0</v>
      </c>
      <c r="CM162" s="176">
        <v>0</v>
      </c>
      <c r="CN162" s="176">
        <v>0</v>
      </c>
      <c r="CO162" s="176">
        <v>0</v>
      </c>
      <c r="CP162" s="177">
        <v>0</v>
      </c>
      <c r="CQ162" s="176">
        <v>0</v>
      </c>
      <c r="CR162" s="176">
        <v>0</v>
      </c>
      <c r="CS162" s="176">
        <v>0</v>
      </c>
    </row>
    <row r="163" spans="1:97" x14ac:dyDescent="0.25">
      <c r="A163" t="s">
        <v>86</v>
      </c>
      <c r="B163" s="168">
        <v>0</v>
      </c>
      <c r="C163" s="170">
        <v>0</v>
      </c>
      <c r="D163" s="169">
        <v>0</v>
      </c>
      <c r="E163" s="170">
        <v>0</v>
      </c>
      <c r="F163" s="169">
        <v>0</v>
      </c>
      <c r="G163" s="170">
        <v>0</v>
      </c>
      <c r="H163" s="170">
        <v>0</v>
      </c>
      <c r="I163" s="170">
        <v>0</v>
      </c>
      <c r="J163" s="170">
        <v>0</v>
      </c>
      <c r="K163" s="170">
        <v>0</v>
      </c>
      <c r="L163" s="170">
        <v>0</v>
      </c>
      <c r="M163" s="170">
        <v>0</v>
      </c>
      <c r="N163" s="170">
        <v>0</v>
      </c>
      <c r="O163" s="170">
        <v>0</v>
      </c>
      <c r="P163" s="169">
        <v>0</v>
      </c>
      <c r="Q163" s="169">
        <v>0</v>
      </c>
      <c r="R163" s="169">
        <v>0</v>
      </c>
      <c r="S163" s="170">
        <v>0</v>
      </c>
      <c r="T163" s="170">
        <v>0</v>
      </c>
      <c r="U163" s="171">
        <v>0</v>
      </c>
      <c r="V163" s="171">
        <v>0</v>
      </c>
      <c r="W163" s="171">
        <v>0</v>
      </c>
      <c r="X163" s="171">
        <v>0</v>
      </c>
      <c r="Y163" s="171">
        <v>0</v>
      </c>
      <c r="Z163" s="171">
        <v>0</v>
      </c>
      <c r="AA163" s="171">
        <v>0</v>
      </c>
      <c r="AB163" s="171">
        <v>0</v>
      </c>
      <c r="AC163" s="171">
        <v>0</v>
      </c>
      <c r="AD163" s="171">
        <v>0</v>
      </c>
      <c r="AE163" s="171">
        <v>0</v>
      </c>
      <c r="AF163" s="171">
        <v>0</v>
      </c>
      <c r="AG163" s="171">
        <v>0</v>
      </c>
      <c r="AH163" s="171">
        <v>0</v>
      </c>
      <c r="AI163" s="171">
        <v>0</v>
      </c>
      <c r="AJ163" s="171">
        <v>0</v>
      </c>
      <c r="AK163" s="171">
        <v>0</v>
      </c>
      <c r="AL163" s="172">
        <v>0</v>
      </c>
      <c r="AM163" s="172">
        <v>0</v>
      </c>
      <c r="AN163" s="172">
        <v>0</v>
      </c>
      <c r="AO163" s="172">
        <v>0</v>
      </c>
      <c r="AP163" s="172">
        <v>0</v>
      </c>
      <c r="AQ163" s="172">
        <v>0</v>
      </c>
      <c r="AR163" s="172">
        <v>0</v>
      </c>
      <c r="AS163" s="172">
        <v>0</v>
      </c>
      <c r="AT163" s="172">
        <v>0</v>
      </c>
      <c r="AU163" s="172">
        <v>0</v>
      </c>
      <c r="AV163" s="172">
        <v>0</v>
      </c>
      <c r="AW163" s="172">
        <v>0</v>
      </c>
      <c r="AX163" s="172">
        <v>0</v>
      </c>
      <c r="AY163" s="172">
        <v>0</v>
      </c>
      <c r="AZ163" s="172">
        <v>0</v>
      </c>
      <c r="BA163" s="172">
        <v>0</v>
      </c>
      <c r="BB163" s="172">
        <v>0</v>
      </c>
      <c r="BC163" s="172">
        <v>0</v>
      </c>
      <c r="BD163" s="172">
        <v>0</v>
      </c>
      <c r="BE163" s="172">
        <v>0</v>
      </c>
      <c r="BF163" s="172">
        <v>0</v>
      </c>
      <c r="BG163" s="172">
        <v>0</v>
      </c>
      <c r="BH163" s="174">
        <v>0</v>
      </c>
      <c r="BI163" s="174">
        <v>0</v>
      </c>
      <c r="BJ163" s="174">
        <v>0</v>
      </c>
      <c r="BK163" s="174">
        <v>0</v>
      </c>
      <c r="BL163" s="174">
        <v>0</v>
      </c>
      <c r="BM163" s="174">
        <v>0</v>
      </c>
      <c r="BN163" s="174">
        <v>0</v>
      </c>
      <c r="BO163" s="174">
        <v>0</v>
      </c>
      <c r="BP163" s="174">
        <v>0</v>
      </c>
      <c r="BQ163" s="174">
        <v>0</v>
      </c>
      <c r="BR163" s="174">
        <v>0</v>
      </c>
      <c r="BS163" s="174">
        <v>0</v>
      </c>
      <c r="BT163" s="174">
        <v>0</v>
      </c>
      <c r="BU163" s="174">
        <v>0</v>
      </c>
      <c r="BV163" s="174">
        <v>0</v>
      </c>
      <c r="BW163" s="174">
        <v>0</v>
      </c>
      <c r="BX163" s="174">
        <v>0</v>
      </c>
      <c r="BY163" s="174">
        <v>0</v>
      </c>
      <c r="BZ163" s="174">
        <v>0</v>
      </c>
      <c r="CA163" s="177">
        <v>0</v>
      </c>
      <c r="CB163" s="72">
        <v>0</v>
      </c>
      <c r="CC163" s="176">
        <v>0</v>
      </c>
      <c r="CD163" s="176">
        <v>0</v>
      </c>
      <c r="CE163" s="176">
        <v>0</v>
      </c>
      <c r="CF163" s="176">
        <v>0</v>
      </c>
      <c r="CG163" s="177">
        <v>0</v>
      </c>
      <c r="CH163" s="176">
        <v>0</v>
      </c>
      <c r="CI163" s="177">
        <v>0</v>
      </c>
      <c r="CJ163" s="177">
        <v>0</v>
      </c>
      <c r="CK163" s="177">
        <v>0</v>
      </c>
      <c r="CL163" s="176">
        <v>0</v>
      </c>
      <c r="CM163" s="176">
        <v>0</v>
      </c>
      <c r="CN163" s="176">
        <v>0</v>
      </c>
      <c r="CO163" s="176">
        <v>0</v>
      </c>
      <c r="CP163" s="177">
        <v>0</v>
      </c>
      <c r="CQ163" s="176">
        <v>0</v>
      </c>
      <c r="CR163" s="176">
        <v>0</v>
      </c>
      <c r="CS163" s="176">
        <v>0</v>
      </c>
    </row>
    <row r="164" spans="1:97" x14ac:dyDescent="0.25">
      <c r="A164" t="s">
        <v>88</v>
      </c>
      <c r="B164" s="168">
        <v>0</v>
      </c>
      <c r="C164" s="170">
        <v>0</v>
      </c>
      <c r="D164" s="169">
        <v>0</v>
      </c>
      <c r="E164" s="170">
        <v>0</v>
      </c>
      <c r="F164" s="169">
        <v>0</v>
      </c>
      <c r="G164" s="170">
        <v>0</v>
      </c>
      <c r="H164" s="170">
        <v>0</v>
      </c>
      <c r="I164" s="170">
        <v>0</v>
      </c>
      <c r="J164" s="170">
        <v>0</v>
      </c>
      <c r="K164" s="170">
        <v>0</v>
      </c>
      <c r="L164" s="170">
        <v>0</v>
      </c>
      <c r="M164" s="170">
        <v>0</v>
      </c>
      <c r="N164" s="170">
        <v>0</v>
      </c>
      <c r="O164" s="170">
        <v>0</v>
      </c>
      <c r="P164" s="169">
        <v>0</v>
      </c>
      <c r="Q164" s="169">
        <v>0</v>
      </c>
      <c r="R164" s="169">
        <v>0</v>
      </c>
      <c r="S164" s="170">
        <v>0</v>
      </c>
      <c r="T164" s="170">
        <v>0</v>
      </c>
      <c r="U164" s="171">
        <v>0</v>
      </c>
      <c r="V164" s="171">
        <v>0</v>
      </c>
      <c r="W164" s="171">
        <v>0</v>
      </c>
      <c r="X164" s="171">
        <v>0</v>
      </c>
      <c r="Y164" s="171">
        <v>0</v>
      </c>
      <c r="Z164" s="171">
        <v>0</v>
      </c>
      <c r="AA164" s="171">
        <v>0</v>
      </c>
      <c r="AB164" s="171">
        <v>0</v>
      </c>
      <c r="AC164" s="171">
        <v>0</v>
      </c>
      <c r="AD164" s="171">
        <v>0</v>
      </c>
      <c r="AE164" s="171">
        <v>0</v>
      </c>
      <c r="AF164" s="171">
        <v>0</v>
      </c>
      <c r="AG164" s="171">
        <v>0</v>
      </c>
      <c r="AH164" s="171">
        <v>0</v>
      </c>
      <c r="AI164" s="171">
        <v>0</v>
      </c>
      <c r="AJ164" s="171">
        <v>0</v>
      </c>
      <c r="AK164" s="171">
        <v>0</v>
      </c>
      <c r="AL164" s="172">
        <v>0</v>
      </c>
      <c r="AM164" s="172">
        <v>0</v>
      </c>
      <c r="AN164" s="172">
        <v>0</v>
      </c>
      <c r="AO164" s="172">
        <v>0</v>
      </c>
      <c r="AP164" s="172">
        <v>0</v>
      </c>
      <c r="AQ164" s="172">
        <v>0</v>
      </c>
      <c r="AR164" s="172">
        <v>0</v>
      </c>
      <c r="AS164" s="172">
        <v>0</v>
      </c>
      <c r="AT164" s="172">
        <v>0</v>
      </c>
      <c r="AU164" s="172">
        <v>0</v>
      </c>
      <c r="AV164" s="172">
        <v>0</v>
      </c>
      <c r="AW164" s="172">
        <v>0</v>
      </c>
      <c r="AX164" s="172">
        <v>0</v>
      </c>
      <c r="AY164" s="172">
        <v>0</v>
      </c>
      <c r="AZ164" s="172">
        <v>0</v>
      </c>
      <c r="BA164" s="172">
        <v>0</v>
      </c>
      <c r="BB164" s="172">
        <v>0</v>
      </c>
      <c r="BC164" s="172">
        <v>0</v>
      </c>
      <c r="BD164" s="172">
        <v>0</v>
      </c>
      <c r="BE164" s="172">
        <v>0</v>
      </c>
      <c r="BF164" s="172">
        <v>0</v>
      </c>
      <c r="BG164" s="172">
        <v>0</v>
      </c>
      <c r="BH164" s="174">
        <v>0</v>
      </c>
      <c r="BI164" s="174">
        <v>0</v>
      </c>
      <c r="BJ164" s="174">
        <v>0</v>
      </c>
      <c r="BK164" s="174">
        <v>0</v>
      </c>
      <c r="BL164" s="174">
        <v>0</v>
      </c>
      <c r="BM164" s="174">
        <v>0</v>
      </c>
      <c r="BN164" s="174">
        <v>0</v>
      </c>
      <c r="BO164" s="174">
        <v>0</v>
      </c>
      <c r="BP164" s="174">
        <v>0</v>
      </c>
      <c r="BQ164" s="174">
        <v>0</v>
      </c>
      <c r="BR164" s="174">
        <v>0</v>
      </c>
      <c r="BS164" s="174">
        <v>0</v>
      </c>
      <c r="BT164" s="174">
        <v>0</v>
      </c>
      <c r="BU164" s="174">
        <v>0</v>
      </c>
      <c r="BV164" s="174">
        <v>0</v>
      </c>
      <c r="BW164" s="174">
        <v>0</v>
      </c>
      <c r="BX164" s="174">
        <v>0</v>
      </c>
      <c r="BY164" s="174">
        <v>0</v>
      </c>
      <c r="BZ164" s="174">
        <v>0</v>
      </c>
      <c r="CA164" s="177">
        <v>0</v>
      </c>
      <c r="CB164" s="72">
        <v>0</v>
      </c>
      <c r="CC164" s="176">
        <v>0</v>
      </c>
      <c r="CD164" s="176">
        <v>0</v>
      </c>
      <c r="CE164" s="176">
        <v>0</v>
      </c>
      <c r="CF164" s="176">
        <v>0</v>
      </c>
      <c r="CG164" s="177">
        <v>0</v>
      </c>
      <c r="CH164" s="176">
        <v>0</v>
      </c>
      <c r="CI164" s="177">
        <v>0</v>
      </c>
      <c r="CJ164" s="177">
        <v>0</v>
      </c>
      <c r="CK164" s="177">
        <v>0</v>
      </c>
      <c r="CL164" s="176">
        <v>0</v>
      </c>
      <c r="CM164" s="176">
        <v>0</v>
      </c>
      <c r="CN164" s="176">
        <v>0</v>
      </c>
      <c r="CO164" s="176">
        <v>0</v>
      </c>
      <c r="CP164" s="177">
        <v>0</v>
      </c>
      <c r="CQ164" s="176">
        <v>0</v>
      </c>
      <c r="CR164" s="176">
        <v>0</v>
      </c>
      <c r="CS164" s="176">
        <v>0</v>
      </c>
    </row>
    <row r="165" spans="1:97" x14ac:dyDescent="0.25">
      <c r="A165" t="s">
        <v>89</v>
      </c>
      <c r="B165" s="168">
        <v>0</v>
      </c>
      <c r="C165" s="170">
        <v>0</v>
      </c>
      <c r="D165" s="169">
        <v>0</v>
      </c>
      <c r="E165" s="170">
        <v>0</v>
      </c>
      <c r="F165" s="169">
        <v>0</v>
      </c>
      <c r="G165" s="170">
        <v>0</v>
      </c>
      <c r="H165" s="170">
        <v>0</v>
      </c>
      <c r="I165" s="170">
        <v>0</v>
      </c>
      <c r="J165" s="170">
        <v>0</v>
      </c>
      <c r="K165" s="170">
        <v>0</v>
      </c>
      <c r="L165" s="170">
        <v>0</v>
      </c>
      <c r="M165" s="170">
        <v>0</v>
      </c>
      <c r="N165" s="170">
        <v>0</v>
      </c>
      <c r="O165" s="170">
        <v>0</v>
      </c>
      <c r="P165" s="169">
        <v>0</v>
      </c>
      <c r="Q165" s="169">
        <v>0</v>
      </c>
      <c r="R165" s="169">
        <v>0</v>
      </c>
      <c r="S165" s="170">
        <v>0</v>
      </c>
      <c r="T165" s="170">
        <v>0</v>
      </c>
      <c r="U165" s="171">
        <v>0</v>
      </c>
      <c r="V165" s="171">
        <v>0</v>
      </c>
      <c r="W165" s="171">
        <v>0</v>
      </c>
      <c r="X165" s="171">
        <v>0</v>
      </c>
      <c r="Y165" s="171">
        <v>0</v>
      </c>
      <c r="Z165" s="171">
        <v>0</v>
      </c>
      <c r="AA165" s="171">
        <v>0</v>
      </c>
      <c r="AB165" s="171">
        <v>0</v>
      </c>
      <c r="AC165" s="171">
        <v>0</v>
      </c>
      <c r="AD165" s="171">
        <v>0</v>
      </c>
      <c r="AE165" s="171">
        <v>0</v>
      </c>
      <c r="AF165" s="171">
        <v>0</v>
      </c>
      <c r="AG165" s="171">
        <v>0</v>
      </c>
      <c r="AH165" s="171">
        <v>0</v>
      </c>
      <c r="AI165" s="171">
        <v>0</v>
      </c>
      <c r="AJ165" s="171">
        <v>0</v>
      </c>
      <c r="AK165" s="171">
        <v>0</v>
      </c>
      <c r="AL165" s="172">
        <v>0</v>
      </c>
      <c r="AM165" s="172">
        <v>0</v>
      </c>
      <c r="AN165" s="172">
        <v>0</v>
      </c>
      <c r="AO165" s="172">
        <v>0</v>
      </c>
      <c r="AP165" s="172">
        <v>0</v>
      </c>
      <c r="AQ165" s="172">
        <v>0</v>
      </c>
      <c r="AR165" s="172">
        <v>0</v>
      </c>
      <c r="AS165" s="172">
        <v>0</v>
      </c>
      <c r="AT165" s="172">
        <v>0</v>
      </c>
      <c r="AU165" s="172">
        <v>0</v>
      </c>
      <c r="AV165" s="172">
        <v>0</v>
      </c>
      <c r="AW165" s="172">
        <v>0</v>
      </c>
      <c r="AX165" s="172">
        <v>0</v>
      </c>
      <c r="AY165" s="172">
        <v>0</v>
      </c>
      <c r="AZ165" s="172">
        <v>0</v>
      </c>
      <c r="BA165" s="172">
        <v>0</v>
      </c>
      <c r="BB165" s="172">
        <v>0</v>
      </c>
      <c r="BC165" s="172">
        <v>0</v>
      </c>
      <c r="BD165" s="172">
        <v>0</v>
      </c>
      <c r="BE165" s="172">
        <v>0</v>
      </c>
      <c r="BF165" s="172">
        <v>0</v>
      </c>
      <c r="BG165" s="172">
        <v>0</v>
      </c>
      <c r="BH165" s="174">
        <v>0</v>
      </c>
      <c r="BI165" s="174">
        <v>0</v>
      </c>
      <c r="BJ165" s="174">
        <v>0</v>
      </c>
      <c r="BK165" s="174">
        <v>0</v>
      </c>
      <c r="BL165" s="174">
        <v>0</v>
      </c>
      <c r="BM165" s="174">
        <v>0</v>
      </c>
      <c r="BN165" s="174">
        <v>0</v>
      </c>
      <c r="BO165" s="174">
        <v>0</v>
      </c>
      <c r="BP165" s="174">
        <v>0</v>
      </c>
      <c r="BQ165" s="174">
        <v>0</v>
      </c>
      <c r="BR165" s="174">
        <v>0</v>
      </c>
      <c r="BS165" s="174">
        <v>0</v>
      </c>
      <c r="BT165" s="174">
        <v>0</v>
      </c>
      <c r="BU165" s="174">
        <v>0</v>
      </c>
      <c r="BV165" s="174">
        <v>0</v>
      </c>
      <c r="BW165" s="174">
        <v>0</v>
      </c>
      <c r="BX165" s="174">
        <v>0</v>
      </c>
      <c r="BY165" s="174">
        <v>0</v>
      </c>
      <c r="BZ165" s="174">
        <v>0</v>
      </c>
      <c r="CA165" s="177">
        <v>0</v>
      </c>
      <c r="CB165" s="72">
        <v>0</v>
      </c>
      <c r="CC165" s="176">
        <v>0</v>
      </c>
      <c r="CD165" s="176">
        <v>0</v>
      </c>
      <c r="CE165" s="176">
        <v>0</v>
      </c>
      <c r="CF165" s="176">
        <v>0</v>
      </c>
      <c r="CG165" s="177">
        <v>0</v>
      </c>
      <c r="CH165" s="176">
        <v>0</v>
      </c>
      <c r="CI165" s="177">
        <v>0</v>
      </c>
      <c r="CJ165" s="177">
        <v>0</v>
      </c>
      <c r="CK165" s="177">
        <v>0</v>
      </c>
      <c r="CL165" s="176">
        <v>0</v>
      </c>
      <c r="CM165" s="176">
        <v>0</v>
      </c>
      <c r="CN165" s="176">
        <v>0</v>
      </c>
      <c r="CO165" s="176">
        <v>0</v>
      </c>
      <c r="CP165" s="177">
        <v>0</v>
      </c>
      <c r="CQ165" s="176">
        <v>0</v>
      </c>
      <c r="CR165" s="176">
        <v>0</v>
      </c>
      <c r="CS165" s="176">
        <v>0</v>
      </c>
    </row>
    <row r="166" spans="1:97" x14ac:dyDescent="0.25">
      <c r="A166" t="s">
        <v>90</v>
      </c>
      <c r="B166" s="168">
        <v>0</v>
      </c>
      <c r="C166" s="170">
        <v>0</v>
      </c>
      <c r="D166" s="169">
        <v>0</v>
      </c>
      <c r="E166" s="170">
        <v>0</v>
      </c>
      <c r="F166" s="169">
        <v>0</v>
      </c>
      <c r="G166" s="170">
        <v>0</v>
      </c>
      <c r="H166" s="170">
        <v>0</v>
      </c>
      <c r="I166" s="170">
        <v>0</v>
      </c>
      <c r="J166" s="170">
        <v>0</v>
      </c>
      <c r="K166" s="170">
        <v>0</v>
      </c>
      <c r="L166" s="170">
        <v>0</v>
      </c>
      <c r="M166" s="170">
        <v>0</v>
      </c>
      <c r="N166" s="170">
        <v>0</v>
      </c>
      <c r="O166" s="170">
        <v>0</v>
      </c>
      <c r="P166" s="169">
        <v>0</v>
      </c>
      <c r="Q166" s="169">
        <v>0</v>
      </c>
      <c r="R166" s="169">
        <v>0</v>
      </c>
      <c r="S166" s="170">
        <v>0</v>
      </c>
      <c r="T166" s="170">
        <v>0</v>
      </c>
      <c r="U166" s="171">
        <v>0</v>
      </c>
      <c r="V166" s="171">
        <v>0</v>
      </c>
      <c r="W166" s="171">
        <v>0</v>
      </c>
      <c r="X166" s="171">
        <v>0</v>
      </c>
      <c r="Y166" s="171">
        <v>0</v>
      </c>
      <c r="Z166" s="171">
        <v>0</v>
      </c>
      <c r="AA166" s="171">
        <v>0</v>
      </c>
      <c r="AB166" s="171">
        <v>0</v>
      </c>
      <c r="AC166" s="171">
        <v>0</v>
      </c>
      <c r="AD166" s="171">
        <v>0</v>
      </c>
      <c r="AE166" s="171">
        <v>0</v>
      </c>
      <c r="AF166" s="171">
        <v>0</v>
      </c>
      <c r="AG166" s="171">
        <v>0</v>
      </c>
      <c r="AH166" s="171">
        <v>0</v>
      </c>
      <c r="AI166" s="171">
        <v>0</v>
      </c>
      <c r="AJ166" s="171">
        <v>0</v>
      </c>
      <c r="AK166" s="171">
        <v>0</v>
      </c>
      <c r="AL166" s="172">
        <v>0</v>
      </c>
      <c r="AM166" s="172">
        <v>0</v>
      </c>
      <c r="AN166" s="172">
        <v>0</v>
      </c>
      <c r="AO166" s="172">
        <v>0</v>
      </c>
      <c r="AP166" s="172">
        <v>0</v>
      </c>
      <c r="AQ166" s="172">
        <v>0</v>
      </c>
      <c r="AR166" s="172">
        <v>0</v>
      </c>
      <c r="AS166" s="172">
        <v>0</v>
      </c>
      <c r="AT166" s="172">
        <v>0</v>
      </c>
      <c r="AU166" s="172">
        <v>0</v>
      </c>
      <c r="AV166" s="172">
        <v>0</v>
      </c>
      <c r="AW166" s="172">
        <v>0</v>
      </c>
      <c r="AX166" s="172">
        <v>0</v>
      </c>
      <c r="AY166" s="172">
        <v>0</v>
      </c>
      <c r="AZ166" s="172">
        <v>0</v>
      </c>
      <c r="BA166" s="172">
        <v>0</v>
      </c>
      <c r="BB166" s="172">
        <v>0</v>
      </c>
      <c r="BC166" s="172">
        <v>0</v>
      </c>
      <c r="BD166" s="172">
        <v>0</v>
      </c>
      <c r="BE166" s="172">
        <v>0</v>
      </c>
      <c r="BF166" s="172">
        <v>0</v>
      </c>
      <c r="BG166" s="172">
        <v>0</v>
      </c>
      <c r="BH166" s="174">
        <v>0</v>
      </c>
      <c r="BI166" s="174">
        <v>0</v>
      </c>
      <c r="BJ166" s="174">
        <v>0</v>
      </c>
      <c r="BK166" s="174">
        <v>0</v>
      </c>
      <c r="BL166" s="174">
        <v>0</v>
      </c>
      <c r="BM166" s="174">
        <v>0</v>
      </c>
      <c r="BN166" s="174">
        <v>0</v>
      </c>
      <c r="BO166" s="174">
        <v>0</v>
      </c>
      <c r="BP166" s="174">
        <v>0</v>
      </c>
      <c r="BQ166" s="174">
        <v>0</v>
      </c>
      <c r="BR166" s="174">
        <v>0</v>
      </c>
      <c r="BS166" s="174">
        <v>0</v>
      </c>
      <c r="BT166" s="174">
        <v>0</v>
      </c>
      <c r="BU166" s="174">
        <v>0</v>
      </c>
      <c r="BV166" s="174">
        <v>0</v>
      </c>
      <c r="BW166" s="174">
        <v>0</v>
      </c>
      <c r="BX166" s="174">
        <v>0</v>
      </c>
      <c r="BY166" s="174">
        <v>0</v>
      </c>
      <c r="BZ166" s="174">
        <v>0</v>
      </c>
      <c r="CA166" s="177">
        <v>0</v>
      </c>
      <c r="CB166" s="72">
        <v>0</v>
      </c>
      <c r="CC166" s="176">
        <v>0</v>
      </c>
      <c r="CD166" s="176">
        <v>0</v>
      </c>
      <c r="CE166" s="176">
        <v>0</v>
      </c>
      <c r="CF166" s="176">
        <v>0</v>
      </c>
      <c r="CG166" s="177">
        <v>0</v>
      </c>
      <c r="CH166" s="176">
        <v>0</v>
      </c>
      <c r="CI166" s="177">
        <v>0</v>
      </c>
      <c r="CJ166" s="177">
        <v>0</v>
      </c>
      <c r="CK166" s="177">
        <v>0</v>
      </c>
      <c r="CL166" s="176">
        <v>0</v>
      </c>
      <c r="CM166" s="176">
        <v>0</v>
      </c>
      <c r="CN166" s="176">
        <v>0</v>
      </c>
      <c r="CO166" s="176">
        <v>0</v>
      </c>
      <c r="CP166" s="177">
        <v>0</v>
      </c>
      <c r="CQ166" s="176">
        <v>0</v>
      </c>
      <c r="CR166" s="176">
        <v>0</v>
      </c>
      <c r="CS166" s="176">
        <v>0</v>
      </c>
    </row>
    <row r="167" spans="1:97" x14ac:dyDescent="0.25">
      <c r="A167" t="s">
        <v>459</v>
      </c>
      <c r="B167" s="168">
        <v>0</v>
      </c>
      <c r="C167" s="170">
        <v>0</v>
      </c>
      <c r="D167" s="169">
        <v>0</v>
      </c>
      <c r="E167" s="170">
        <v>0</v>
      </c>
      <c r="F167" s="169">
        <v>0</v>
      </c>
      <c r="G167" s="170">
        <v>0</v>
      </c>
      <c r="H167" s="170">
        <v>0</v>
      </c>
      <c r="I167" s="170">
        <v>0</v>
      </c>
      <c r="J167" s="170">
        <v>0</v>
      </c>
      <c r="K167" s="170">
        <v>0</v>
      </c>
      <c r="L167" s="170">
        <v>0</v>
      </c>
      <c r="M167" s="170">
        <v>0</v>
      </c>
      <c r="N167" s="170">
        <v>0</v>
      </c>
      <c r="O167" s="170">
        <v>0</v>
      </c>
      <c r="P167" s="169">
        <v>0</v>
      </c>
      <c r="Q167" s="169">
        <v>0</v>
      </c>
      <c r="R167" s="169">
        <v>0</v>
      </c>
      <c r="S167" s="170">
        <v>0</v>
      </c>
      <c r="T167" s="170">
        <v>0</v>
      </c>
      <c r="U167" s="171">
        <v>0</v>
      </c>
      <c r="V167" s="171">
        <v>0</v>
      </c>
      <c r="W167" s="171">
        <v>0</v>
      </c>
      <c r="X167" s="171">
        <v>0</v>
      </c>
      <c r="Y167" s="171">
        <v>0</v>
      </c>
      <c r="Z167" s="171">
        <v>0</v>
      </c>
      <c r="AA167" s="171">
        <v>0</v>
      </c>
      <c r="AB167" s="171">
        <v>0</v>
      </c>
      <c r="AC167" s="171">
        <v>0</v>
      </c>
      <c r="AD167" s="171">
        <v>0</v>
      </c>
      <c r="AE167" s="171">
        <v>0</v>
      </c>
      <c r="AF167" s="171">
        <v>0</v>
      </c>
      <c r="AG167" s="171">
        <v>0</v>
      </c>
      <c r="AH167" s="171">
        <v>0</v>
      </c>
      <c r="AI167" s="171">
        <v>0</v>
      </c>
      <c r="AJ167" s="171">
        <v>0</v>
      </c>
      <c r="AK167" s="171">
        <v>0</v>
      </c>
      <c r="AL167" s="172">
        <v>0</v>
      </c>
      <c r="AM167" s="172">
        <v>0</v>
      </c>
      <c r="AN167" s="172">
        <v>0</v>
      </c>
      <c r="AO167" s="172">
        <v>0</v>
      </c>
      <c r="AP167" s="172">
        <v>0</v>
      </c>
      <c r="AQ167" s="172">
        <v>0</v>
      </c>
      <c r="AR167" s="172">
        <v>0</v>
      </c>
      <c r="AS167" s="172">
        <v>0</v>
      </c>
      <c r="AT167" s="172">
        <v>0</v>
      </c>
      <c r="AU167" s="172">
        <v>0</v>
      </c>
      <c r="AV167" s="172">
        <v>0</v>
      </c>
      <c r="AW167" s="172">
        <v>0</v>
      </c>
      <c r="AX167" s="172">
        <v>0</v>
      </c>
      <c r="AY167" s="172">
        <v>0</v>
      </c>
      <c r="AZ167" s="172">
        <v>0</v>
      </c>
      <c r="BA167" s="172">
        <v>0</v>
      </c>
      <c r="BB167" s="172">
        <v>0</v>
      </c>
      <c r="BC167" s="172">
        <v>0</v>
      </c>
      <c r="BD167" s="172">
        <v>0</v>
      </c>
      <c r="BE167" s="172">
        <v>0</v>
      </c>
      <c r="BF167" s="172">
        <v>0</v>
      </c>
      <c r="BG167" s="172">
        <v>0</v>
      </c>
      <c r="BH167" s="174">
        <v>0</v>
      </c>
      <c r="BI167" s="174">
        <v>0</v>
      </c>
      <c r="BJ167" s="174">
        <v>0</v>
      </c>
      <c r="BK167" s="174">
        <v>0</v>
      </c>
      <c r="BL167" s="174">
        <v>0</v>
      </c>
      <c r="BM167" s="174">
        <v>0</v>
      </c>
      <c r="BN167" s="174">
        <v>0</v>
      </c>
      <c r="BO167" s="174">
        <v>0</v>
      </c>
      <c r="BP167" s="174">
        <v>0</v>
      </c>
      <c r="BQ167" s="174">
        <v>0</v>
      </c>
      <c r="BR167" s="174">
        <v>0</v>
      </c>
      <c r="BS167" s="174">
        <v>0</v>
      </c>
      <c r="BT167" s="174">
        <v>0</v>
      </c>
      <c r="BU167" s="174">
        <v>0</v>
      </c>
      <c r="BV167" s="174">
        <v>0</v>
      </c>
      <c r="BW167" s="174">
        <v>0</v>
      </c>
      <c r="BX167" s="174">
        <v>0</v>
      </c>
      <c r="BY167" s="174">
        <v>0</v>
      </c>
      <c r="BZ167" s="174">
        <v>0</v>
      </c>
      <c r="CA167" s="177">
        <v>0</v>
      </c>
      <c r="CB167" s="72">
        <v>0</v>
      </c>
      <c r="CC167" s="176">
        <v>0</v>
      </c>
      <c r="CD167" s="176">
        <v>0</v>
      </c>
      <c r="CE167" s="176">
        <v>0</v>
      </c>
      <c r="CF167" s="176">
        <v>0</v>
      </c>
      <c r="CG167" s="177">
        <v>0</v>
      </c>
      <c r="CH167" s="176">
        <v>0</v>
      </c>
      <c r="CI167" s="177">
        <v>0</v>
      </c>
      <c r="CJ167" s="177">
        <v>0</v>
      </c>
      <c r="CK167" s="177">
        <v>0</v>
      </c>
      <c r="CL167" s="176">
        <v>0</v>
      </c>
      <c r="CM167" s="176">
        <v>0</v>
      </c>
      <c r="CN167" s="176">
        <v>0</v>
      </c>
      <c r="CO167" s="176">
        <v>0</v>
      </c>
      <c r="CP167" s="177">
        <v>0</v>
      </c>
      <c r="CQ167" s="176">
        <v>0</v>
      </c>
      <c r="CR167" s="176">
        <v>0</v>
      </c>
      <c r="CS167" s="176">
        <v>0</v>
      </c>
    </row>
    <row r="168" spans="1:97" x14ac:dyDescent="0.25">
      <c r="A168" t="s">
        <v>460</v>
      </c>
      <c r="B168" s="168">
        <v>0</v>
      </c>
      <c r="C168" s="170">
        <v>0</v>
      </c>
      <c r="D168" s="169">
        <v>0</v>
      </c>
      <c r="E168" s="170">
        <v>0</v>
      </c>
      <c r="F168" s="169">
        <v>0</v>
      </c>
      <c r="G168" s="170">
        <v>0</v>
      </c>
      <c r="H168" s="170">
        <v>0</v>
      </c>
      <c r="I168" s="170">
        <v>0</v>
      </c>
      <c r="J168" s="170">
        <v>0</v>
      </c>
      <c r="K168" s="170">
        <v>0</v>
      </c>
      <c r="L168" s="170">
        <v>0</v>
      </c>
      <c r="M168" s="170">
        <v>0</v>
      </c>
      <c r="N168" s="170">
        <v>0</v>
      </c>
      <c r="O168" s="170">
        <v>0</v>
      </c>
      <c r="P168" s="169">
        <v>0</v>
      </c>
      <c r="Q168" s="169">
        <v>0</v>
      </c>
      <c r="R168" s="169">
        <v>0</v>
      </c>
      <c r="S168" s="170">
        <v>0</v>
      </c>
      <c r="T168" s="170">
        <v>0</v>
      </c>
      <c r="U168" s="171">
        <v>0</v>
      </c>
      <c r="V168" s="171">
        <v>0</v>
      </c>
      <c r="W168" s="171">
        <v>0</v>
      </c>
      <c r="X168" s="171">
        <v>0</v>
      </c>
      <c r="Y168" s="171">
        <v>0</v>
      </c>
      <c r="Z168" s="171">
        <v>0</v>
      </c>
      <c r="AA168" s="171">
        <v>0</v>
      </c>
      <c r="AB168" s="171">
        <v>0</v>
      </c>
      <c r="AC168" s="171">
        <v>0</v>
      </c>
      <c r="AD168" s="171">
        <v>0</v>
      </c>
      <c r="AE168" s="171">
        <v>0</v>
      </c>
      <c r="AF168" s="171">
        <v>0</v>
      </c>
      <c r="AG168" s="171">
        <v>0</v>
      </c>
      <c r="AH168" s="171">
        <v>0</v>
      </c>
      <c r="AI168" s="171">
        <v>0</v>
      </c>
      <c r="AJ168" s="171">
        <v>0</v>
      </c>
      <c r="AK168" s="171">
        <v>0</v>
      </c>
      <c r="AL168" s="172">
        <v>0</v>
      </c>
      <c r="AM168" s="172">
        <v>0</v>
      </c>
      <c r="AN168" s="172">
        <v>0</v>
      </c>
      <c r="AO168" s="172">
        <v>0</v>
      </c>
      <c r="AP168" s="172">
        <v>0</v>
      </c>
      <c r="AQ168" s="172">
        <v>0</v>
      </c>
      <c r="AR168" s="172">
        <v>0</v>
      </c>
      <c r="AS168" s="172">
        <v>0</v>
      </c>
      <c r="AT168" s="172">
        <v>0</v>
      </c>
      <c r="AU168" s="172">
        <v>0</v>
      </c>
      <c r="AV168" s="172">
        <v>0</v>
      </c>
      <c r="AW168" s="172">
        <v>0</v>
      </c>
      <c r="AX168" s="172">
        <v>0</v>
      </c>
      <c r="AY168" s="172">
        <v>0</v>
      </c>
      <c r="AZ168" s="172">
        <v>0</v>
      </c>
      <c r="BA168" s="172">
        <v>0</v>
      </c>
      <c r="BB168" s="172">
        <v>0</v>
      </c>
      <c r="BC168" s="172">
        <v>0</v>
      </c>
      <c r="BD168" s="172">
        <v>0</v>
      </c>
      <c r="BE168" s="172">
        <v>0</v>
      </c>
      <c r="BF168" s="172">
        <v>0</v>
      </c>
      <c r="BG168" s="172">
        <v>0</v>
      </c>
      <c r="BH168" s="174">
        <v>0</v>
      </c>
      <c r="BI168" s="174">
        <v>0</v>
      </c>
      <c r="BJ168" s="174">
        <v>0</v>
      </c>
      <c r="BK168" s="174">
        <v>0</v>
      </c>
      <c r="BL168" s="174">
        <v>0</v>
      </c>
      <c r="BM168" s="174">
        <v>0</v>
      </c>
      <c r="BN168" s="174">
        <v>0</v>
      </c>
      <c r="BO168" s="174">
        <v>0</v>
      </c>
      <c r="BP168" s="174">
        <v>0</v>
      </c>
      <c r="BQ168" s="174">
        <v>0</v>
      </c>
      <c r="BR168" s="174">
        <v>0</v>
      </c>
      <c r="BS168" s="174">
        <v>0</v>
      </c>
      <c r="BT168" s="174">
        <v>0</v>
      </c>
      <c r="BU168" s="174">
        <v>0</v>
      </c>
      <c r="BV168" s="174">
        <v>0</v>
      </c>
      <c r="BW168" s="174">
        <v>0</v>
      </c>
      <c r="BX168" s="174">
        <v>0</v>
      </c>
      <c r="BY168" s="174">
        <v>0</v>
      </c>
      <c r="BZ168" s="174">
        <v>0</v>
      </c>
      <c r="CA168" s="177">
        <v>0</v>
      </c>
      <c r="CB168" s="72">
        <v>0</v>
      </c>
      <c r="CC168" s="176">
        <v>0</v>
      </c>
      <c r="CD168" s="176">
        <v>0</v>
      </c>
      <c r="CE168" s="176">
        <v>0</v>
      </c>
      <c r="CF168" s="176">
        <v>0</v>
      </c>
      <c r="CG168" s="177">
        <v>0</v>
      </c>
      <c r="CH168" s="176">
        <v>0</v>
      </c>
      <c r="CI168" s="177">
        <v>0</v>
      </c>
      <c r="CJ168" s="177">
        <v>0</v>
      </c>
      <c r="CK168" s="177">
        <v>0</v>
      </c>
      <c r="CL168" s="176">
        <v>0</v>
      </c>
      <c r="CM168" s="176">
        <v>0</v>
      </c>
      <c r="CN168" s="176">
        <v>0</v>
      </c>
      <c r="CO168" s="176">
        <v>0</v>
      </c>
      <c r="CP168" s="177">
        <v>0</v>
      </c>
      <c r="CQ168" s="176">
        <v>0</v>
      </c>
      <c r="CR168" s="176">
        <v>0</v>
      </c>
      <c r="CS168" s="176">
        <v>0</v>
      </c>
    </row>
    <row r="169" spans="1:97" x14ac:dyDescent="0.25">
      <c r="A169" t="s">
        <v>461</v>
      </c>
      <c r="B169" s="168">
        <v>0</v>
      </c>
      <c r="C169" s="170">
        <v>0</v>
      </c>
      <c r="D169" s="169">
        <v>0</v>
      </c>
      <c r="E169" s="170">
        <v>0</v>
      </c>
      <c r="F169" s="169">
        <v>0</v>
      </c>
      <c r="G169" s="170">
        <v>0</v>
      </c>
      <c r="H169" s="170">
        <v>0</v>
      </c>
      <c r="I169" s="170">
        <v>0</v>
      </c>
      <c r="J169" s="170">
        <v>0</v>
      </c>
      <c r="K169" s="170">
        <v>0</v>
      </c>
      <c r="L169" s="170">
        <v>0</v>
      </c>
      <c r="M169" s="170">
        <v>0</v>
      </c>
      <c r="N169" s="170">
        <v>0</v>
      </c>
      <c r="O169" s="170">
        <v>0</v>
      </c>
      <c r="P169" s="169">
        <v>0</v>
      </c>
      <c r="Q169" s="169">
        <v>0</v>
      </c>
      <c r="R169" s="169">
        <v>0</v>
      </c>
      <c r="S169" s="170">
        <v>0</v>
      </c>
      <c r="T169" s="170">
        <v>0</v>
      </c>
      <c r="U169" s="171">
        <v>0</v>
      </c>
      <c r="V169" s="171">
        <v>0</v>
      </c>
      <c r="W169" s="171">
        <v>0</v>
      </c>
      <c r="X169" s="171">
        <v>0</v>
      </c>
      <c r="Y169" s="171">
        <v>0</v>
      </c>
      <c r="Z169" s="171">
        <v>0</v>
      </c>
      <c r="AA169" s="171">
        <v>0</v>
      </c>
      <c r="AB169" s="171">
        <v>0</v>
      </c>
      <c r="AC169" s="171">
        <v>0</v>
      </c>
      <c r="AD169" s="171">
        <v>0</v>
      </c>
      <c r="AE169" s="171">
        <v>0</v>
      </c>
      <c r="AF169" s="171">
        <v>0</v>
      </c>
      <c r="AG169" s="171">
        <v>0</v>
      </c>
      <c r="AH169" s="171">
        <v>0</v>
      </c>
      <c r="AI169" s="171">
        <v>0</v>
      </c>
      <c r="AJ169" s="171">
        <v>0</v>
      </c>
      <c r="AK169" s="171">
        <v>0</v>
      </c>
      <c r="AL169" s="172">
        <v>0</v>
      </c>
      <c r="AM169" s="172">
        <v>0</v>
      </c>
      <c r="AN169" s="172">
        <v>0</v>
      </c>
      <c r="AO169" s="172">
        <v>0</v>
      </c>
      <c r="AP169" s="172">
        <v>0</v>
      </c>
      <c r="AQ169" s="172">
        <v>0</v>
      </c>
      <c r="AR169" s="172">
        <v>0</v>
      </c>
      <c r="AS169" s="172">
        <v>0</v>
      </c>
      <c r="AT169" s="172">
        <v>0</v>
      </c>
      <c r="AU169" s="172">
        <v>0</v>
      </c>
      <c r="AV169" s="172">
        <v>0</v>
      </c>
      <c r="AW169" s="172">
        <v>0</v>
      </c>
      <c r="AX169" s="172">
        <v>0</v>
      </c>
      <c r="AY169" s="172">
        <v>0</v>
      </c>
      <c r="AZ169" s="172">
        <v>0</v>
      </c>
      <c r="BA169" s="172">
        <v>0</v>
      </c>
      <c r="BB169" s="172">
        <v>0</v>
      </c>
      <c r="BC169" s="172">
        <v>0</v>
      </c>
      <c r="BD169" s="172">
        <v>0</v>
      </c>
      <c r="BE169" s="172">
        <v>0</v>
      </c>
      <c r="BF169" s="172">
        <v>0</v>
      </c>
      <c r="BG169" s="172">
        <v>0</v>
      </c>
      <c r="BH169" s="174">
        <v>0</v>
      </c>
      <c r="BI169" s="174">
        <v>0</v>
      </c>
      <c r="BJ169" s="174">
        <v>0</v>
      </c>
      <c r="BK169" s="174">
        <v>0</v>
      </c>
      <c r="BL169" s="174">
        <v>0</v>
      </c>
      <c r="BM169" s="174">
        <v>0</v>
      </c>
      <c r="BN169" s="174">
        <v>0</v>
      </c>
      <c r="BO169" s="174">
        <v>0</v>
      </c>
      <c r="BP169" s="174">
        <v>0</v>
      </c>
      <c r="BQ169" s="174">
        <v>0</v>
      </c>
      <c r="BR169" s="174">
        <v>0</v>
      </c>
      <c r="BS169" s="174">
        <v>0</v>
      </c>
      <c r="BT169" s="174">
        <v>0</v>
      </c>
      <c r="BU169" s="174">
        <v>0</v>
      </c>
      <c r="BV169" s="174">
        <v>0</v>
      </c>
      <c r="BW169" s="174">
        <v>0</v>
      </c>
      <c r="BX169" s="174">
        <v>0</v>
      </c>
      <c r="BY169" s="174">
        <v>0</v>
      </c>
      <c r="BZ169" s="174">
        <v>0</v>
      </c>
      <c r="CA169" s="177">
        <v>0</v>
      </c>
      <c r="CB169" s="72">
        <v>0</v>
      </c>
      <c r="CC169" s="176">
        <v>0</v>
      </c>
      <c r="CD169" s="176">
        <v>0</v>
      </c>
      <c r="CE169" s="176">
        <v>0</v>
      </c>
      <c r="CF169" s="176">
        <v>0</v>
      </c>
      <c r="CG169" s="177">
        <v>0</v>
      </c>
      <c r="CH169" s="176">
        <v>0</v>
      </c>
      <c r="CI169" s="177">
        <v>0</v>
      </c>
      <c r="CJ169" s="177">
        <v>0</v>
      </c>
      <c r="CK169" s="177">
        <v>0</v>
      </c>
      <c r="CL169" s="176">
        <v>0</v>
      </c>
      <c r="CM169" s="176">
        <v>0</v>
      </c>
      <c r="CN169" s="176">
        <v>0</v>
      </c>
      <c r="CO169" s="176">
        <v>0</v>
      </c>
      <c r="CP169" s="177">
        <v>0</v>
      </c>
      <c r="CQ169" s="176">
        <v>0</v>
      </c>
      <c r="CR169" s="176">
        <v>0</v>
      </c>
      <c r="CS169" s="176">
        <v>0</v>
      </c>
    </row>
    <row r="170" spans="1:97" x14ac:dyDescent="0.25">
      <c r="A170" t="s">
        <v>462</v>
      </c>
      <c r="B170" s="168">
        <v>0</v>
      </c>
      <c r="C170" s="170">
        <v>0</v>
      </c>
      <c r="D170" s="169">
        <v>0</v>
      </c>
      <c r="E170" s="170">
        <v>0</v>
      </c>
      <c r="F170" s="169">
        <v>0</v>
      </c>
      <c r="G170" s="170">
        <v>0</v>
      </c>
      <c r="H170" s="170">
        <v>0</v>
      </c>
      <c r="I170" s="170">
        <v>0</v>
      </c>
      <c r="J170" s="170">
        <v>0</v>
      </c>
      <c r="K170" s="170">
        <v>0</v>
      </c>
      <c r="L170" s="170">
        <v>0</v>
      </c>
      <c r="M170" s="170">
        <v>0</v>
      </c>
      <c r="N170" s="170">
        <v>0</v>
      </c>
      <c r="O170" s="170">
        <v>0</v>
      </c>
      <c r="P170" s="169">
        <v>0</v>
      </c>
      <c r="Q170" s="169">
        <v>0</v>
      </c>
      <c r="R170" s="169">
        <v>0</v>
      </c>
      <c r="S170" s="170">
        <v>0</v>
      </c>
      <c r="T170" s="170">
        <v>0</v>
      </c>
      <c r="U170" s="171">
        <v>0</v>
      </c>
      <c r="V170" s="171">
        <v>0</v>
      </c>
      <c r="W170" s="171">
        <v>0</v>
      </c>
      <c r="X170" s="171">
        <v>0</v>
      </c>
      <c r="Y170" s="171">
        <v>0</v>
      </c>
      <c r="Z170" s="171">
        <v>0</v>
      </c>
      <c r="AA170" s="171">
        <v>0</v>
      </c>
      <c r="AB170" s="171">
        <v>0</v>
      </c>
      <c r="AC170" s="171">
        <v>0</v>
      </c>
      <c r="AD170" s="171">
        <v>0</v>
      </c>
      <c r="AE170" s="171">
        <v>0</v>
      </c>
      <c r="AF170" s="171">
        <v>0</v>
      </c>
      <c r="AG170" s="171">
        <v>0</v>
      </c>
      <c r="AH170" s="171">
        <v>0</v>
      </c>
      <c r="AI170" s="171">
        <v>0</v>
      </c>
      <c r="AJ170" s="171">
        <v>0</v>
      </c>
      <c r="AK170" s="171">
        <v>0</v>
      </c>
      <c r="AL170" s="172">
        <v>0</v>
      </c>
      <c r="AM170" s="172">
        <v>0</v>
      </c>
      <c r="AN170" s="172">
        <v>0</v>
      </c>
      <c r="AO170" s="172">
        <v>0</v>
      </c>
      <c r="AP170" s="172">
        <v>0</v>
      </c>
      <c r="AQ170" s="172">
        <v>0</v>
      </c>
      <c r="AR170" s="172">
        <v>0</v>
      </c>
      <c r="AS170" s="172">
        <v>0</v>
      </c>
      <c r="AT170" s="172">
        <v>0</v>
      </c>
      <c r="AU170" s="172">
        <v>0</v>
      </c>
      <c r="AV170" s="172">
        <v>0</v>
      </c>
      <c r="AW170" s="172">
        <v>0</v>
      </c>
      <c r="AX170" s="172">
        <v>0</v>
      </c>
      <c r="AY170" s="172">
        <v>0</v>
      </c>
      <c r="AZ170" s="172">
        <v>0</v>
      </c>
      <c r="BA170" s="172">
        <v>0</v>
      </c>
      <c r="BB170" s="172">
        <v>0</v>
      </c>
      <c r="BC170" s="172">
        <v>0</v>
      </c>
      <c r="BD170" s="172">
        <v>0</v>
      </c>
      <c r="BE170" s="172">
        <v>0</v>
      </c>
      <c r="BF170" s="172">
        <v>0</v>
      </c>
      <c r="BG170" s="172">
        <v>0</v>
      </c>
      <c r="BH170" s="174">
        <v>0</v>
      </c>
      <c r="BI170" s="174">
        <v>0</v>
      </c>
      <c r="BJ170" s="174">
        <v>0</v>
      </c>
      <c r="BK170" s="174">
        <v>0</v>
      </c>
      <c r="BL170" s="174">
        <v>0</v>
      </c>
      <c r="BM170" s="174">
        <v>0</v>
      </c>
      <c r="BN170" s="174">
        <v>0</v>
      </c>
      <c r="BO170" s="174">
        <v>0</v>
      </c>
      <c r="BP170" s="174">
        <v>0</v>
      </c>
      <c r="BQ170" s="174">
        <v>0</v>
      </c>
      <c r="BR170" s="174">
        <v>0</v>
      </c>
      <c r="BS170" s="174">
        <v>0</v>
      </c>
      <c r="BT170" s="174">
        <v>0</v>
      </c>
      <c r="BU170" s="174">
        <v>0</v>
      </c>
      <c r="BV170" s="174">
        <v>0</v>
      </c>
      <c r="BW170" s="174">
        <v>0</v>
      </c>
      <c r="BX170" s="174">
        <v>0</v>
      </c>
      <c r="BY170" s="174">
        <v>0</v>
      </c>
      <c r="BZ170" s="174">
        <v>0</v>
      </c>
      <c r="CA170" s="177">
        <v>0</v>
      </c>
      <c r="CB170" s="72">
        <v>0</v>
      </c>
      <c r="CC170" s="176">
        <v>0</v>
      </c>
      <c r="CD170" s="176">
        <v>0</v>
      </c>
      <c r="CE170" s="176">
        <v>0</v>
      </c>
      <c r="CF170" s="176">
        <v>0</v>
      </c>
      <c r="CG170" s="177">
        <v>0</v>
      </c>
      <c r="CH170" s="176">
        <v>0</v>
      </c>
      <c r="CI170" s="177">
        <v>0</v>
      </c>
      <c r="CJ170" s="177">
        <v>0</v>
      </c>
      <c r="CK170" s="177">
        <v>0</v>
      </c>
      <c r="CL170" s="176">
        <v>0</v>
      </c>
      <c r="CM170" s="176">
        <v>0</v>
      </c>
      <c r="CN170" s="176">
        <v>0</v>
      </c>
      <c r="CO170" s="176">
        <v>0</v>
      </c>
      <c r="CP170" s="177">
        <v>0</v>
      </c>
      <c r="CQ170" s="176">
        <v>0</v>
      </c>
      <c r="CR170" s="176">
        <v>0</v>
      </c>
      <c r="CS170" s="176">
        <v>0</v>
      </c>
    </row>
    <row r="171" spans="1:97" x14ac:dyDescent="0.25">
      <c r="A171" t="s">
        <v>463</v>
      </c>
      <c r="B171" s="168">
        <v>0</v>
      </c>
      <c r="C171" s="170">
        <v>0</v>
      </c>
      <c r="D171" s="169">
        <v>0</v>
      </c>
      <c r="E171" s="170">
        <v>0</v>
      </c>
      <c r="F171" s="169">
        <v>0</v>
      </c>
      <c r="G171" s="170">
        <v>0</v>
      </c>
      <c r="H171" s="170">
        <v>0</v>
      </c>
      <c r="I171" s="170">
        <v>0</v>
      </c>
      <c r="J171" s="170">
        <v>0</v>
      </c>
      <c r="K171" s="170">
        <v>0</v>
      </c>
      <c r="L171" s="170">
        <v>0</v>
      </c>
      <c r="M171" s="170">
        <v>0</v>
      </c>
      <c r="N171" s="170">
        <v>0</v>
      </c>
      <c r="O171" s="170">
        <v>0</v>
      </c>
      <c r="P171" s="169">
        <v>0</v>
      </c>
      <c r="Q171" s="169">
        <v>0</v>
      </c>
      <c r="R171" s="169">
        <v>0</v>
      </c>
      <c r="S171" s="170">
        <v>0</v>
      </c>
      <c r="T171" s="170">
        <v>0</v>
      </c>
      <c r="U171" s="171">
        <v>0</v>
      </c>
      <c r="V171" s="171">
        <v>0</v>
      </c>
      <c r="W171" s="171">
        <v>0</v>
      </c>
      <c r="X171" s="171">
        <v>0</v>
      </c>
      <c r="Y171" s="171">
        <v>0</v>
      </c>
      <c r="Z171" s="171">
        <v>0</v>
      </c>
      <c r="AA171" s="171">
        <v>0</v>
      </c>
      <c r="AB171" s="171">
        <v>0</v>
      </c>
      <c r="AC171" s="171">
        <v>0</v>
      </c>
      <c r="AD171" s="171">
        <v>0</v>
      </c>
      <c r="AE171" s="171">
        <v>0</v>
      </c>
      <c r="AF171" s="171">
        <v>0</v>
      </c>
      <c r="AG171" s="171">
        <v>0</v>
      </c>
      <c r="AH171" s="171">
        <v>0</v>
      </c>
      <c r="AI171" s="171">
        <v>0</v>
      </c>
      <c r="AJ171" s="171">
        <v>0</v>
      </c>
      <c r="AK171" s="171">
        <v>0</v>
      </c>
      <c r="AL171" s="172">
        <v>0</v>
      </c>
      <c r="AM171" s="172">
        <v>0</v>
      </c>
      <c r="AN171" s="172">
        <v>0</v>
      </c>
      <c r="AO171" s="172">
        <v>0</v>
      </c>
      <c r="AP171" s="172">
        <v>0</v>
      </c>
      <c r="AQ171" s="172">
        <v>0</v>
      </c>
      <c r="AR171" s="172">
        <v>0</v>
      </c>
      <c r="AS171" s="172">
        <v>0</v>
      </c>
      <c r="AT171" s="172">
        <v>0</v>
      </c>
      <c r="AU171" s="172">
        <v>0</v>
      </c>
      <c r="AV171" s="172">
        <v>0</v>
      </c>
      <c r="AW171" s="172">
        <v>0</v>
      </c>
      <c r="AX171" s="172">
        <v>0</v>
      </c>
      <c r="AY171" s="172">
        <v>0</v>
      </c>
      <c r="AZ171" s="172">
        <v>0</v>
      </c>
      <c r="BA171" s="172">
        <v>0</v>
      </c>
      <c r="BB171" s="172">
        <v>0</v>
      </c>
      <c r="BC171" s="172">
        <v>0</v>
      </c>
      <c r="BD171" s="172">
        <v>0</v>
      </c>
      <c r="BE171" s="172">
        <v>0</v>
      </c>
      <c r="BF171" s="172">
        <v>0</v>
      </c>
      <c r="BG171" s="172">
        <v>0</v>
      </c>
      <c r="BH171" s="174">
        <v>0</v>
      </c>
      <c r="BI171" s="174">
        <v>0</v>
      </c>
      <c r="BJ171" s="174">
        <v>0</v>
      </c>
      <c r="BK171" s="174">
        <v>0</v>
      </c>
      <c r="BL171" s="174">
        <v>0</v>
      </c>
      <c r="BM171" s="174">
        <v>0</v>
      </c>
      <c r="BN171" s="174">
        <v>0</v>
      </c>
      <c r="BO171" s="174">
        <v>0</v>
      </c>
      <c r="BP171" s="174">
        <v>0</v>
      </c>
      <c r="BQ171" s="174">
        <v>0</v>
      </c>
      <c r="BR171" s="174">
        <v>0</v>
      </c>
      <c r="BS171" s="174">
        <v>0</v>
      </c>
      <c r="BT171" s="174">
        <v>0</v>
      </c>
      <c r="BU171" s="174">
        <v>0</v>
      </c>
      <c r="BV171" s="174">
        <v>0</v>
      </c>
      <c r="BW171" s="174">
        <v>0</v>
      </c>
      <c r="BX171" s="174">
        <v>0</v>
      </c>
      <c r="BY171" s="174">
        <v>0</v>
      </c>
      <c r="BZ171" s="174">
        <v>0</v>
      </c>
      <c r="CA171" s="177">
        <v>0</v>
      </c>
      <c r="CB171" s="72">
        <v>0</v>
      </c>
      <c r="CC171" s="176">
        <v>0</v>
      </c>
      <c r="CD171" s="176">
        <v>0</v>
      </c>
      <c r="CE171" s="176">
        <v>0</v>
      </c>
      <c r="CF171" s="176">
        <v>0</v>
      </c>
      <c r="CG171" s="177">
        <v>0</v>
      </c>
      <c r="CH171" s="176">
        <v>0</v>
      </c>
      <c r="CI171" s="177">
        <v>0</v>
      </c>
      <c r="CJ171" s="177">
        <v>0</v>
      </c>
      <c r="CK171" s="177">
        <v>0</v>
      </c>
      <c r="CL171" s="176">
        <v>0</v>
      </c>
      <c r="CM171" s="176">
        <v>0</v>
      </c>
      <c r="CN171" s="176">
        <v>0</v>
      </c>
      <c r="CO171" s="176">
        <v>0</v>
      </c>
      <c r="CP171" s="177">
        <v>0</v>
      </c>
      <c r="CQ171" s="176">
        <v>0</v>
      </c>
      <c r="CR171" s="176">
        <v>0</v>
      </c>
      <c r="CS171" s="176">
        <v>0</v>
      </c>
    </row>
    <row r="172" spans="1:97" x14ac:dyDescent="0.25">
      <c r="A172" t="s">
        <v>464</v>
      </c>
      <c r="B172" s="168">
        <v>0</v>
      </c>
      <c r="C172" s="170">
        <v>0</v>
      </c>
      <c r="D172" s="169">
        <v>0</v>
      </c>
      <c r="E172" s="170">
        <v>0</v>
      </c>
      <c r="F172" s="169">
        <v>0</v>
      </c>
      <c r="G172" s="170">
        <v>0</v>
      </c>
      <c r="H172" s="170">
        <v>0</v>
      </c>
      <c r="I172" s="170">
        <v>0</v>
      </c>
      <c r="J172" s="170">
        <v>0</v>
      </c>
      <c r="K172" s="170">
        <v>0</v>
      </c>
      <c r="L172" s="170">
        <v>0</v>
      </c>
      <c r="M172" s="170">
        <v>0</v>
      </c>
      <c r="N172" s="170">
        <v>0</v>
      </c>
      <c r="O172" s="170">
        <v>0</v>
      </c>
      <c r="P172" s="169">
        <v>0</v>
      </c>
      <c r="Q172" s="169">
        <v>0</v>
      </c>
      <c r="R172" s="169">
        <v>0</v>
      </c>
      <c r="S172" s="170">
        <v>0</v>
      </c>
      <c r="T172" s="170">
        <v>0</v>
      </c>
      <c r="U172" s="171">
        <v>0</v>
      </c>
      <c r="V172" s="171">
        <v>0</v>
      </c>
      <c r="W172" s="171">
        <v>0</v>
      </c>
      <c r="X172" s="171">
        <v>0</v>
      </c>
      <c r="Y172" s="171">
        <v>0</v>
      </c>
      <c r="Z172" s="171">
        <v>0</v>
      </c>
      <c r="AA172" s="171">
        <v>0</v>
      </c>
      <c r="AB172" s="171">
        <v>0</v>
      </c>
      <c r="AC172" s="171">
        <v>0</v>
      </c>
      <c r="AD172" s="171">
        <v>0</v>
      </c>
      <c r="AE172" s="171">
        <v>0</v>
      </c>
      <c r="AF172" s="171">
        <v>0</v>
      </c>
      <c r="AG172" s="171">
        <v>0</v>
      </c>
      <c r="AH172" s="171">
        <v>0</v>
      </c>
      <c r="AI172" s="171">
        <v>0</v>
      </c>
      <c r="AJ172" s="171">
        <v>0</v>
      </c>
      <c r="AK172" s="171">
        <v>0</v>
      </c>
      <c r="AL172" s="172">
        <v>0</v>
      </c>
      <c r="AM172" s="172">
        <v>0</v>
      </c>
      <c r="AN172" s="172">
        <v>0</v>
      </c>
      <c r="AO172" s="172">
        <v>0</v>
      </c>
      <c r="AP172" s="172">
        <v>0</v>
      </c>
      <c r="AQ172" s="172">
        <v>0</v>
      </c>
      <c r="AR172" s="172">
        <v>0</v>
      </c>
      <c r="AS172" s="172">
        <v>0</v>
      </c>
      <c r="AT172" s="172">
        <v>0</v>
      </c>
      <c r="AU172" s="172">
        <v>0</v>
      </c>
      <c r="AV172" s="172">
        <v>0</v>
      </c>
      <c r="AW172" s="172">
        <v>0</v>
      </c>
      <c r="AX172" s="172">
        <v>0</v>
      </c>
      <c r="AY172" s="172">
        <v>0</v>
      </c>
      <c r="AZ172" s="172">
        <v>0</v>
      </c>
      <c r="BA172" s="172">
        <v>0</v>
      </c>
      <c r="BB172" s="172">
        <v>0</v>
      </c>
      <c r="BC172" s="172">
        <v>0</v>
      </c>
      <c r="BD172" s="172">
        <v>0</v>
      </c>
      <c r="BE172" s="172">
        <v>0</v>
      </c>
      <c r="BF172" s="172">
        <v>0</v>
      </c>
      <c r="BG172" s="172">
        <v>0</v>
      </c>
      <c r="BH172" s="174">
        <v>0</v>
      </c>
      <c r="BI172" s="174">
        <v>0</v>
      </c>
      <c r="BJ172" s="174">
        <v>0</v>
      </c>
      <c r="BK172" s="174">
        <v>0</v>
      </c>
      <c r="BL172" s="174">
        <v>0</v>
      </c>
      <c r="BM172" s="174">
        <v>0</v>
      </c>
      <c r="BN172" s="174">
        <v>0</v>
      </c>
      <c r="BO172" s="174">
        <v>0</v>
      </c>
      <c r="BP172" s="174">
        <v>0</v>
      </c>
      <c r="BQ172" s="174">
        <v>0</v>
      </c>
      <c r="BR172" s="174">
        <v>0</v>
      </c>
      <c r="BS172" s="174">
        <v>0</v>
      </c>
      <c r="BT172" s="174">
        <v>0</v>
      </c>
      <c r="BU172" s="174">
        <v>0</v>
      </c>
      <c r="BV172" s="174">
        <v>0</v>
      </c>
      <c r="BW172" s="174">
        <v>0</v>
      </c>
      <c r="BX172" s="174">
        <v>0</v>
      </c>
      <c r="BY172" s="174">
        <v>0</v>
      </c>
      <c r="BZ172" s="174">
        <v>0</v>
      </c>
      <c r="CA172" s="177">
        <v>0</v>
      </c>
      <c r="CB172" s="72">
        <v>0</v>
      </c>
      <c r="CC172" s="176">
        <v>0</v>
      </c>
      <c r="CD172" s="176">
        <v>0</v>
      </c>
      <c r="CE172" s="176">
        <v>0</v>
      </c>
      <c r="CF172" s="176">
        <v>0</v>
      </c>
      <c r="CG172" s="177">
        <v>0</v>
      </c>
      <c r="CH172" s="176">
        <v>0</v>
      </c>
      <c r="CI172" s="177">
        <v>0</v>
      </c>
      <c r="CJ172" s="177">
        <v>0</v>
      </c>
      <c r="CK172" s="177">
        <v>0</v>
      </c>
      <c r="CL172" s="176">
        <v>0</v>
      </c>
      <c r="CM172" s="176">
        <v>0</v>
      </c>
      <c r="CN172" s="176">
        <v>0</v>
      </c>
      <c r="CO172" s="176">
        <v>0</v>
      </c>
      <c r="CP172" s="177">
        <v>0</v>
      </c>
      <c r="CQ172" s="176">
        <v>0</v>
      </c>
      <c r="CR172" s="176">
        <v>0</v>
      </c>
      <c r="CS172" s="176">
        <v>0</v>
      </c>
    </row>
    <row r="173" spans="1:97" x14ac:dyDescent="0.25">
      <c r="A173" t="s">
        <v>465</v>
      </c>
      <c r="B173" s="168">
        <v>0</v>
      </c>
      <c r="C173" s="170">
        <v>0</v>
      </c>
      <c r="D173" s="169">
        <v>0</v>
      </c>
      <c r="E173" s="170">
        <v>0</v>
      </c>
      <c r="F173" s="169">
        <v>0</v>
      </c>
      <c r="G173" s="170">
        <v>0</v>
      </c>
      <c r="H173" s="170">
        <v>0</v>
      </c>
      <c r="I173" s="170">
        <v>0</v>
      </c>
      <c r="J173" s="170">
        <v>0</v>
      </c>
      <c r="K173" s="170">
        <v>0</v>
      </c>
      <c r="L173" s="170">
        <v>0</v>
      </c>
      <c r="M173" s="170">
        <v>0</v>
      </c>
      <c r="N173" s="170">
        <v>0</v>
      </c>
      <c r="O173" s="170">
        <v>0</v>
      </c>
      <c r="P173" s="169">
        <v>0</v>
      </c>
      <c r="Q173" s="169">
        <v>0</v>
      </c>
      <c r="R173" s="169">
        <v>0</v>
      </c>
      <c r="S173" s="170">
        <v>0</v>
      </c>
      <c r="T173" s="170">
        <v>0</v>
      </c>
      <c r="U173" s="171">
        <v>0</v>
      </c>
      <c r="V173" s="171">
        <v>0</v>
      </c>
      <c r="W173" s="171">
        <v>0</v>
      </c>
      <c r="X173" s="171">
        <v>0</v>
      </c>
      <c r="Y173" s="171">
        <v>0</v>
      </c>
      <c r="Z173" s="171">
        <v>0</v>
      </c>
      <c r="AA173" s="171">
        <v>0</v>
      </c>
      <c r="AB173" s="171">
        <v>0</v>
      </c>
      <c r="AC173" s="171">
        <v>0</v>
      </c>
      <c r="AD173" s="171">
        <v>0</v>
      </c>
      <c r="AE173" s="171">
        <v>0</v>
      </c>
      <c r="AF173" s="171">
        <v>0</v>
      </c>
      <c r="AG173" s="171">
        <v>0</v>
      </c>
      <c r="AH173" s="171">
        <v>0</v>
      </c>
      <c r="AI173" s="171">
        <v>0</v>
      </c>
      <c r="AJ173" s="171">
        <v>0</v>
      </c>
      <c r="AK173" s="171">
        <v>0</v>
      </c>
      <c r="AL173" s="172">
        <v>0</v>
      </c>
      <c r="AM173" s="172">
        <v>0</v>
      </c>
      <c r="AN173" s="172">
        <v>0</v>
      </c>
      <c r="AO173" s="172">
        <v>0</v>
      </c>
      <c r="AP173" s="172">
        <v>0</v>
      </c>
      <c r="AQ173" s="172">
        <v>0</v>
      </c>
      <c r="AR173" s="172">
        <v>0</v>
      </c>
      <c r="AS173" s="172">
        <v>0</v>
      </c>
      <c r="AT173" s="172">
        <v>0</v>
      </c>
      <c r="AU173" s="172">
        <v>0</v>
      </c>
      <c r="AV173" s="172">
        <v>0</v>
      </c>
      <c r="AW173" s="172">
        <v>0</v>
      </c>
      <c r="AX173" s="172">
        <v>0</v>
      </c>
      <c r="AY173" s="172">
        <v>0</v>
      </c>
      <c r="AZ173" s="172">
        <v>0</v>
      </c>
      <c r="BA173" s="172">
        <v>0</v>
      </c>
      <c r="BB173" s="172">
        <v>0</v>
      </c>
      <c r="BC173" s="172">
        <v>0</v>
      </c>
      <c r="BD173" s="172">
        <v>0</v>
      </c>
      <c r="BE173" s="172">
        <v>0</v>
      </c>
      <c r="BF173" s="172">
        <v>0</v>
      </c>
      <c r="BG173" s="172">
        <v>0</v>
      </c>
      <c r="BH173" s="174">
        <v>0</v>
      </c>
      <c r="BI173" s="174">
        <v>0</v>
      </c>
      <c r="BJ173" s="174">
        <v>0</v>
      </c>
      <c r="BK173" s="174">
        <v>0</v>
      </c>
      <c r="BL173" s="174">
        <v>0</v>
      </c>
      <c r="BM173" s="174">
        <v>0</v>
      </c>
      <c r="BN173" s="174">
        <v>0</v>
      </c>
      <c r="BO173" s="174">
        <v>0</v>
      </c>
      <c r="BP173" s="174">
        <v>0</v>
      </c>
      <c r="BQ173" s="174">
        <v>0</v>
      </c>
      <c r="BR173" s="174">
        <v>0</v>
      </c>
      <c r="BS173" s="174">
        <v>0</v>
      </c>
      <c r="BT173" s="174">
        <v>0</v>
      </c>
      <c r="BU173" s="174">
        <v>0</v>
      </c>
      <c r="BV173" s="174">
        <v>0</v>
      </c>
      <c r="BW173" s="174">
        <v>0</v>
      </c>
      <c r="BX173" s="174">
        <v>0</v>
      </c>
      <c r="BY173" s="174">
        <v>0</v>
      </c>
      <c r="BZ173" s="174">
        <v>0</v>
      </c>
      <c r="CA173" s="177">
        <v>0</v>
      </c>
      <c r="CB173" s="72">
        <v>0</v>
      </c>
      <c r="CC173" s="176">
        <v>0</v>
      </c>
      <c r="CD173" s="176">
        <v>0</v>
      </c>
      <c r="CE173" s="176">
        <v>0</v>
      </c>
      <c r="CF173" s="176">
        <v>0</v>
      </c>
      <c r="CG173" s="177">
        <v>0</v>
      </c>
      <c r="CH173" s="176">
        <v>0</v>
      </c>
      <c r="CI173" s="177">
        <v>0</v>
      </c>
      <c r="CJ173" s="177">
        <v>0</v>
      </c>
      <c r="CK173" s="177">
        <v>0</v>
      </c>
      <c r="CL173" s="176">
        <v>0</v>
      </c>
      <c r="CM173" s="176">
        <v>0</v>
      </c>
      <c r="CN173" s="176">
        <v>0</v>
      </c>
      <c r="CO173" s="176">
        <v>0</v>
      </c>
      <c r="CP173" s="177">
        <v>0</v>
      </c>
      <c r="CQ173" s="176">
        <v>0</v>
      </c>
      <c r="CR173" s="176">
        <v>0</v>
      </c>
      <c r="CS173" s="176">
        <v>0</v>
      </c>
    </row>
    <row r="174" spans="1:97" x14ac:dyDescent="0.25">
      <c r="A174" t="s">
        <v>425</v>
      </c>
      <c r="B174" s="168">
        <v>0</v>
      </c>
      <c r="C174" s="168">
        <v>0</v>
      </c>
      <c r="D174" s="168">
        <v>0</v>
      </c>
      <c r="E174" s="168">
        <v>0</v>
      </c>
      <c r="F174" s="168">
        <v>0</v>
      </c>
      <c r="G174" s="168">
        <v>0</v>
      </c>
      <c r="H174" s="168">
        <v>0</v>
      </c>
      <c r="I174" s="168">
        <v>0</v>
      </c>
      <c r="J174" s="168">
        <v>0</v>
      </c>
      <c r="K174" s="168">
        <v>0</v>
      </c>
      <c r="L174" s="168">
        <v>0</v>
      </c>
      <c r="M174" s="168">
        <v>0</v>
      </c>
      <c r="N174" s="168">
        <v>0</v>
      </c>
      <c r="O174" s="168">
        <v>0</v>
      </c>
      <c r="P174" s="168">
        <v>0</v>
      </c>
      <c r="Q174" s="168">
        <v>0</v>
      </c>
      <c r="R174" s="168">
        <v>0</v>
      </c>
      <c r="S174" s="168">
        <v>0</v>
      </c>
      <c r="T174" s="168">
        <v>0</v>
      </c>
      <c r="U174" s="171">
        <v>0</v>
      </c>
      <c r="V174" s="171">
        <v>0</v>
      </c>
      <c r="W174" s="171">
        <v>0</v>
      </c>
      <c r="X174" s="171">
        <v>0</v>
      </c>
      <c r="Y174" s="171">
        <v>0</v>
      </c>
      <c r="Z174" s="171">
        <v>0</v>
      </c>
      <c r="AA174" s="171">
        <v>0</v>
      </c>
      <c r="AB174" s="171">
        <v>0</v>
      </c>
      <c r="AC174" s="171">
        <v>0</v>
      </c>
      <c r="AD174" s="171">
        <v>0</v>
      </c>
      <c r="AE174" s="171">
        <v>0</v>
      </c>
      <c r="AF174" s="171">
        <v>0</v>
      </c>
      <c r="AG174" s="171">
        <v>0</v>
      </c>
      <c r="AH174" s="171">
        <v>0</v>
      </c>
      <c r="AI174" s="171">
        <v>0</v>
      </c>
      <c r="AJ174" s="171">
        <v>0</v>
      </c>
      <c r="AK174" s="171">
        <v>0</v>
      </c>
      <c r="AL174" s="172">
        <v>0</v>
      </c>
      <c r="AM174" s="172">
        <v>0</v>
      </c>
      <c r="AN174" s="172">
        <v>0</v>
      </c>
      <c r="AO174" s="172">
        <v>0</v>
      </c>
      <c r="AP174" s="172">
        <v>0</v>
      </c>
      <c r="AQ174" s="172">
        <v>0</v>
      </c>
      <c r="AR174" s="172">
        <f>6%+(char3Refine-1)*2%</f>
        <v>0.06</v>
      </c>
      <c r="AS174" s="172">
        <v>0</v>
      </c>
      <c r="AT174" s="172">
        <v>0</v>
      </c>
      <c r="AU174" s="172">
        <v>0</v>
      </c>
      <c r="AV174" s="172">
        <v>0</v>
      </c>
      <c r="AW174" s="172">
        <v>0</v>
      </c>
      <c r="AX174" s="172">
        <v>0</v>
      </c>
      <c r="AY174" s="172">
        <v>0</v>
      </c>
      <c r="AZ174" s="172">
        <v>0</v>
      </c>
      <c r="BA174" s="172">
        <v>0</v>
      </c>
      <c r="BB174" s="172">
        <v>0</v>
      </c>
      <c r="BC174" s="172">
        <v>0</v>
      </c>
      <c r="BD174" s="172">
        <v>0</v>
      </c>
      <c r="BE174" s="172">
        <v>0</v>
      </c>
      <c r="BF174" s="172">
        <v>0</v>
      </c>
      <c r="BG174" s="172">
        <v>0</v>
      </c>
      <c r="BH174" s="174">
        <v>0</v>
      </c>
      <c r="BI174" s="174">
        <v>0</v>
      </c>
      <c r="BJ174" s="174">
        <v>0</v>
      </c>
      <c r="BK174" s="174">
        <v>0</v>
      </c>
      <c r="BL174" s="174">
        <v>0</v>
      </c>
      <c r="BM174" s="174">
        <v>0</v>
      </c>
      <c r="BN174" s="174">
        <v>0</v>
      </c>
      <c r="BO174" s="174">
        <v>0</v>
      </c>
      <c r="BP174" s="174">
        <v>0</v>
      </c>
      <c r="BQ174" s="174">
        <v>0</v>
      </c>
      <c r="BR174" s="174">
        <v>0</v>
      </c>
      <c r="BS174" s="174">
        <v>0</v>
      </c>
      <c r="BT174" s="174">
        <v>0</v>
      </c>
      <c r="BU174" s="174">
        <v>0</v>
      </c>
      <c r="BV174" s="174">
        <v>0</v>
      </c>
      <c r="BW174" s="174">
        <v>0</v>
      </c>
      <c r="BX174" s="174">
        <v>0</v>
      </c>
      <c r="BY174" s="174">
        <v>0</v>
      </c>
      <c r="BZ174" s="174">
        <v>0</v>
      </c>
      <c r="CA174" s="177">
        <v>0</v>
      </c>
      <c r="CB174" s="74">
        <v>0</v>
      </c>
      <c r="CC174" s="177">
        <v>0</v>
      </c>
      <c r="CD174" s="177">
        <v>0</v>
      </c>
      <c r="CE174" s="177">
        <v>0</v>
      </c>
      <c r="CF174" s="177">
        <v>0</v>
      </c>
      <c r="CG174" s="177">
        <v>0</v>
      </c>
      <c r="CH174" s="177">
        <v>0</v>
      </c>
      <c r="CI174" s="177">
        <v>0</v>
      </c>
      <c r="CJ174" s="177">
        <v>0</v>
      </c>
      <c r="CK174" s="177">
        <v>0</v>
      </c>
      <c r="CL174" s="177">
        <v>0</v>
      </c>
      <c r="CM174" s="177">
        <v>0</v>
      </c>
      <c r="CN174" s="177">
        <v>0</v>
      </c>
      <c r="CO174" s="177">
        <v>0</v>
      </c>
      <c r="CP174" s="177">
        <v>0</v>
      </c>
      <c r="CQ174" s="177">
        <v>0</v>
      </c>
      <c r="CR174" s="177">
        <v>0</v>
      </c>
      <c r="CS174" s="177">
        <v>0</v>
      </c>
    </row>
    <row r="175" spans="1:97" x14ac:dyDescent="0.25">
      <c r="A175" t="s">
        <v>424</v>
      </c>
      <c r="B175" s="168">
        <v>0</v>
      </c>
      <c r="C175" s="168">
        <v>0</v>
      </c>
      <c r="D175" s="168">
        <v>0</v>
      </c>
      <c r="E175" s="168">
        <v>0</v>
      </c>
      <c r="F175" s="168">
        <v>0</v>
      </c>
      <c r="G175" s="168">
        <v>0</v>
      </c>
      <c r="H175" s="168">
        <v>0</v>
      </c>
      <c r="I175" s="168">
        <v>0</v>
      </c>
      <c r="J175" s="168">
        <v>0</v>
      </c>
      <c r="K175" s="168">
        <v>0</v>
      </c>
      <c r="L175" s="168">
        <v>0</v>
      </c>
      <c r="M175" s="168">
        <v>0</v>
      </c>
      <c r="N175" s="168">
        <v>0</v>
      </c>
      <c r="O175" s="168">
        <v>0</v>
      </c>
      <c r="P175" s="168">
        <v>0</v>
      </c>
      <c r="Q175" s="168">
        <v>0</v>
      </c>
      <c r="R175" s="168">
        <v>0</v>
      </c>
      <c r="S175" s="168">
        <v>0</v>
      </c>
      <c r="T175" s="168">
        <v>0</v>
      </c>
      <c r="U175" s="171">
        <v>0</v>
      </c>
      <c r="V175" s="171">
        <v>0</v>
      </c>
      <c r="W175" s="171">
        <v>0</v>
      </c>
      <c r="X175" s="171">
        <v>0</v>
      </c>
      <c r="Y175" s="171">
        <v>0</v>
      </c>
      <c r="Z175" s="171">
        <f>6%+(char3Refine-1)*1.5%</f>
        <v>0.06</v>
      </c>
      <c r="AA175" s="171">
        <v>0</v>
      </c>
      <c r="AB175" s="171">
        <v>0</v>
      </c>
      <c r="AC175" s="171">
        <v>0</v>
      </c>
      <c r="AD175" s="171">
        <v>0</v>
      </c>
      <c r="AE175" s="171">
        <v>0</v>
      </c>
      <c r="AF175" s="171">
        <v>0</v>
      </c>
      <c r="AG175" s="171">
        <v>0</v>
      </c>
      <c r="AH175" s="171">
        <v>0</v>
      </c>
      <c r="AI175" s="171">
        <v>0</v>
      </c>
      <c r="AJ175" s="171">
        <v>0</v>
      </c>
      <c r="AK175" s="171">
        <v>0</v>
      </c>
      <c r="AL175" s="172">
        <v>0</v>
      </c>
      <c r="AM175" s="172">
        <v>0</v>
      </c>
      <c r="AN175" s="172">
        <v>0</v>
      </c>
      <c r="AO175" s="172">
        <v>0</v>
      </c>
      <c r="AP175" s="172">
        <v>0</v>
      </c>
      <c r="AQ175" s="172">
        <v>0</v>
      </c>
      <c r="AR175" s="172">
        <v>0</v>
      </c>
      <c r="AS175" s="172">
        <v>0</v>
      </c>
      <c r="AT175" s="172">
        <v>0</v>
      </c>
      <c r="AU175" s="172">
        <v>0</v>
      </c>
      <c r="AV175" s="172">
        <v>0</v>
      </c>
      <c r="AW175" s="172">
        <v>0</v>
      </c>
      <c r="AX175" s="172">
        <v>0</v>
      </c>
      <c r="AY175" s="172">
        <v>0</v>
      </c>
      <c r="AZ175" s="172">
        <v>0</v>
      </c>
      <c r="BA175" s="172">
        <v>0</v>
      </c>
      <c r="BB175" s="172">
        <v>0</v>
      </c>
      <c r="BC175" s="172">
        <v>0</v>
      </c>
      <c r="BD175" s="172">
        <v>0</v>
      </c>
      <c r="BE175" s="172">
        <v>0</v>
      </c>
      <c r="BF175" s="172">
        <v>0</v>
      </c>
      <c r="BG175" s="172">
        <v>0</v>
      </c>
      <c r="BH175" s="174">
        <v>0</v>
      </c>
      <c r="BI175" s="174">
        <v>0</v>
      </c>
      <c r="BJ175" s="174">
        <v>0</v>
      </c>
      <c r="BK175" s="174">
        <v>0</v>
      </c>
      <c r="BL175" s="174">
        <v>0</v>
      </c>
      <c r="BM175" s="174">
        <v>0</v>
      </c>
      <c r="BN175" s="174">
        <v>0</v>
      </c>
      <c r="BO175" s="174">
        <v>0</v>
      </c>
      <c r="BP175" s="174">
        <v>0</v>
      </c>
      <c r="BQ175" s="174">
        <v>0</v>
      </c>
      <c r="BR175" s="174">
        <v>0</v>
      </c>
      <c r="BS175" s="174">
        <v>0</v>
      </c>
      <c r="BT175" s="174">
        <v>0</v>
      </c>
      <c r="BU175" s="174">
        <v>0</v>
      </c>
      <c r="BV175" s="174">
        <v>0</v>
      </c>
      <c r="BW175" s="174">
        <v>0</v>
      </c>
      <c r="BX175" s="174">
        <v>0</v>
      </c>
      <c r="BY175" s="174">
        <v>0</v>
      </c>
      <c r="BZ175" s="174">
        <v>0</v>
      </c>
      <c r="CA175" s="177">
        <v>0</v>
      </c>
      <c r="CB175" s="74">
        <v>0</v>
      </c>
      <c r="CC175" s="177">
        <v>0</v>
      </c>
      <c r="CD175" s="177">
        <v>0</v>
      </c>
      <c r="CE175" s="177">
        <v>0</v>
      </c>
      <c r="CF175" s="177">
        <v>0</v>
      </c>
      <c r="CG175" s="177">
        <v>0</v>
      </c>
      <c r="CH175" s="177">
        <v>0</v>
      </c>
      <c r="CI175" s="177">
        <v>0</v>
      </c>
      <c r="CJ175" s="177">
        <v>0</v>
      </c>
      <c r="CK175" s="177">
        <v>0</v>
      </c>
      <c r="CL175" s="177">
        <v>0</v>
      </c>
      <c r="CM175" s="177">
        <v>0</v>
      </c>
      <c r="CN175" s="177">
        <v>0</v>
      </c>
      <c r="CO175" s="177">
        <v>0</v>
      </c>
      <c r="CP175" s="177">
        <v>0</v>
      </c>
      <c r="CQ175" s="177">
        <v>0</v>
      </c>
      <c r="CR175" s="177">
        <v>0</v>
      </c>
      <c r="CS175" s="177">
        <v>0</v>
      </c>
    </row>
    <row r="176" spans="1:97" x14ac:dyDescent="0.25">
      <c r="A176" t="s">
        <v>426</v>
      </c>
      <c r="B176" s="168">
        <v>0</v>
      </c>
      <c r="C176" s="168">
        <v>0</v>
      </c>
      <c r="D176" s="168">
        <v>0</v>
      </c>
      <c r="E176" s="168">
        <v>0</v>
      </c>
      <c r="F176" s="168">
        <v>0</v>
      </c>
      <c r="G176" s="168">
        <v>0</v>
      </c>
      <c r="H176" s="168">
        <v>0</v>
      </c>
      <c r="I176" s="168">
        <v>0</v>
      </c>
      <c r="J176" s="168">
        <v>0</v>
      </c>
      <c r="K176" s="168">
        <v>0</v>
      </c>
      <c r="L176" s="168">
        <v>0</v>
      </c>
      <c r="M176" s="168">
        <v>0</v>
      </c>
      <c r="N176" s="168">
        <v>0</v>
      </c>
      <c r="O176" s="168">
        <v>0</v>
      </c>
      <c r="P176" s="168">
        <v>0</v>
      </c>
      <c r="Q176" s="168">
        <v>0</v>
      </c>
      <c r="R176" s="168">
        <v>0</v>
      </c>
      <c r="S176" s="168">
        <v>0</v>
      </c>
      <c r="T176" s="168">
        <v>0</v>
      </c>
      <c r="U176" s="171">
        <v>0</v>
      </c>
      <c r="V176" s="171">
        <v>0</v>
      </c>
      <c r="W176" s="171">
        <v>0</v>
      </c>
      <c r="X176" s="171">
        <v>0</v>
      </c>
      <c r="Y176" s="171">
        <v>0</v>
      </c>
      <c r="Z176" s="171">
        <v>0</v>
      </c>
      <c r="AA176" s="171">
        <v>0</v>
      </c>
      <c r="AB176" s="171">
        <v>0</v>
      </c>
      <c r="AC176" s="171">
        <v>0</v>
      </c>
      <c r="AD176" s="171">
        <v>0</v>
      </c>
      <c r="AE176" s="171">
        <v>0</v>
      </c>
      <c r="AF176" s="171">
        <v>0</v>
      </c>
      <c r="AG176" s="171">
        <v>0</v>
      </c>
      <c r="AH176" s="171">
        <v>0</v>
      </c>
      <c r="AI176" s="171">
        <v>0</v>
      </c>
      <c r="AJ176" s="171">
        <v>0</v>
      </c>
      <c r="AK176" s="171">
        <v>0</v>
      </c>
      <c r="AL176" s="172">
        <v>0</v>
      </c>
      <c r="AM176" s="172">
        <v>0</v>
      </c>
      <c r="AN176" s="172">
        <v>0</v>
      </c>
      <c r="AO176" s="172">
        <v>0</v>
      </c>
      <c r="AP176" s="172">
        <v>0</v>
      </c>
      <c r="AQ176" s="172">
        <v>0</v>
      </c>
      <c r="AR176" s="172">
        <v>0</v>
      </c>
      <c r="AS176" s="172">
        <v>0</v>
      </c>
      <c r="AT176" s="172">
        <v>0</v>
      </c>
      <c r="AU176" s="172">
        <v>0</v>
      </c>
      <c r="AV176" s="172">
        <v>0</v>
      </c>
      <c r="AW176" s="172">
        <v>0</v>
      </c>
      <c r="AX176" s="172">
        <v>0</v>
      </c>
      <c r="AY176" s="172">
        <v>0</v>
      </c>
      <c r="AZ176" s="172">
        <v>0</v>
      </c>
      <c r="BA176" s="172">
        <v>0</v>
      </c>
      <c r="BB176" s="172">
        <v>0</v>
      </c>
      <c r="BC176" s="172">
        <v>0</v>
      </c>
      <c r="BD176" s="172">
        <v>0</v>
      </c>
      <c r="BE176" s="172">
        <v>0</v>
      </c>
      <c r="BF176" s="172">
        <v>0</v>
      </c>
      <c r="BG176" s="172">
        <v>0</v>
      </c>
      <c r="BH176" s="174">
        <v>0</v>
      </c>
      <c r="BI176" s="174">
        <v>0</v>
      </c>
      <c r="BJ176" s="174">
        <v>0</v>
      </c>
      <c r="BK176" s="174">
        <v>0</v>
      </c>
      <c r="BL176" s="174">
        <v>0</v>
      </c>
      <c r="BM176" s="174">
        <v>0</v>
      </c>
      <c r="BN176" s="174">
        <v>0</v>
      </c>
      <c r="BO176" s="174">
        <v>0</v>
      </c>
      <c r="BP176" s="174">
        <v>0</v>
      </c>
      <c r="BQ176" s="174">
        <v>0</v>
      </c>
      <c r="BR176" s="174">
        <v>0</v>
      </c>
      <c r="BS176" s="174">
        <v>0</v>
      </c>
      <c r="BT176" s="174">
        <v>0</v>
      </c>
      <c r="BU176" s="174">
        <v>0</v>
      </c>
      <c r="BV176" s="174">
        <v>0</v>
      </c>
      <c r="BW176" s="174">
        <v>0</v>
      </c>
      <c r="BX176" s="174">
        <v>0</v>
      </c>
      <c r="BY176" s="174">
        <v>0</v>
      </c>
      <c r="BZ176" s="174">
        <v>0</v>
      </c>
      <c r="CA176" s="177">
        <v>0</v>
      </c>
      <c r="CB176" s="74">
        <v>0</v>
      </c>
      <c r="CC176" s="177">
        <v>0</v>
      </c>
      <c r="CD176" s="177">
        <v>0</v>
      </c>
      <c r="CE176" s="177">
        <v>0</v>
      </c>
      <c r="CF176" s="177">
        <v>0</v>
      </c>
      <c r="CG176" s="177">
        <v>0</v>
      </c>
      <c r="CH176" s="177">
        <v>0</v>
      </c>
      <c r="CI176" s="177">
        <v>0</v>
      </c>
      <c r="CJ176" s="177">
        <v>0</v>
      </c>
      <c r="CK176" s="177">
        <v>0</v>
      </c>
      <c r="CL176" s="177">
        <v>0</v>
      </c>
      <c r="CM176" s="177">
        <v>0</v>
      </c>
      <c r="CN176" s="177">
        <v>0</v>
      </c>
      <c r="CO176" s="177">
        <v>0</v>
      </c>
      <c r="CP176" s="177">
        <v>0</v>
      </c>
      <c r="CQ176" s="177">
        <v>0</v>
      </c>
      <c r="CR176" s="177">
        <v>0</v>
      </c>
      <c r="CS176" s="177">
        <v>0</v>
      </c>
    </row>
    <row r="177" spans="1:97" x14ac:dyDescent="0.25">
      <c r="A177" t="s">
        <v>438</v>
      </c>
      <c r="B177" s="168">
        <v>0</v>
      </c>
      <c r="C177" s="168">
        <v>0</v>
      </c>
      <c r="D177" s="168">
        <v>0</v>
      </c>
      <c r="E177" s="168">
        <v>0</v>
      </c>
      <c r="F177" s="168">
        <v>0</v>
      </c>
      <c r="G177" s="168">
        <v>0</v>
      </c>
      <c r="H177" s="168">
        <v>0</v>
      </c>
      <c r="I177" s="168">
        <v>0</v>
      </c>
      <c r="J177" s="168">
        <v>0</v>
      </c>
      <c r="K177" s="168">
        <v>0</v>
      </c>
      <c r="L177" s="168">
        <v>0</v>
      </c>
      <c r="M177" s="168">
        <v>0</v>
      </c>
      <c r="N177" s="168">
        <v>0</v>
      </c>
      <c r="O177" s="168">
        <v>0</v>
      </c>
      <c r="P177" s="168">
        <v>0</v>
      </c>
      <c r="Q177" s="168">
        <v>0</v>
      </c>
      <c r="R177" s="168">
        <v>0</v>
      </c>
      <c r="S177" s="168">
        <v>0</v>
      </c>
      <c r="T177" s="168">
        <v>0</v>
      </c>
      <c r="U177" s="171">
        <v>0</v>
      </c>
      <c r="V177" s="171">
        <v>0</v>
      </c>
      <c r="W177" s="171">
        <v>0</v>
      </c>
      <c r="X177" s="171">
        <v>0</v>
      </c>
      <c r="Y177" s="171">
        <v>0</v>
      </c>
      <c r="Z177" s="171">
        <v>0</v>
      </c>
      <c r="AA177" s="171">
        <v>0</v>
      </c>
      <c r="AB177" s="171">
        <v>0</v>
      </c>
      <c r="AC177" s="171">
        <v>0</v>
      </c>
      <c r="AD177" s="171">
        <v>0</v>
      </c>
      <c r="AE177" s="171">
        <v>0</v>
      </c>
      <c r="AF177" s="171">
        <v>0</v>
      </c>
      <c r="AG177" s="171">
        <v>0</v>
      </c>
      <c r="AH177" s="171">
        <v>0</v>
      </c>
      <c r="AI177" s="171">
        <v>0</v>
      </c>
      <c r="AJ177" s="171">
        <v>0</v>
      </c>
      <c r="AK177" s="171">
        <v>0</v>
      </c>
      <c r="AL177" s="172">
        <v>0</v>
      </c>
      <c r="AM177" s="172">
        <v>0</v>
      </c>
      <c r="AN177" s="172">
        <v>0</v>
      </c>
      <c r="AO177" s="172">
        <v>0</v>
      </c>
      <c r="AP177" s="172">
        <v>0</v>
      </c>
      <c r="AQ177" s="172">
        <v>0</v>
      </c>
      <c r="AR177" s="172">
        <v>0</v>
      </c>
      <c r="AS177" s="172">
        <v>0</v>
      </c>
      <c r="AT177" s="172">
        <v>0</v>
      </c>
      <c r="AU177" s="172">
        <v>0</v>
      </c>
      <c r="AV177" s="172">
        <v>0</v>
      </c>
      <c r="AW177" s="172">
        <v>0</v>
      </c>
      <c r="AX177" s="172">
        <v>0</v>
      </c>
      <c r="AY177" s="172">
        <v>0</v>
      </c>
      <c r="AZ177" s="172">
        <v>0</v>
      </c>
      <c r="BA177" s="172">
        <v>0</v>
      </c>
      <c r="BB177" s="172">
        <v>0</v>
      </c>
      <c r="BC177" s="172">
        <v>0</v>
      </c>
      <c r="BD177" s="172">
        <v>0</v>
      </c>
      <c r="BE177" s="172">
        <v>0</v>
      </c>
      <c r="BF177" s="172">
        <v>0</v>
      </c>
      <c r="BG177" s="172">
        <v>0</v>
      </c>
      <c r="BH177" s="174">
        <v>0</v>
      </c>
      <c r="BI177" s="174">
        <v>0</v>
      </c>
      <c r="BJ177" s="174">
        <v>0</v>
      </c>
      <c r="BK177" s="174">
        <v>0</v>
      </c>
      <c r="BL177" s="174">
        <v>0</v>
      </c>
      <c r="BM177" s="174">
        <v>0</v>
      </c>
      <c r="BN177" s="174">
        <v>0</v>
      </c>
      <c r="BO177" s="174">
        <v>0</v>
      </c>
      <c r="BP177" s="174">
        <v>0</v>
      </c>
      <c r="BQ177" s="174">
        <v>0</v>
      </c>
      <c r="BR177" s="174">
        <v>0</v>
      </c>
      <c r="BS177" s="174">
        <v>0</v>
      </c>
      <c r="BT177" s="174">
        <v>0</v>
      </c>
      <c r="BU177" s="174">
        <v>0</v>
      </c>
      <c r="BV177" s="174">
        <v>0</v>
      </c>
      <c r="BW177" s="174">
        <v>0</v>
      </c>
      <c r="BX177" s="174">
        <v>0</v>
      </c>
      <c r="BY177" s="174">
        <v>0</v>
      </c>
      <c r="BZ177" s="174">
        <v>0</v>
      </c>
      <c r="CA177" s="177">
        <v>0</v>
      </c>
      <c r="CB177" s="74">
        <v>0</v>
      </c>
      <c r="CC177" s="177">
        <v>0</v>
      </c>
      <c r="CD177" s="177">
        <v>0</v>
      </c>
      <c r="CE177" s="177">
        <v>0</v>
      </c>
      <c r="CF177" s="177">
        <v>0</v>
      </c>
      <c r="CG177" s="177">
        <v>0</v>
      </c>
      <c r="CH177" s="177">
        <v>0</v>
      </c>
      <c r="CI177" s="177">
        <v>0</v>
      </c>
      <c r="CJ177" s="177">
        <v>0</v>
      </c>
      <c r="CK177" s="177">
        <v>0</v>
      </c>
      <c r="CL177" s="177">
        <v>0</v>
      </c>
      <c r="CM177" s="177">
        <v>0</v>
      </c>
      <c r="CN177" s="177">
        <v>0</v>
      </c>
      <c r="CO177" s="177">
        <v>0</v>
      </c>
      <c r="CP177" s="177">
        <v>0</v>
      </c>
      <c r="CQ177" s="177">
        <v>0</v>
      </c>
      <c r="CR177" s="177">
        <v>0</v>
      </c>
      <c r="CS177" s="177">
        <v>0</v>
      </c>
    </row>
    <row r="178" spans="1:97" x14ac:dyDescent="0.25">
      <c r="A178" s="46" t="s">
        <v>62</v>
      </c>
      <c r="B178" s="178">
        <v>0</v>
      </c>
      <c r="C178" s="179">
        <v>0</v>
      </c>
      <c r="D178" s="204">
        <v>0</v>
      </c>
      <c r="E178" s="179">
        <v>0</v>
      </c>
      <c r="F178" s="204">
        <v>0</v>
      </c>
      <c r="G178" s="179">
        <v>0</v>
      </c>
      <c r="H178" s="179">
        <v>0</v>
      </c>
      <c r="I178" s="179">
        <v>0</v>
      </c>
      <c r="J178" s="179">
        <v>0</v>
      </c>
      <c r="K178" s="179">
        <v>0</v>
      </c>
      <c r="L178" s="179">
        <v>0</v>
      </c>
      <c r="M178" s="179">
        <v>0</v>
      </c>
      <c r="N178" s="179">
        <v>0</v>
      </c>
      <c r="O178" s="179">
        <v>0</v>
      </c>
      <c r="P178" s="204">
        <v>0</v>
      </c>
      <c r="Q178" s="204">
        <v>0</v>
      </c>
      <c r="R178" s="204">
        <v>0</v>
      </c>
      <c r="S178" s="179">
        <v>0</v>
      </c>
      <c r="T178" s="179">
        <v>0</v>
      </c>
      <c r="U178" s="180">
        <v>0</v>
      </c>
      <c r="V178" s="180">
        <v>0</v>
      </c>
      <c r="W178" s="180">
        <v>0</v>
      </c>
      <c r="X178" s="180">
        <v>0</v>
      </c>
      <c r="Y178" s="180">
        <f>IF(char3WeapToggle,(char3FinalHP*(0.008+(char3Refine-1)*0.002))+(char3FinalHP*(0.01+(char3Refine-1)*0.002)),(char3FinalHP*(0.008+(char3Refine-1)*0.002)))</f>
        <v>323.4878784</v>
      </c>
      <c r="Z178" s="180">
        <v>0</v>
      </c>
      <c r="AA178" s="180">
        <v>0</v>
      </c>
      <c r="AB178" s="180">
        <v>0</v>
      </c>
      <c r="AC178" s="180">
        <v>0</v>
      </c>
      <c r="AD178" s="180">
        <v>0</v>
      </c>
      <c r="AE178" s="180">
        <v>0</v>
      </c>
      <c r="AF178" s="180">
        <v>0</v>
      </c>
      <c r="AG178" s="180">
        <v>0</v>
      </c>
      <c r="AH178" s="180">
        <v>0</v>
      </c>
      <c r="AI178" s="180">
        <v>0</v>
      </c>
      <c r="AJ178" s="180">
        <v>0</v>
      </c>
      <c r="AK178" s="180">
        <v>0</v>
      </c>
      <c r="AL178" s="181">
        <f>((1.2+(char3Refine-1)*0.3)/100)*char3FinalHP</f>
        <v>215.65858560000001</v>
      </c>
      <c r="AM178" s="181">
        <v>0</v>
      </c>
      <c r="AN178" s="181">
        <v>0</v>
      </c>
      <c r="AO178" s="181">
        <v>0</v>
      </c>
      <c r="AP178" s="181">
        <v>0</v>
      </c>
      <c r="AQ178" s="181">
        <v>0</v>
      </c>
      <c r="AR178" s="181">
        <v>0</v>
      </c>
      <c r="AS178" s="181">
        <v>0</v>
      </c>
      <c r="AT178" s="181">
        <v>0</v>
      </c>
      <c r="AU178" s="181">
        <v>0</v>
      </c>
      <c r="AV178" s="181">
        <v>0</v>
      </c>
      <c r="AW178" s="181">
        <v>0</v>
      </c>
      <c r="AX178" s="181">
        <v>0</v>
      </c>
      <c r="AY178" s="181">
        <v>0</v>
      </c>
      <c r="AZ178" s="181">
        <v>0</v>
      </c>
      <c r="BA178" s="181">
        <v>0</v>
      </c>
      <c r="BB178" s="181">
        <v>0</v>
      </c>
      <c r="BC178" s="181">
        <v>0</v>
      </c>
      <c r="BD178" s="181">
        <v>0</v>
      </c>
      <c r="BE178" s="181">
        <v>0</v>
      </c>
      <c r="BF178" s="181">
        <v>0</v>
      </c>
      <c r="BG178" s="181">
        <v>0</v>
      </c>
      <c r="BH178" s="166">
        <v>0</v>
      </c>
      <c r="BI178" s="166">
        <v>0</v>
      </c>
      <c r="BJ178" s="166">
        <v>0</v>
      </c>
      <c r="BK178" s="166">
        <v>0</v>
      </c>
      <c r="BL178" s="166">
        <v>0</v>
      </c>
      <c r="BM178" s="166">
        <v>0</v>
      </c>
      <c r="BN178" s="166">
        <v>0</v>
      </c>
      <c r="BO178" s="166">
        <v>0</v>
      </c>
      <c r="BP178" s="166">
        <v>0</v>
      </c>
      <c r="BQ178" s="166">
        <v>0</v>
      </c>
      <c r="BR178" s="166">
        <v>0</v>
      </c>
      <c r="BS178" s="166">
        <v>0</v>
      </c>
      <c r="BT178" s="166">
        <v>0</v>
      </c>
      <c r="BU178" s="166">
        <v>0</v>
      </c>
      <c r="BV178" s="166">
        <v>0</v>
      </c>
      <c r="BW178" s="166">
        <v>0</v>
      </c>
      <c r="BX178" s="166">
        <v>0</v>
      </c>
      <c r="BY178" s="166">
        <v>0</v>
      </c>
      <c r="BZ178" s="166">
        <v>0</v>
      </c>
      <c r="CA178" s="182">
        <v>0</v>
      </c>
      <c r="CB178" s="79">
        <v>0</v>
      </c>
      <c r="CC178" s="182">
        <v>0</v>
      </c>
      <c r="CD178" s="182">
        <v>0</v>
      </c>
      <c r="CE178" s="182">
        <v>0</v>
      </c>
      <c r="CF178" s="182">
        <v>0</v>
      </c>
      <c r="CG178" s="182">
        <v>0</v>
      </c>
      <c r="CH178" s="183">
        <v>0</v>
      </c>
      <c r="CI178" s="182">
        <v>0</v>
      </c>
      <c r="CJ178" s="182">
        <v>0</v>
      </c>
      <c r="CK178" s="182">
        <v>0</v>
      </c>
      <c r="CL178" s="182">
        <v>0</v>
      </c>
      <c r="CM178" s="182">
        <v>0</v>
      </c>
      <c r="CN178" s="183">
        <v>0</v>
      </c>
      <c r="CO178" s="182">
        <v>0</v>
      </c>
      <c r="CP178" s="182">
        <v>0</v>
      </c>
      <c r="CQ178" s="182">
        <v>0</v>
      </c>
      <c r="CR178" s="182">
        <v>0</v>
      </c>
      <c r="CS178" s="183">
        <v>0</v>
      </c>
    </row>
    <row r="179" spans="1:97" x14ac:dyDescent="0.25">
      <c r="A179" s="46" t="s">
        <v>64</v>
      </c>
      <c r="B179" s="178">
        <v>0</v>
      </c>
      <c r="C179" s="179">
        <v>0</v>
      </c>
      <c r="D179" s="204">
        <v>0</v>
      </c>
      <c r="E179" s="179">
        <v>0</v>
      </c>
      <c r="F179" s="204">
        <v>0</v>
      </c>
      <c r="G179" s="179">
        <v>0</v>
      </c>
      <c r="H179" s="179">
        <v>0</v>
      </c>
      <c r="I179" s="179">
        <v>0</v>
      </c>
      <c r="J179" s="179">
        <v>0</v>
      </c>
      <c r="K179" s="179">
        <v>0</v>
      </c>
      <c r="L179" s="179">
        <v>0</v>
      </c>
      <c r="M179" s="179">
        <v>0</v>
      </c>
      <c r="N179" s="179">
        <v>0</v>
      </c>
      <c r="O179" s="179">
        <v>0</v>
      </c>
      <c r="P179" s="204">
        <v>0</v>
      </c>
      <c r="Q179" s="204">
        <v>0</v>
      </c>
      <c r="R179" s="204">
        <v>0</v>
      </c>
      <c r="S179" s="179">
        <v>0</v>
      </c>
      <c r="T179" s="179">
        <v>0</v>
      </c>
      <c r="U179" s="180">
        <v>0</v>
      </c>
      <c r="V179" s="180">
        <v>0</v>
      </c>
      <c r="W179" s="180">
        <v>0</v>
      </c>
      <c r="X179" s="180">
        <v>0</v>
      </c>
      <c r="Y179" s="180">
        <v>0</v>
      </c>
      <c r="Z179" s="180">
        <v>0</v>
      </c>
      <c r="AA179" s="180">
        <v>0</v>
      </c>
      <c r="AB179" s="180">
        <v>0</v>
      </c>
      <c r="AC179" s="180">
        <v>0</v>
      </c>
      <c r="AD179" s="180">
        <v>0</v>
      </c>
      <c r="AE179" s="180">
        <v>0</v>
      </c>
      <c r="AF179" s="180">
        <v>0</v>
      </c>
      <c r="AG179" s="180">
        <v>0</v>
      </c>
      <c r="AH179" s="180">
        <v>0</v>
      </c>
      <c r="AI179" s="180">
        <v>0</v>
      </c>
      <c r="AJ179" s="180">
        <v>0</v>
      </c>
      <c r="AK179" s="180">
        <v>0</v>
      </c>
      <c r="AL179" s="181">
        <v>0</v>
      </c>
      <c r="AM179" s="181">
        <v>0</v>
      </c>
      <c r="AN179" s="181">
        <v>0</v>
      </c>
      <c r="AO179" s="181">
        <v>0</v>
      </c>
      <c r="AP179" s="181">
        <v>0</v>
      </c>
      <c r="AQ179" s="181">
        <v>0</v>
      </c>
      <c r="AR179" s="181">
        <v>0</v>
      </c>
      <c r="AS179" s="181">
        <v>0</v>
      </c>
      <c r="AT179" s="181">
        <v>0</v>
      </c>
      <c r="AU179" s="181">
        <v>0</v>
      </c>
      <c r="AV179" s="181">
        <v>0</v>
      </c>
      <c r="AW179" s="181">
        <v>0</v>
      </c>
      <c r="AX179" s="181">
        <v>0</v>
      </c>
      <c r="AY179" s="181">
        <v>0</v>
      </c>
      <c r="AZ179" s="181">
        <v>0</v>
      </c>
      <c r="BA179" s="181">
        <v>0</v>
      </c>
      <c r="BB179" s="181">
        <v>0</v>
      </c>
      <c r="BC179" s="181">
        <v>0</v>
      </c>
      <c r="BD179" s="181">
        <v>0</v>
      </c>
      <c r="BE179" s="181">
        <v>0</v>
      </c>
      <c r="BF179" s="181">
        <v>0</v>
      </c>
      <c r="BG179" s="181">
        <v>0</v>
      </c>
      <c r="BH179" s="166">
        <v>0</v>
      </c>
      <c r="BI179" s="166">
        <v>0</v>
      </c>
      <c r="BJ179" s="166">
        <v>0</v>
      </c>
      <c r="BK179" s="166">
        <v>0</v>
      </c>
      <c r="BL179" s="166">
        <v>0</v>
      </c>
      <c r="BM179" s="166">
        <v>0</v>
      </c>
      <c r="BN179" s="166">
        <v>0</v>
      </c>
      <c r="BO179" s="166">
        <v>0</v>
      </c>
      <c r="BP179" s="166">
        <v>0</v>
      </c>
      <c r="BQ179" s="166">
        <v>0</v>
      </c>
      <c r="BR179" s="166">
        <v>0</v>
      </c>
      <c r="BS179" s="166">
        <v>0</v>
      </c>
      <c r="BT179" s="166">
        <v>0</v>
      </c>
      <c r="BU179" s="166">
        <v>0</v>
      </c>
      <c r="BV179" s="166">
        <v>0</v>
      </c>
      <c r="BW179" s="166">
        <v>0</v>
      </c>
      <c r="BX179" s="166">
        <v>0</v>
      </c>
      <c r="BY179" s="166">
        <v>0</v>
      </c>
      <c r="BZ179" s="166">
        <v>0</v>
      </c>
      <c r="CA179" s="182">
        <v>0</v>
      </c>
      <c r="CB179" s="79">
        <v>0</v>
      </c>
      <c r="CC179" s="182">
        <v>0</v>
      </c>
      <c r="CD179" s="182">
        <v>0</v>
      </c>
      <c r="CE179" s="182">
        <v>0</v>
      </c>
      <c r="CF179" s="182">
        <v>0</v>
      </c>
      <c r="CG179" s="182">
        <v>0</v>
      </c>
      <c r="CH179" s="183">
        <v>0</v>
      </c>
      <c r="CI179" s="182">
        <v>0</v>
      </c>
      <c r="CJ179" s="182">
        <v>0</v>
      </c>
      <c r="CK179" s="182">
        <v>0</v>
      </c>
      <c r="CL179" s="182">
        <v>0</v>
      </c>
      <c r="CM179" s="182">
        <v>0</v>
      </c>
      <c r="CN179" s="183">
        <v>0</v>
      </c>
      <c r="CO179" s="182">
        <v>0</v>
      </c>
      <c r="CP179" s="182">
        <v>0</v>
      </c>
      <c r="CQ179" s="182">
        <v>0</v>
      </c>
      <c r="CR179" s="182">
        <v>0</v>
      </c>
      <c r="CS179" s="183">
        <v>0</v>
      </c>
    </row>
    <row r="180" spans="1:97" x14ac:dyDescent="0.25">
      <c r="A180" s="46" t="s">
        <v>63</v>
      </c>
      <c r="B180" s="178">
        <v>0</v>
      </c>
      <c r="C180" s="179">
        <v>0</v>
      </c>
      <c r="D180" s="204">
        <v>0</v>
      </c>
      <c r="E180" s="179">
        <v>0</v>
      </c>
      <c r="F180" s="204">
        <v>0</v>
      </c>
      <c r="G180" s="179">
        <v>0</v>
      </c>
      <c r="H180" s="179">
        <v>0</v>
      </c>
      <c r="I180" s="179">
        <v>0</v>
      </c>
      <c r="J180" s="179">
        <v>0</v>
      </c>
      <c r="K180" s="179">
        <v>0</v>
      </c>
      <c r="L180" s="179">
        <v>0</v>
      </c>
      <c r="M180" s="179">
        <v>0</v>
      </c>
      <c r="N180" s="179">
        <v>0</v>
      </c>
      <c r="O180" s="179">
        <v>0</v>
      </c>
      <c r="P180" s="204">
        <v>0</v>
      </c>
      <c r="Q180" s="204">
        <v>0</v>
      </c>
      <c r="R180" s="204">
        <v>0</v>
      </c>
      <c r="S180" s="179">
        <v>0</v>
      </c>
      <c r="T180" s="179">
        <v>0</v>
      </c>
      <c r="U180" s="180">
        <v>0</v>
      </c>
      <c r="V180" s="180">
        <v>0</v>
      </c>
      <c r="W180" s="180">
        <v>0</v>
      </c>
      <c r="X180" s="180">
        <v>0</v>
      </c>
      <c r="Y180" s="180">
        <v>0</v>
      </c>
      <c r="Z180" s="180">
        <v>0</v>
      </c>
      <c r="AA180" s="180">
        <v>0</v>
      </c>
      <c r="AB180" s="180">
        <v>0</v>
      </c>
      <c r="AC180" s="180">
        <v>0</v>
      </c>
      <c r="AD180" s="180">
        <v>0</v>
      </c>
      <c r="AE180" s="180">
        <v>0</v>
      </c>
      <c r="AF180" s="180">
        <v>0</v>
      </c>
      <c r="AG180" s="180">
        <v>0</v>
      </c>
      <c r="AH180" s="180">
        <v>0</v>
      </c>
      <c r="AI180" s="180">
        <v>0</v>
      </c>
      <c r="AJ180" s="180">
        <v>0</v>
      </c>
      <c r="AK180" s="180">
        <v>0</v>
      </c>
      <c r="AL180" s="181">
        <v>0</v>
      </c>
      <c r="AM180" s="181">
        <v>0</v>
      </c>
      <c r="AN180" s="181">
        <v>0</v>
      </c>
      <c r="AO180" s="181">
        <v>0</v>
      </c>
      <c r="AP180" s="181">
        <v>0</v>
      </c>
      <c r="AQ180" s="181">
        <v>0</v>
      </c>
      <c r="AR180" s="181">
        <v>0</v>
      </c>
      <c r="AS180" s="181">
        <v>0</v>
      </c>
      <c r="AT180" s="181">
        <v>0</v>
      </c>
      <c r="AU180" s="181">
        <v>0</v>
      </c>
      <c r="AV180" s="181">
        <v>0</v>
      </c>
      <c r="AW180" s="181">
        <v>0</v>
      </c>
      <c r="AX180" s="181">
        <v>0</v>
      </c>
      <c r="AY180" s="181">
        <v>0</v>
      </c>
      <c r="AZ180" s="181">
        <v>0</v>
      </c>
      <c r="BA180" s="181">
        <v>0</v>
      </c>
      <c r="BB180" s="181">
        <v>0</v>
      </c>
      <c r="BC180" s="181">
        <v>0</v>
      </c>
      <c r="BD180" s="181">
        <v>0</v>
      </c>
      <c r="BE180" s="181">
        <v>0</v>
      </c>
      <c r="BF180" s="181">
        <v>0</v>
      </c>
      <c r="BG180" s="181">
        <v>0</v>
      </c>
      <c r="BH180" s="166">
        <v>0</v>
      </c>
      <c r="BI180" s="166">
        <v>0</v>
      </c>
      <c r="BJ180" s="166">
        <v>0</v>
      </c>
      <c r="BK180" s="166">
        <v>0</v>
      </c>
      <c r="BL180" s="166">
        <v>0</v>
      </c>
      <c r="BM180" s="166">
        <v>0</v>
      </c>
      <c r="BN180" s="166">
        <v>0</v>
      </c>
      <c r="BO180" s="166">
        <v>0</v>
      </c>
      <c r="BP180" s="166">
        <v>0</v>
      </c>
      <c r="BQ180" s="166">
        <v>0</v>
      </c>
      <c r="BR180" s="166">
        <v>0</v>
      </c>
      <c r="BS180" s="166">
        <v>0</v>
      </c>
      <c r="BT180" s="166">
        <v>0</v>
      </c>
      <c r="BU180" s="166">
        <v>0</v>
      </c>
      <c r="BV180" s="166">
        <v>0</v>
      </c>
      <c r="BW180" s="166">
        <v>0</v>
      </c>
      <c r="BX180" s="166">
        <v>0</v>
      </c>
      <c r="BY180" s="166">
        <v>0</v>
      </c>
      <c r="BZ180" s="166">
        <v>0</v>
      </c>
      <c r="CA180" s="182">
        <v>0</v>
      </c>
      <c r="CB180" s="79">
        <v>0</v>
      </c>
      <c r="CC180" s="182">
        <v>0</v>
      </c>
      <c r="CD180" s="182">
        <v>0</v>
      </c>
      <c r="CE180" s="182">
        <v>0</v>
      </c>
      <c r="CF180" s="182">
        <v>0</v>
      </c>
      <c r="CG180" s="182">
        <v>0</v>
      </c>
      <c r="CH180" s="183">
        <v>0</v>
      </c>
      <c r="CI180" s="182">
        <v>0</v>
      </c>
      <c r="CJ180" s="182">
        <v>0</v>
      </c>
      <c r="CK180" s="182">
        <v>0</v>
      </c>
      <c r="CL180" s="182">
        <v>0</v>
      </c>
      <c r="CM180" s="182">
        <v>0</v>
      </c>
      <c r="CN180" s="183">
        <v>0</v>
      </c>
      <c r="CO180" s="182">
        <v>0</v>
      </c>
      <c r="CP180" s="182">
        <v>0</v>
      </c>
      <c r="CQ180" s="182">
        <v>0</v>
      </c>
      <c r="CR180" s="182">
        <v>0</v>
      </c>
      <c r="CS180" s="183">
        <v>0</v>
      </c>
    </row>
    <row r="181" spans="1:97" x14ac:dyDescent="0.25">
      <c r="A181" s="46" t="s">
        <v>727</v>
      </c>
      <c r="B181" s="178" t="b">
        <v>1</v>
      </c>
      <c r="C181" s="179" t="b">
        <v>0</v>
      </c>
      <c r="D181" s="179" t="b">
        <v>1</v>
      </c>
      <c r="E181" s="179" t="b">
        <v>0</v>
      </c>
      <c r="F181" s="179" t="b">
        <v>0</v>
      </c>
      <c r="G181" s="179" t="b">
        <v>0</v>
      </c>
      <c r="H181" s="179" t="b">
        <v>0</v>
      </c>
      <c r="I181" s="179" t="b">
        <v>0</v>
      </c>
      <c r="J181" s="179" t="b">
        <v>0</v>
      </c>
      <c r="K181" s="179" t="b">
        <v>0</v>
      </c>
      <c r="L181" s="179" t="b">
        <v>1</v>
      </c>
      <c r="M181" s="179" t="b">
        <v>0</v>
      </c>
      <c r="N181" s="179" t="b">
        <v>0</v>
      </c>
      <c r="O181" s="179" t="b">
        <v>1</v>
      </c>
      <c r="P181" s="179" t="b">
        <v>1</v>
      </c>
      <c r="Q181" s="179" t="b">
        <v>0</v>
      </c>
      <c r="R181" s="179" t="b">
        <v>0</v>
      </c>
      <c r="S181" s="179" t="b">
        <v>0</v>
      </c>
      <c r="T181" s="179" t="b">
        <v>0</v>
      </c>
      <c r="U181" s="180" t="b">
        <v>1</v>
      </c>
      <c r="V181" s="180" t="b">
        <v>0</v>
      </c>
      <c r="W181" s="180" t="b">
        <v>0</v>
      </c>
      <c r="X181" s="180" t="b">
        <v>0</v>
      </c>
      <c r="Y181" s="180" t="b">
        <v>0</v>
      </c>
      <c r="Z181" s="180" t="b">
        <v>0</v>
      </c>
      <c r="AA181" s="180" t="b">
        <v>0</v>
      </c>
      <c r="AB181" s="180" t="b">
        <v>1</v>
      </c>
      <c r="AC181" s="180" t="b">
        <v>0</v>
      </c>
      <c r="AD181" s="180" t="b">
        <v>0</v>
      </c>
      <c r="AE181" s="180" t="b">
        <v>0</v>
      </c>
      <c r="AF181" s="180" t="b">
        <v>0</v>
      </c>
      <c r="AG181" s="180" t="b">
        <v>0</v>
      </c>
      <c r="AH181" s="180" t="b">
        <v>1</v>
      </c>
      <c r="AI181" s="180" t="b">
        <v>0</v>
      </c>
      <c r="AJ181" s="180" t="b">
        <v>0</v>
      </c>
      <c r="AK181" s="180" t="b">
        <v>0</v>
      </c>
      <c r="AL181" s="181" t="b">
        <v>0</v>
      </c>
      <c r="AM181" s="181" t="b">
        <v>0</v>
      </c>
      <c r="AN181" s="181" t="b">
        <v>0</v>
      </c>
      <c r="AO181" s="181" t="b">
        <v>0</v>
      </c>
      <c r="AP181" s="181" t="b">
        <v>1</v>
      </c>
      <c r="AQ181" s="181" t="b">
        <v>1</v>
      </c>
      <c r="AR181" s="181" t="b">
        <v>0</v>
      </c>
      <c r="AS181" s="181" t="b">
        <v>1</v>
      </c>
      <c r="AT181" s="181" t="b">
        <v>0</v>
      </c>
      <c r="AU181" s="181" t="b">
        <v>0</v>
      </c>
      <c r="AV181" s="181" t="b">
        <v>0</v>
      </c>
      <c r="AW181" s="181" t="b">
        <v>0</v>
      </c>
      <c r="AX181" s="181" t="b">
        <v>0</v>
      </c>
      <c r="AY181" s="181" t="b">
        <v>0</v>
      </c>
      <c r="AZ181" s="181" t="b">
        <v>0</v>
      </c>
      <c r="BA181" s="181" t="b">
        <v>0</v>
      </c>
      <c r="BB181" s="181" t="b">
        <v>0</v>
      </c>
      <c r="BC181" s="181" t="b">
        <v>0</v>
      </c>
      <c r="BD181" s="181" t="b">
        <v>1</v>
      </c>
      <c r="BE181" s="181" t="b">
        <v>0</v>
      </c>
      <c r="BF181" s="181" t="b">
        <v>0</v>
      </c>
      <c r="BG181" s="181" t="b">
        <v>0</v>
      </c>
      <c r="BH181" s="166" t="b">
        <v>0</v>
      </c>
      <c r="BI181" s="166" t="b">
        <v>1</v>
      </c>
      <c r="BJ181" s="166" t="b">
        <v>0</v>
      </c>
      <c r="BK181" s="166" t="b">
        <v>1</v>
      </c>
      <c r="BL181" s="166" t="b">
        <v>1</v>
      </c>
      <c r="BM181" s="166" t="b">
        <v>1</v>
      </c>
      <c r="BN181" s="166" t="b">
        <v>0</v>
      </c>
      <c r="BO181" s="166" t="b">
        <v>0</v>
      </c>
      <c r="BP181" s="166" t="b">
        <v>0</v>
      </c>
      <c r="BQ181" s="166" t="b">
        <v>0</v>
      </c>
      <c r="BR181" s="166" t="b">
        <v>0</v>
      </c>
      <c r="BS181" s="166" t="b">
        <v>0</v>
      </c>
      <c r="BT181" s="166" t="b">
        <v>0</v>
      </c>
      <c r="BU181" s="166" t="b">
        <v>0</v>
      </c>
      <c r="BV181" s="166" t="b">
        <v>0</v>
      </c>
      <c r="BW181" s="166" t="b">
        <v>0</v>
      </c>
      <c r="BX181" s="166" t="b">
        <v>0</v>
      </c>
      <c r="BY181" s="166" t="b">
        <v>0</v>
      </c>
      <c r="BZ181" s="166" t="b">
        <v>0</v>
      </c>
      <c r="CA181" s="182" t="b">
        <v>0</v>
      </c>
      <c r="CB181" s="78" t="b">
        <v>0</v>
      </c>
      <c r="CC181" s="182" t="b">
        <v>1</v>
      </c>
      <c r="CD181" s="182" t="b">
        <v>0</v>
      </c>
      <c r="CE181" s="182" t="b">
        <v>0</v>
      </c>
      <c r="CF181" s="182" t="b">
        <v>1</v>
      </c>
      <c r="CG181" s="182" t="b">
        <v>0</v>
      </c>
      <c r="CH181" s="182" t="b">
        <v>0</v>
      </c>
      <c r="CI181" s="182" t="b">
        <v>0</v>
      </c>
      <c r="CJ181" s="182" t="b">
        <v>0</v>
      </c>
      <c r="CK181" s="182" t="b">
        <v>0</v>
      </c>
      <c r="CL181" s="182" t="b">
        <v>0</v>
      </c>
      <c r="CM181" s="182" t="b">
        <v>0</v>
      </c>
      <c r="CN181" s="182" t="b">
        <v>0</v>
      </c>
      <c r="CO181" s="182" t="b">
        <v>0</v>
      </c>
      <c r="CP181" s="182" t="b">
        <v>0</v>
      </c>
      <c r="CQ181" s="182" t="b">
        <v>0</v>
      </c>
      <c r="CR181" s="182" t="b">
        <v>0</v>
      </c>
      <c r="CS181" s="182" t="b">
        <v>0</v>
      </c>
    </row>
    <row r="182" spans="1:97" x14ac:dyDescent="0.25">
      <c r="A182" s="46" t="s">
        <v>728</v>
      </c>
      <c r="B182" s="178" t="b">
        <v>0</v>
      </c>
      <c r="C182" s="179" t="b">
        <v>0</v>
      </c>
      <c r="D182" s="179" t="b">
        <v>1</v>
      </c>
      <c r="E182" s="179" t="b">
        <v>0</v>
      </c>
      <c r="F182" s="179" t="b">
        <v>0</v>
      </c>
      <c r="G182" s="179" t="b">
        <v>0</v>
      </c>
      <c r="H182" s="179" t="b">
        <v>0</v>
      </c>
      <c r="I182" s="179" t="b">
        <v>0</v>
      </c>
      <c r="J182" s="179" t="b">
        <v>0</v>
      </c>
      <c r="K182" s="179" t="b">
        <v>0</v>
      </c>
      <c r="L182" s="179" t="b">
        <v>1</v>
      </c>
      <c r="M182" s="179" t="b">
        <v>0</v>
      </c>
      <c r="N182" s="179" t="b">
        <v>0</v>
      </c>
      <c r="O182" s="179" t="b">
        <v>0</v>
      </c>
      <c r="P182" s="179" t="b">
        <v>0</v>
      </c>
      <c r="Q182" s="179" t="b">
        <v>0</v>
      </c>
      <c r="R182" s="179" t="b">
        <v>0</v>
      </c>
      <c r="S182" s="179" t="b">
        <v>0</v>
      </c>
      <c r="T182" s="179" t="b">
        <v>0</v>
      </c>
      <c r="U182" s="180" t="b">
        <v>0</v>
      </c>
      <c r="V182" s="180" t="b">
        <v>0</v>
      </c>
      <c r="W182" s="180" t="b">
        <v>0</v>
      </c>
      <c r="X182" s="180" t="b">
        <v>0</v>
      </c>
      <c r="Y182" s="180" t="b">
        <v>0</v>
      </c>
      <c r="Z182" s="180" t="b">
        <v>0</v>
      </c>
      <c r="AA182" s="180" t="b">
        <v>0</v>
      </c>
      <c r="AB182" s="180" t="b">
        <v>1</v>
      </c>
      <c r="AC182" s="180" t="b">
        <v>0</v>
      </c>
      <c r="AD182" s="180" t="b">
        <v>0</v>
      </c>
      <c r="AE182" s="180" t="b">
        <v>0</v>
      </c>
      <c r="AF182" s="180" t="b">
        <v>0</v>
      </c>
      <c r="AG182" s="180" t="b">
        <v>0</v>
      </c>
      <c r="AH182" s="180" t="b">
        <v>0</v>
      </c>
      <c r="AI182" s="180" t="b">
        <v>0</v>
      </c>
      <c r="AJ182" s="180" t="b">
        <v>0</v>
      </c>
      <c r="AK182" s="180" t="b">
        <v>0</v>
      </c>
      <c r="AL182" s="181" t="b">
        <v>0</v>
      </c>
      <c r="AM182" s="181" t="b">
        <v>0</v>
      </c>
      <c r="AN182" s="181" t="b">
        <v>0</v>
      </c>
      <c r="AO182" s="181" t="b">
        <v>0</v>
      </c>
      <c r="AP182" s="181" t="b">
        <v>0</v>
      </c>
      <c r="AQ182" s="181" t="b">
        <v>0</v>
      </c>
      <c r="AR182" s="181" t="b">
        <v>0</v>
      </c>
      <c r="AS182" s="181" t="b">
        <v>0</v>
      </c>
      <c r="AT182" s="181" t="b">
        <v>0</v>
      </c>
      <c r="AU182" s="181" t="b">
        <v>0</v>
      </c>
      <c r="AV182" s="181" t="b">
        <v>0</v>
      </c>
      <c r="AW182" s="181" t="b">
        <v>0</v>
      </c>
      <c r="AX182" s="181" t="b">
        <v>0</v>
      </c>
      <c r="AY182" s="181" t="b">
        <v>0</v>
      </c>
      <c r="AZ182" s="181" t="b">
        <v>0</v>
      </c>
      <c r="BA182" s="181" t="b">
        <v>0</v>
      </c>
      <c r="BB182" s="181" t="b">
        <v>0</v>
      </c>
      <c r="BC182" s="181" t="b">
        <v>0</v>
      </c>
      <c r="BD182" s="181" t="b">
        <v>0</v>
      </c>
      <c r="BE182" s="181" t="b">
        <v>0</v>
      </c>
      <c r="BF182" s="181" t="b">
        <v>0</v>
      </c>
      <c r="BG182" s="181" t="b">
        <v>0</v>
      </c>
      <c r="BH182" s="166" t="b">
        <v>0</v>
      </c>
      <c r="BI182" s="166" t="b">
        <v>0</v>
      </c>
      <c r="BJ182" s="166" t="b">
        <v>0</v>
      </c>
      <c r="BK182" s="166" t="b">
        <v>0</v>
      </c>
      <c r="BL182" s="166" t="b">
        <v>1</v>
      </c>
      <c r="BM182" s="166" t="b">
        <v>0</v>
      </c>
      <c r="BN182" s="166" t="b">
        <v>0</v>
      </c>
      <c r="BO182" s="166" t="b">
        <v>0</v>
      </c>
      <c r="BP182" s="166" t="b">
        <v>0</v>
      </c>
      <c r="BQ182" s="166" t="b">
        <v>0</v>
      </c>
      <c r="BR182" s="166" t="b">
        <v>0</v>
      </c>
      <c r="BS182" s="166" t="b">
        <v>0</v>
      </c>
      <c r="BT182" s="166" t="b">
        <v>0</v>
      </c>
      <c r="BU182" s="166" t="b">
        <v>0</v>
      </c>
      <c r="BV182" s="166" t="b">
        <v>0</v>
      </c>
      <c r="BW182" s="166" t="b">
        <v>0</v>
      </c>
      <c r="BX182" s="166" t="b">
        <v>0</v>
      </c>
      <c r="BY182" s="166" t="b">
        <v>0</v>
      </c>
      <c r="BZ182" s="166" t="b">
        <v>0</v>
      </c>
      <c r="CA182" s="182" t="b">
        <v>0</v>
      </c>
      <c r="CB182" s="78" t="b">
        <v>0</v>
      </c>
      <c r="CC182" s="182" t="b">
        <v>0</v>
      </c>
      <c r="CD182" s="182" t="b">
        <v>0</v>
      </c>
      <c r="CE182" s="182" t="b">
        <v>0</v>
      </c>
      <c r="CF182" s="182" t="b">
        <v>0</v>
      </c>
      <c r="CG182" s="182" t="b">
        <v>0</v>
      </c>
      <c r="CH182" s="182" t="b">
        <v>0</v>
      </c>
      <c r="CI182" s="182" t="b">
        <v>0</v>
      </c>
      <c r="CJ182" s="182" t="b">
        <v>0</v>
      </c>
      <c r="CK182" s="182" t="b">
        <v>0</v>
      </c>
      <c r="CL182" s="182" t="b">
        <v>0</v>
      </c>
      <c r="CM182" s="182" t="b">
        <v>0</v>
      </c>
      <c r="CN182" s="182" t="b">
        <v>0</v>
      </c>
      <c r="CO182" s="182" t="b">
        <v>0</v>
      </c>
      <c r="CP182" s="182" t="b">
        <v>0</v>
      </c>
      <c r="CQ182" s="182" t="b">
        <v>0</v>
      </c>
      <c r="CR182" s="182" t="b">
        <v>0</v>
      </c>
      <c r="CS182" s="182" t="b">
        <v>0</v>
      </c>
    </row>
    <row r="183" spans="1:97" x14ac:dyDescent="0.25">
      <c r="A183" s="46" t="s">
        <v>729</v>
      </c>
      <c r="B183" s="178" t="b">
        <v>0</v>
      </c>
      <c r="C183" s="179" t="b">
        <v>0</v>
      </c>
      <c r="D183" s="179" t="b">
        <v>0</v>
      </c>
      <c r="E183" s="179" t="b">
        <v>0</v>
      </c>
      <c r="F183" s="179" t="b">
        <v>0</v>
      </c>
      <c r="G183" s="179" t="b">
        <v>0</v>
      </c>
      <c r="H183" s="179" t="b">
        <v>0</v>
      </c>
      <c r="I183" s="179" t="b">
        <v>0</v>
      </c>
      <c r="J183" s="179" t="b">
        <v>0</v>
      </c>
      <c r="K183" s="179" t="b">
        <v>0</v>
      </c>
      <c r="L183" s="179" t="b">
        <v>0</v>
      </c>
      <c r="M183" s="179" t="b">
        <v>0</v>
      </c>
      <c r="N183" s="179" t="b">
        <v>0</v>
      </c>
      <c r="O183" s="179" t="b">
        <v>0</v>
      </c>
      <c r="P183" s="179" t="b">
        <v>0</v>
      </c>
      <c r="Q183" s="179" t="b">
        <v>0</v>
      </c>
      <c r="R183" s="179" t="b">
        <v>0</v>
      </c>
      <c r="S183" s="179" t="b">
        <v>0</v>
      </c>
      <c r="T183" s="179" t="b">
        <v>0</v>
      </c>
      <c r="U183" s="180" t="b">
        <v>0</v>
      </c>
      <c r="V183" s="180" t="b">
        <v>0</v>
      </c>
      <c r="W183" s="180" t="b">
        <v>0</v>
      </c>
      <c r="X183" s="180" t="b">
        <v>0</v>
      </c>
      <c r="Y183" s="180" t="b">
        <v>0</v>
      </c>
      <c r="Z183" s="180" t="b">
        <v>0</v>
      </c>
      <c r="AA183" s="180" t="b">
        <v>0</v>
      </c>
      <c r="AB183" s="180" t="b">
        <v>0</v>
      </c>
      <c r="AC183" s="180" t="b">
        <v>0</v>
      </c>
      <c r="AD183" s="180" t="b">
        <v>0</v>
      </c>
      <c r="AE183" s="180" t="b">
        <v>0</v>
      </c>
      <c r="AF183" s="180" t="b">
        <v>0</v>
      </c>
      <c r="AG183" s="180" t="b">
        <v>0</v>
      </c>
      <c r="AH183" s="180" t="b">
        <v>0</v>
      </c>
      <c r="AI183" s="180" t="b">
        <v>0</v>
      </c>
      <c r="AJ183" s="180" t="b">
        <v>0</v>
      </c>
      <c r="AK183" s="180" t="b">
        <v>0</v>
      </c>
      <c r="AL183" s="181" t="b">
        <v>0</v>
      </c>
      <c r="AM183" s="181" t="b">
        <v>0</v>
      </c>
      <c r="AN183" s="181" t="b">
        <v>0</v>
      </c>
      <c r="AO183" s="181" t="b">
        <v>0</v>
      </c>
      <c r="AP183" s="181" t="b">
        <v>0</v>
      </c>
      <c r="AQ183" s="181" t="b">
        <v>0</v>
      </c>
      <c r="AR183" s="181" t="b">
        <v>0</v>
      </c>
      <c r="AS183" s="181" t="b">
        <v>0</v>
      </c>
      <c r="AT183" s="181" t="b">
        <v>0</v>
      </c>
      <c r="AU183" s="181" t="b">
        <v>0</v>
      </c>
      <c r="AV183" s="181" t="b">
        <v>0</v>
      </c>
      <c r="AW183" s="181" t="b">
        <v>0</v>
      </c>
      <c r="AX183" s="181" t="b">
        <v>0</v>
      </c>
      <c r="AY183" s="181" t="b">
        <v>0</v>
      </c>
      <c r="AZ183" s="181" t="b">
        <v>0</v>
      </c>
      <c r="BA183" s="181" t="b">
        <v>0</v>
      </c>
      <c r="BB183" s="181" t="b">
        <v>0</v>
      </c>
      <c r="BC183" s="181" t="b">
        <v>0</v>
      </c>
      <c r="BD183" s="181" t="b">
        <v>0</v>
      </c>
      <c r="BE183" s="181" t="b">
        <v>0</v>
      </c>
      <c r="BF183" s="181" t="b">
        <v>0</v>
      </c>
      <c r="BG183" s="181" t="b">
        <v>0</v>
      </c>
      <c r="BH183" s="166" t="b">
        <v>0</v>
      </c>
      <c r="BI183" s="166" t="b">
        <v>0</v>
      </c>
      <c r="BJ183" s="166" t="b">
        <v>0</v>
      </c>
      <c r="BK183" s="166" t="b">
        <v>0</v>
      </c>
      <c r="BL183" s="166" t="b">
        <v>0</v>
      </c>
      <c r="BM183" s="166" t="b">
        <v>0</v>
      </c>
      <c r="BN183" s="166" t="b">
        <v>0</v>
      </c>
      <c r="BO183" s="166" t="b">
        <v>0</v>
      </c>
      <c r="BP183" s="166" t="b">
        <v>0</v>
      </c>
      <c r="BQ183" s="166" t="b">
        <v>0</v>
      </c>
      <c r="BR183" s="166" t="b">
        <v>0</v>
      </c>
      <c r="BS183" s="166" t="b">
        <v>0</v>
      </c>
      <c r="BT183" s="166" t="b">
        <v>0</v>
      </c>
      <c r="BU183" s="166" t="b">
        <v>0</v>
      </c>
      <c r="BV183" s="166" t="b">
        <v>0</v>
      </c>
      <c r="BW183" s="166" t="b">
        <v>0</v>
      </c>
      <c r="BX183" s="166" t="b">
        <v>0</v>
      </c>
      <c r="BY183" s="166" t="b">
        <v>0</v>
      </c>
      <c r="BZ183" s="166" t="b">
        <v>0</v>
      </c>
      <c r="CA183" s="182" t="b">
        <v>0</v>
      </c>
      <c r="CB183" s="78" t="b">
        <v>0</v>
      </c>
      <c r="CC183" s="182" t="b">
        <v>0</v>
      </c>
      <c r="CD183" s="182" t="b">
        <v>0</v>
      </c>
      <c r="CE183" s="182" t="b">
        <v>0</v>
      </c>
      <c r="CF183" s="182" t="b">
        <v>0</v>
      </c>
      <c r="CG183" s="182" t="b">
        <v>0</v>
      </c>
      <c r="CH183" s="182" t="b">
        <v>0</v>
      </c>
      <c r="CI183" s="182" t="b">
        <v>0</v>
      </c>
      <c r="CJ183" s="182" t="b">
        <v>0</v>
      </c>
      <c r="CK183" s="182" t="b">
        <v>0</v>
      </c>
      <c r="CL183" s="182" t="b">
        <v>0</v>
      </c>
      <c r="CM183" s="182" t="b">
        <v>0</v>
      </c>
      <c r="CN183" s="182" t="b">
        <v>0</v>
      </c>
      <c r="CO183" s="182" t="b">
        <v>0</v>
      </c>
      <c r="CP183" s="182" t="b">
        <v>0</v>
      </c>
      <c r="CQ183" s="182" t="b">
        <v>0</v>
      </c>
      <c r="CR183" s="182" t="b">
        <v>0</v>
      </c>
      <c r="CS183" s="182" t="b">
        <v>0</v>
      </c>
    </row>
    <row r="184" spans="1:97" x14ac:dyDescent="0.25">
      <c r="A184" s="46" t="s">
        <v>730</v>
      </c>
      <c r="B184" s="178" t="s">
        <v>705</v>
      </c>
      <c r="C184" s="179"/>
      <c r="D184" s="179" t="s">
        <v>706</v>
      </c>
      <c r="E184" s="179"/>
      <c r="F184" s="184"/>
      <c r="G184" s="179"/>
      <c r="H184" s="179"/>
      <c r="I184" s="170"/>
      <c r="J184" s="179"/>
      <c r="K184" s="162"/>
      <c r="L184" s="179" t="s">
        <v>707</v>
      </c>
      <c r="M184" s="179"/>
      <c r="N184" s="162"/>
      <c r="O184" s="162" t="s">
        <v>708</v>
      </c>
      <c r="P184" s="179" t="s">
        <v>709</v>
      </c>
      <c r="Q184" s="184"/>
      <c r="R184" s="184"/>
      <c r="S184" s="184"/>
      <c r="T184" s="162"/>
      <c r="U184" s="171" t="s">
        <v>710</v>
      </c>
      <c r="V184" s="180"/>
      <c r="W184" s="171"/>
      <c r="X184" s="171"/>
      <c r="Y184" s="171"/>
      <c r="Z184" s="180"/>
      <c r="AA184" s="180"/>
      <c r="AB184" s="171" t="s">
        <v>711</v>
      </c>
      <c r="AC184" s="171"/>
      <c r="AD184" s="171"/>
      <c r="AE184" s="171"/>
      <c r="AF184" s="171"/>
      <c r="AG184" s="171"/>
      <c r="AH184" s="171" t="s">
        <v>712</v>
      </c>
      <c r="AI184" s="171"/>
      <c r="AJ184" s="171"/>
      <c r="AK184" s="171"/>
      <c r="AL184" s="172"/>
      <c r="AM184" s="181"/>
      <c r="AN184" s="181"/>
      <c r="AO184" s="172"/>
      <c r="AP184" s="172" t="s">
        <v>713</v>
      </c>
      <c r="AQ184" s="172" t="s">
        <v>714</v>
      </c>
      <c r="AR184" s="172"/>
      <c r="AS184" s="172" t="s">
        <v>715</v>
      </c>
      <c r="AT184" s="172"/>
      <c r="AU184" s="172"/>
      <c r="AV184" s="172"/>
      <c r="AW184" s="172"/>
      <c r="AX184" s="172"/>
      <c r="AY184" s="172"/>
      <c r="AZ184" s="172"/>
      <c r="BA184" s="172"/>
      <c r="BB184" s="172"/>
      <c r="BC184" s="181"/>
      <c r="BD184" s="172" t="s">
        <v>716</v>
      </c>
      <c r="BE184" s="172"/>
      <c r="BF184" s="181"/>
      <c r="BG184" s="172"/>
      <c r="BH184" s="174"/>
      <c r="BI184" s="174" t="s">
        <v>717</v>
      </c>
      <c r="BJ184" s="174"/>
      <c r="BK184" s="166" t="s">
        <v>718</v>
      </c>
      <c r="BL184" s="174" t="s">
        <v>719</v>
      </c>
      <c r="BM184" s="174" t="s">
        <v>720</v>
      </c>
      <c r="BN184" s="174"/>
      <c r="BO184" s="174"/>
      <c r="BP184" s="174"/>
      <c r="BQ184" s="174"/>
      <c r="BR184" s="174"/>
      <c r="BS184" s="174"/>
      <c r="BT184" s="174"/>
      <c r="BU184" s="174"/>
      <c r="BV184" s="174"/>
      <c r="BW184" s="166"/>
      <c r="BX184" s="166"/>
      <c r="BY184" s="166"/>
      <c r="BZ184" s="174"/>
      <c r="CA184" s="167"/>
      <c r="CB184" s="78"/>
      <c r="CC184" s="167" t="s">
        <v>721</v>
      </c>
      <c r="CD184" s="167"/>
      <c r="CE184" s="167"/>
      <c r="CF184" s="167" t="s">
        <v>722</v>
      </c>
      <c r="CG184" s="167"/>
      <c r="CH184" s="167"/>
      <c r="CI184" s="167"/>
      <c r="CJ184" s="167"/>
      <c r="CK184" s="167"/>
      <c r="CL184" s="167"/>
      <c r="CM184" s="167"/>
      <c r="CN184" s="167"/>
      <c r="CO184" s="167"/>
      <c r="CP184" s="167"/>
      <c r="CQ184" s="167"/>
      <c r="CR184" s="167"/>
      <c r="CS184" s="167"/>
    </row>
    <row r="185" spans="1:97" x14ac:dyDescent="0.25">
      <c r="A185" s="46" t="s">
        <v>731</v>
      </c>
      <c r="B185" s="178" t="s">
        <v>249</v>
      </c>
      <c r="C185" s="179"/>
      <c r="D185" s="179" t="s">
        <v>6</v>
      </c>
      <c r="E185" s="179"/>
      <c r="F185" s="184"/>
      <c r="G185" s="179"/>
      <c r="H185" s="179"/>
      <c r="I185" s="170"/>
      <c r="J185" s="179"/>
      <c r="K185" s="162"/>
      <c r="L185" s="179" t="s">
        <v>249</v>
      </c>
      <c r="M185" s="179"/>
      <c r="N185" s="162"/>
      <c r="O185" s="162" t="s">
        <v>249</v>
      </c>
      <c r="P185" s="179" t="s">
        <v>249</v>
      </c>
      <c r="Q185" s="184"/>
      <c r="R185" s="184"/>
      <c r="S185" s="184"/>
      <c r="T185" s="162"/>
      <c r="U185" s="171" t="s">
        <v>249</v>
      </c>
      <c r="V185" s="180"/>
      <c r="W185" s="171"/>
      <c r="X185" s="171"/>
      <c r="Y185" s="171"/>
      <c r="Z185" s="180"/>
      <c r="AA185" s="180"/>
      <c r="AB185" s="171" t="s">
        <v>249</v>
      </c>
      <c r="AC185" s="171"/>
      <c r="AD185" s="171"/>
      <c r="AE185" s="171"/>
      <c r="AF185" s="171"/>
      <c r="AG185" s="171"/>
      <c r="AH185" s="171" t="s">
        <v>249</v>
      </c>
      <c r="AI185" s="171"/>
      <c r="AJ185" s="171"/>
      <c r="AK185" s="171"/>
      <c r="AL185" s="172"/>
      <c r="AM185" s="181"/>
      <c r="AN185" s="181"/>
      <c r="AO185" s="172"/>
      <c r="AP185" s="172" t="s">
        <v>249</v>
      </c>
      <c r="AQ185" s="172" t="s">
        <v>249</v>
      </c>
      <c r="AR185" s="172"/>
      <c r="AS185" s="172" t="s">
        <v>249</v>
      </c>
      <c r="AT185" s="172"/>
      <c r="AU185" s="172"/>
      <c r="AV185" s="172"/>
      <c r="AW185" s="172"/>
      <c r="AX185" s="172"/>
      <c r="AY185" s="172"/>
      <c r="AZ185" s="172"/>
      <c r="BA185" s="172"/>
      <c r="BB185" s="172"/>
      <c r="BC185" s="181"/>
      <c r="BD185" s="172" t="s">
        <v>19</v>
      </c>
      <c r="BE185" s="172"/>
      <c r="BF185" s="181"/>
      <c r="BG185" s="172"/>
      <c r="BH185" s="174"/>
      <c r="BI185" s="174" t="s">
        <v>249</v>
      </c>
      <c r="BJ185" s="174"/>
      <c r="BK185" s="166" t="s">
        <v>6</v>
      </c>
      <c r="BL185" s="174" t="s">
        <v>249</v>
      </c>
      <c r="BM185" s="174" t="s">
        <v>249</v>
      </c>
      <c r="BN185" s="174"/>
      <c r="BO185" s="174"/>
      <c r="BP185" s="174"/>
      <c r="BQ185" s="174"/>
      <c r="BR185" s="174"/>
      <c r="BS185" s="174"/>
      <c r="BT185" s="174"/>
      <c r="BU185" s="174"/>
      <c r="BV185" s="174"/>
      <c r="BW185" s="166"/>
      <c r="BX185" s="166"/>
      <c r="BY185" s="166"/>
      <c r="BZ185" s="174"/>
      <c r="CA185" s="167"/>
      <c r="CB185" s="78"/>
      <c r="CC185" s="167" t="s">
        <v>249</v>
      </c>
      <c r="CD185" s="167"/>
      <c r="CE185" s="167"/>
      <c r="CF185" s="167" t="s">
        <v>249</v>
      </c>
      <c r="CG185" s="167"/>
      <c r="CH185" s="167"/>
      <c r="CI185" s="167"/>
      <c r="CJ185" s="167"/>
      <c r="CK185" s="167"/>
      <c r="CL185" s="167"/>
      <c r="CM185" s="167"/>
      <c r="CN185" s="167"/>
      <c r="CO185" s="167"/>
      <c r="CP185" s="167"/>
      <c r="CQ185" s="167"/>
      <c r="CR185" s="167"/>
      <c r="CS185" s="167"/>
    </row>
    <row r="186" spans="1:97" x14ac:dyDescent="0.25">
      <c r="A186" s="46" t="s">
        <v>732</v>
      </c>
      <c r="B186" s="178" t="s">
        <v>127</v>
      </c>
      <c r="C186" s="179"/>
      <c r="D186" s="179" t="s">
        <v>130</v>
      </c>
      <c r="E186" s="179"/>
      <c r="F186" s="184"/>
      <c r="G186" s="179"/>
      <c r="H186" s="179"/>
      <c r="I186" s="170"/>
      <c r="J186" s="179"/>
      <c r="K186" s="162"/>
      <c r="L186" s="179" t="s">
        <v>127</v>
      </c>
      <c r="M186" s="179"/>
      <c r="N186" s="162"/>
      <c r="O186" s="162" t="s">
        <v>127</v>
      </c>
      <c r="P186" s="179" t="s">
        <v>127</v>
      </c>
      <c r="Q186" s="184"/>
      <c r="R186" s="184"/>
      <c r="S186" s="184"/>
      <c r="T186" s="162"/>
      <c r="U186" s="171" t="s">
        <v>127</v>
      </c>
      <c r="V186" s="180"/>
      <c r="W186" s="171"/>
      <c r="X186" s="171"/>
      <c r="Y186" s="171"/>
      <c r="Z186" s="180"/>
      <c r="AA186" s="180"/>
      <c r="AB186" s="171" t="s">
        <v>127</v>
      </c>
      <c r="AC186" s="171"/>
      <c r="AD186" s="171"/>
      <c r="AE186" s="171"/>
      <c r="AF186" s="171"/>
      <c r="AG186" s="171"/>
      <c r="AH186" s="171" t="s">
        <v>127</v>
      </c>
      <c r="AI186" s="171"/>
      <c r="AJ186" s="171"/>
      <c r="AK186" s="171"/>
      <c r="AL186" s="172"/>
      <c r="AM186" s="181"/>
      <c r="AN186" s="181"/>
      <c r="AO186" s="172"/>
      <c r="AP186" s="172" t="s">
        <v>127</v>
      </c>
      <c r="AQ186" s="172" t="s">
        <v>127</v>
      </c>
      <c r="AR186" s="172"/>
      <c r="AS186" s="172" t="s">
        <v>127</v>
      </c>
      <c r="AT186" s="172"/>
      <c r="AU186" s="172"/>
      <c r="AV186" s="172"/>
      <c r="AW186" s="172"/>
      <c r="AX186" s="172"/>
      <c r="AY186" s="172"/>
      <c r="AZ186" s="172"/>
      <c r="BA186" s="172"/>
      <c r="BB186" s="172"/>
      <c r="BC186" s="181"/>
      <c r="BD186" s="172" t="s">
        <v>130</v>
      </c>
      <c r="BE186" s="172"/>
      <c r="BF186" s="181"/>
      <c r="BG186" s="172"/>
      <c r="BH186" s="174"/>
      <c r="BI186" s="174" t="s">
        <v>127</v>
      </c>
      <c r="BJ186" s="174"/>
      <c r="BK186" s="166" t="s">
        <v>226</v>
      </c>
      <c r="BL186" s="174" t="s">
        <v>127</v>
      </c>
      <c r="BM186" s="174" t="s">
        <v>127</v>
      </c>
      <c r="BN186" s="174"/>
      <c r="BO186" s="174"/>
      <c r="BP186" s="174"/>
      <c r="BQ186" s="174"/>
      <c r="BR186" s="174"/>
      <c r="BS186" s="174"/>
      <c r="BT186" s="174"/>
      <c r="BU186" s="174"/>
      <c r="BV186" s="174"/>
      <c r="BW186" s="166"/>
      <c r="BX186" s="166"/>
      <c r="BY186" s="166"/>
      <c r="BZ186" s="174"/>
      <c r="CA186" s="167"/>
      <c r="CB186" s="78"/>
      <c r="CC186" s="167" t="s">
        <v>127</v>
      </c>
      <c r="CD186" s="167"/>
      <c r="CE186" s="167"/>
      <c r="CF186" s="167" t="s">
        <v>127</v>
      </c>
      <c r="CG186" s="167"/>
      <c r="CH186" s="167"/>
      <c r="CI186" s="167"/>
      <c r="CJ186" s="167"/>
      <c r="CK186" s="167"/>
      <c r="CL186" s="167"/>
      <c r="CM186" s="167"/>
      <c r="CN186" s="167"/>
      <c r="CO186" s="167"/>
      <c r="CP186" s="167"/>
      <c r="CQ186" s="167"/>
      <c r="CR186" s="167"/>
      <c r="CS186" s="167"/>
    </row>
    <row r="187" spans="1:97" x14ac:dyDescent="0.25">
      <c r="A187" s="46" t="s">
        <v>733</v>
      </c>
      <c r="B187" s="168">
        <f>80%+(char3Refine-1)*20%</f>
        <v>0.8</v>
      </c>
      <c r="C187" s="179"/>
      <c r="D187" s="185">
        <f>40%+(char3Refine-1)*10%</f>
        <v>0.4</v>
      </c>
      <c r="E187" s="179"/>
      <c r="F187" s="184"/>
      <c r="G187" s="179"/>
      <c r="H187" s="179"/>
      <c r="I187" s="170"/>
      <c r="J187" s="179"/>
      <c r="K187" s="162"/>
      <c r="L187" s="185">
        <f>80%+(char3Refine-1)*15%</f>
        <v>0.8</v>
      </c>
      <c r="M187" s="179"/>
      <c r="N187" s="162"/>
      <c r="O187" s="185">
        <f>240%+(char3Refine-1)*60%</f>
        <v>2.4</v>
      </c>
      <c r="P187" s="170">
        <f>100%+(char3Refine-1)*25%</f>
        <v>1</v>
      </c>
      <c r="Q187" s="184"/>
      <c r="R187" s="184"/>
      <c r="S187" s="184"/>
      <c r="T187" s="162"/>
      <c r="U187" s="171">
        <f>40%+(char3Refine-1)*15%</f>
        <v>0.4</v>
      </c>
      <c r="V187" s="180"/>
      <c r="W187" s="171"/>
      <c r="X187" s="171"/>
      <c r="Y187" s="171"/>
      <c r="Z187" s="180"/>
      <c r="AA187" s="180"/>
      <c r="AB187" s="171">
        <f>60%+(char3Refine-1)*15%</f>
        <v>0.6</v>
      </c>
      <c r="AC187" s="171"/>
      <c r="AD187" s="171"/>
      <c r="AE187" s="171"/>
      <c r="AF187" s="171"/>
      <c r="AG187" s="171"/>
      <c r="AH187" s="171">
        <f>20%+(char3Refine-1)*5%</f>
        <v>0.2</v>
      </c>
      <c r="AI187" s="171"/>
      <c r="AJ187" s="171"/>
      <c r="AK187" s="171"/>
      <c r="AL187" s="172"/>
      <c r="AM187" s="181"/>
      <c r="AN187" s="181"/>
      <c r="AO187" s="172"/>
      <c r="AP187" s="172">
        <f>20%+(char3Refine-1)*5%</f>
        <v>0.2</v>
      </c>
      <c r="AQ187" s="172">
        <f>200%+(char3Refine-1)*30%</f>
        <v>2</v>
      </c>
      <c r="AR187" s="172"/>
      <c r="AS187" s="172">
        <f>100%+(char3Refine-1)*25%</f>
        <v>1</v>
      </c>
      <c r="AT187" s="172"/>
      <c r="AU187" s="172"/>
      <c r="AV187" s="172"/>
      <c r="AW187" s="172"/>
      <c r="AX187" s="172"/>
      <c r="AY187" s="172"/>
      <c r="AZ187" s="172"/>
      <c r="BA187" s="172"/>
      <c r="BB187" s="172"/>
      <c r="BC187" s="181"/>
      <c r="BD187" s="172">
        <f>40%+(char3Refine-1)*10%</f>
        <v>0.4</v>
      </c>
      <c r="BE187" s="172"/>
      <c r="BF187" s="181"/>
      <c r="BG187" s="172"/>
      <c r="BH187" s="174"/>
      <c r="BI187" s="174">
        <f>160%+(char3Refine-1)*40%</f>
        <v>1.6</v>
      </c>
      <c r="BJ187" s="174"/>
      <c r="BK187" s="174">
        <f>1%+(char3Refine-1)*0.5%</f>
        <v>0.01</v>
      </c>
      <c r="BL187" s="174">
        <f>60%+(char3Refine-1)*15%</f>
        <v>0.6</v>
      </c>
      <c r="BM187" s="174">
        <f>240%+(char3Refine-1)*30%</f>
        <v>2.4</v>
      </c>
      <c r="BN187" s="174"/>
      <c r="BO187" s="174"/>
      <c r="BP187" s="174"/>
      <c r="BQ187" s="174"/>
      <c r="BR187" s="174"/>
      <c r="BS187" s="174"/>
      <c r="BT187" s="174"/>
      <c r="BU187" s="174"/>
      <c r="BV187" s="174"/>
      <c r="BW187" s="166"/>
      <c r="BX187" s="166"/>
      <c r="BY187" s="166"/>
      <c r="BZ187" s="174"/>
      <c r="CA187" s="167"/>
      <c r="CB187" s="78"/>
      <c r="CC187" s="177">
        <v>1.25</v>
      </c>
      <c r="CD187" s="167"/>
      <c r="CE187" s="167"/>
      <c r="CF187" s="186">
        <f>40%+(char3Refine-1)*10%</f>
        <v>0.4</v>
      </c>
      <c r="CG187" s="167"/>
      <c r="CH187" s="167"/>
      <c r="CI187" s="167"/>
      <c r="CJ187" s="167"/>
      <c r="CK187" s="167"/>
      <c r="CL187" s="167"/>
      <c r="CM187" s="167"/>
      <c r="CN187" s="167"/>
      <c r="CO187" s="167"/>
      <c r="CP187" s="167"/>
      <c r="CQ187" s="167"/>
      <c r="CR187" s="167"/>
      <c r="CS187" s="167"/>
    </row>
    <row r="188" spans="1:97" x14ac:dyDescent="0.25">
      <c r="A188" s="46" t="s">
        <v>734</v>
      </c>
      <c r="B188" s="178" t="s">
        <v>723</v>
      </c>
      <c r="C188" s="179"/>
      <c r="D188" s="179" t="str">
        <f>char3NAElement</f>
        <v>Phys</v>
      </c>
      <c r="E188" s="179"/>
      <c r="F188" s="184"/>
      <c r="G188" s="179"/>
      <c r="H188" s="179"/>
      <c r="I188" s="170"/>
      <c r="J188" s="179"/>
      <c r="K188" s="162"/>
      <c r="L188" s="179" t="s">
        <v>723</v>
      </c>
      <c r="M188" s="179"/>
      <c r="N188" s="162"/>
      <c r="O188" s="162" t="s">
        <v>723</v>
      </c>
      <c r="P188" s="179" t="s">
        <v>723</v>
      </c>
      <c r="Q188" s="184"/>
      <c r="R188" s="184"/>
      <c r="S188" s="184"/>
      <c r="T188" s="162"/>
      <c r="U188" s="171" t="s">
        <v>723</v>
      </c>
      <c r="V188" s="180"/>
      <c r="W188" s="171"/>
      <c r="X188" s="171"/>
      <c r="Y188" s="171"/>
      <c r="Z188" s="180"/>
      <c r="AA188" s="180"/>
      <c r="AB188" s="171" t="s">
        <v>723</v>
      </c>
      <c r="AC188" s="171"/>
      <c r="AD188" s="171"/>
      <c r="AE188" s="171"/>
      <c r="AF188" s="171"/>
      <c r="AG188" s="171"/>
      <c r="AH188" s="171"/>
      <c r="AI188" s="171"/>
      <c r="AJ188" s="171"/>
      <c r="AK188" s="171"/>
      <c r="AL188" s="172"/>
      <c r="AM188" s="181"/>
      <c r="AN188" s="181"/>
      <c r="AO188" s="172"/>
      <c r="AP188" s="172" t="s">
        <v>723</v>
      </c>
      <c r="AQ188" s="172" t="s">
        <v>723</v>
      </c>
      <c r="AR188" s="172"/>
      <c r="AS188" s="172" t="s">
        <v>723</v>
      </c>
      <c r="AT188" s="172"/>
      <c r="AU188" s="172"/>
      <c r="AV188" s="172"/>
      <c r="AW188" s="172"/>
      <c r="AX188" s="172"/>
      <c r="AY188" s="172"/>
      <c r="AZ188" s="172"/>
      <c r="BA188" s="172"/>
      <c r="BB188" s="172"/>
      <c r="BC188" s="181"/>
      <c r="BD188" s="172" t="str">
        <f>char3SkillElement</f>
        <v>Pyro</v>
      </c>
      <c r="BE188" s="172"/>
      <c r="BF188" s="181"/>
      <c r="BG188" s="172"/>
      <c r="BH188" s="174"/>
      <c r="BI188" s="174" t="s">
        <v>723</v>
      </c>
      <c r="BJ188" s="174"/>
      <c r="BK188" s="166" t="str">
        <f>char3NAElement</f>
        <v>Phys</v>
      </c>
      <c r="BL188" s="174" t="s">
        <v>723</v>
      </c>
      <c r="BM188" s="174" t="s">
        <v>723</v>
      </c>
      <c r="BN188" s="174"/>
      <c r="BO188" s="174"/>
      <c r="BP188" s="174"/>
      <c r="BQ188" s="174"/>
      <c r="BR188" s="174"/>
      <c r="BS188" s="174"/>
      <c r="BT188" s="174"/>
      <c r="BU188" s="174"/>
      <c r="BV188" s="174"/>
      <c r="BW188" s="166"/>
      <c r="BX188" s="166"/>
      <c r="BY188" s="166"/>
      <c r="BZ188" s="174"/>
      <c r="CA188" s="167"/>
      <c r="CB188" s="78"/>
      <c r="CC188" s="167" t="s">
        <v>723</v>
      </c>
      <c r="CD188" s="167"/>
      <c r="CE188" s="167"/>
      <c r="CF188" s="167" t="s">
        <v>723</v>
      </c>
      <c r="CG188" s="167"/>
      <c r="CH188" s="167"/>
      <c r="CI188" s="167"/>
      <c r="CJ188" s="167"/>
      <c r="CK188" s="167"/>
      <c r="CL188" s="167"/>
      <c r="CM188" s="167"/>
      <c r="CN188" s="167"/>
      <c r="CO188" s="167"/>
      <c r="CP188" s="167"/>
      <c r="CQ188" s="167"/>
      <c r="CR188" s="167"/>
      <c r="CS188" s="167"/>
    </row>
    <row r="189" spans="1:97" x14ac:dyDescent="0.25">
      <c r="A189" s="46" t="s">
        <v>735</v>
      </c>
      <c r="B189" s="178"/>
      <c r="C189" s="179"/>
      <c r="D189" s="179" t="s">
        <v>724</v>
      </c>
      <c r="E189" s="179"/>
      <c r="F189" s="184"/>
      <c r="G189" s="179"/>
      <c r="H189" s="179"/>
      <c r="I189" s="170"/>
      <c r="J189" s="179"/>
      <c r="K189" s="162"/>
      <c r="L189" s="179" t="s">
        <v>725</v>
      </c>
      <c r="M189" s="179"/>
      <c r="N189" s="162"/>
      <c r="O189" s="162"/>
      <c r="P189" s="179"/>
      <c r="Q189" s="184"/>
      <c r="R189" s="184"/>
      <c r="S189" s="184"/>
      <c r="T189" s="162"/>
      <c r="U189" s="171"/>
      <c r="V189" s="180"/>
      <c r="W189" s="171"/>
      <c r="X189" s="171"/>
      <c r="Y189" s="171"/>
      <c r="Z189" s="180"/>
      <c r="AA189" s="180"/>
      <c r="AB189" s="171" t="s">
        <v>726</v>
      </c>
      <c r="AC189" s="171"/>
      <c r="AD189" s="171"/>
      <c r="AE189" s="171"/>
      <c r="AF189" s="171"/>
      <c r="AG189" s="171"/>
      <c r="AH189" s="171"/>
      <c r="AI189" s="171"/>
      <c r="AJ189" s="171"/>
      <c r="AK189" s="171"/>
      <c r="AL189" s="172"/>
      <c r="AM189" s="181"/>
      <c r="AN189" s="181"/>
      <c r="AO189" s="172"/>
      <c r="AP189" s="172"/>
      <c r="AQ189" s="172"/>
      <c r="AR189" s="172"/>
      <c r="AS189" s="172"/>
      <c r="AT189" s="172"/>
      <c r="AU189" s="172"/>
      <c r="AV189" s="172"/>
      <c r="AW189" s="172"/>
      <c r="AX189" s="172"/>
      <c r="AY189" s="172"/>
      <c r="AZ189" s="172"/>
      <c r="BA189" s="172"/>
      <c r="BB189" s="172"/>
      <c r="BC189" s="181"/>
      <c r="BD189" s="172"/>
      <c r="BE189" s="172"/>
      <c r="BF189" s="181"/>
      <c r="BG189" s="172"/>
      <c r="BH189" s="174"/>
      <c r="BI189" s="174"/>
      <c r="BJ189" s="174"/>
      <c r="BK189" s="166"/>
      <c r="BL189" s="174" t="s">
        <v>726</v>
      </c>
      <c r="BM189" s="174"/>
      <c r="BN189" s="174"/>
      <c r="BO189" s="174"/>
      <c r="BP189" s="174"/>
      <c r="BQ189" s="174"/>
      <c r="BR189" s="174"/>
      <c r="BS189" s="174"/>
      <c r="BT189" s="174"/>
      <c r="BU189" s="174"/>
      <c r="BV189" s="174"/>
      <c r="BW189" s="166"/>
      <c r="BX189" s="166"/>
      <c r="BY189" s="166"/>
      <c r="BZ189" s="174"/>
      <c r="CA189" s="167"/>
      <c r="CB189" s="78"/>
      <c r="CC189" s="167"/>
      <c r="CD189" s="167"/>
      <c r="CE189" s="167"/>
      <c r="CF189" s="167"/>
      <c r="CG189" s="167"/>
      <c r="CH189" s="167"/>
      <c r="CI189" s="167"/>
      <c r="CJ189" s="167"/>
      <c r="CK189" s="167"/>
      <c r="CL189" s="167"/>
      <c r="CM189" s="167"/>
      <c r="CN189" s="167"/>
      <c r="CO189" s="167"/>
      <c r="CP189" s="167"/>
      <c r="CQ189" s="167"/>
      <c r="CR189" s="167"/>
      <c r="CS189" s="167"/>
    </row>
    <row r="190" spans="1:97" x14ac:dyDescent="0.25">
      <c r="A190" s="46" t="s">
        <v>736</v>
      </c>
      <c r="B190" s="178"/>
      <c r="C190" s="179"/>
      <c r="D190" s="179" t="s">
        <v>5</v>
      </c>
      <c r="E190" s="179"/>
      <c r="F190" s="184"/>
      <c r="G190" s="179"/>
      <c r="H190" s="179"/>
      <c r="I190" s="170"/>
      <c r="J190" s="179"/>
      <c r="K190" s="162"/>
      <c r="L190" s="179" t="s">
        <v>249</v>
      </c>
      <c r="M190" s="179"/>
      <c r="N190" s="162"/>
      <c r="O190" s="162"/>
      <c r="P190" s="179"/>
      <c r="Q190" s="184"/>
      <c r="R190" s="184"/>
      <c r="S190" s="184"/>
      <c r="T190" s="162"/>
      <c r="U190" s="171"/>
      <c r="V190" s="180"/>
      <c r="W190" s="171"/>
      <c r="X190" s="171"/>
      <c r="Y190" s="171"/>
      <c r="Z190" s="180"/>
      <c r="AA190" s="180"/>
      <c r="AB190" s="171" t="s">
        <v>249</v>
      </c>
      <c r="AC190" s="171"/>
      <c r="AD190" s="171"/>
      <c r="AE190" s="171"/>
      <c r="AF190" s="171"/>
      <c r="AG190" s="171"/>
      <c r="AH190" s="171"/>
      <c r="AI190" s="171"/>
      <c r="AJ190" s="171"/>
      <c r="AK190" s="171"/>
      <c r="AL190" s="172"/>
      <c r="AM190" s="181"/>
      <c r="AN190" s="181"/>
      <c r="AO190" s="172"/>
      <c r="AP190" s="172"/>
      <c r="AQ190" s="172"/>
      <c r="AR190" s="172"/>
      <c r="AS190" s="172"/>
      <c r="AT190" s="172"/>
      <c r="AU190" s="172"/>
      <c r="AV190" s="172"/>
      <c r="AW190" s="172"/>
      <c r="AX190" s="172"/>
      <c r="AY190" s="172"/>
      <c r="AZ190" s="172"/>
      <c r="BA190" s="172"/>
      <c r="BB190" s="172"/>
      <c r="BC190" s="181"/>
      <c r="BD190" s="172"/>
      <c r="BE190" s="172"/>
      <c r="BF190" s="181"/>
      <c r="BG190" s="172"/>
      <c r="BH190" s="174"/>
      <c r="BI190" s="174"/>
      <c r="BJ190" s="174"/>
      <c r="BK190" s="166"/>
      <c r="BL190" s="174" t="s">
        <v>249</v>
      </c>
      <c r="BM190" s="174"/>
      <c r="BN190" s="174"/>
      <c r="BO190" s="174"/>
      <c r="BP190" s="174"/>
      <c r="BQ190" s="174"/>
      <c r="BR190" s="174"/>
      <c r="BS190" s="174"/>
      <c r="BT190" s="174"/>
      <c r="BU190" s="174"/>
      <c r="BV190" s="174"/>
      <c r="BW190" s="166"/>
      <c r="BX190" s="166"/>
      <c r="BY190" s="166"/>
      <c r="BZ190" s="174"/>
      <c r="CA190" s="167"/>
      <c r="CB190" s="78"/>
      <c r="CC190" s="167"/>
      <c r="CD190" s="167"/>
      <c r="CE190" s="167"/>
      <c r="CF190" s="167"/>
      <c r="CG190" s="167"/>
      <c r="CH190" s="167"/>
      <c r="CI190" s="167"/>
      <c r="CJ190" s="167"/>
      <c r="CK190" s="167"/>
      <c r="CL190" s="167"/>
      <c r="CM190" s="167"/>
      <c r="CN190" s="167"/>
      <c r="CO190" s="167"/>
      <c r="CP190" s="167"/>
      <c r="CQ190" s="167"/>
      <c r="CR190" s="167"/>
      <c r="CS190" s="167"/>
    </row>
    <row r="191" spans="1:97" x14ac:dyDescent="0.25">
      <c r="A191" s="46" t="s">
        <v>737</v>
      </c>
      <c r="B191" s="178"/>
      <c r="C191" s="179"/>
      <c r="D191" s="179" t="s">
        <v>130</v>
      </c>
      <c r="E191" s="179"/>
      <c r="F191" s="184"/>
      <c r="G191" s="179"/>
      <c r="H191" s="179"/>
      <c r="I191" s="170"/>
      <c r="J191" s="179"/>
      <c r="K191" s="162"/>
      <c r="L191" s="179" t="s">
        <v>127</v>
      </c>
      <c r="M191" s="179"/>
      <c r="N191" s="162"/>
      <c r="O191" s="162"/>
      <c r="P191" s="179"/>
      <c r="Q191" s="184"/>
      <c r="R191" s="184"/>
      <c r="S191" s="184"/>
      <c r="T191" s="162"/>
      <c r="U191" s="171"/>
      <c r="V191" s="180"/>
      <c r="W191" s="171"/>
      <c r="X191" s="171"/>
      <c r="Y191" s="171"/>
      <c r="Z191" s="180"/>
      <c r="AA191" s="180"/>
      <c r="AB191" s="171" t="s">
        <v>127</v>
      </c>
      <c r="AC191" s="171"/>
      <c r="AD191" s="171"/>
      <c r="AE191" s="171"/>
      <c r="AF191" s="171"/>
      <c r="AG191" s="171"/>
      <c r="AH191" s="171"/>
      <c r="AI191" s="171"/>
      <c r="AJ191" s="171"/>
      <c r="AK191" s="171"/>
      <c r="AL191" s="172"/>
      <c r="AM191" s="181"/>
      <c r="AN191" s="181"/>
      <c r="AO191" s="172"/>
      <c r="AP191" s="172"/>
      <c r="AQ191" s="172"/>
      <c r="AR191" s="172"/>
      <c r="AS191" s="172"/>
      <c r="AT191" s="172"/>
      <c r="AU191" s="172"/>
      <c r="AV191" s="172"/>
      <c r="AW191" s="172"/>
      <c r="AX191" s="172"/>
      <c r="AY191" s="172"/>
      <c r="AZ191" s="172"/>
      <c r="BA191" s="172"/>
      <c r="BB191" s="172"/>
      <c r="BC191" s="181"/>
      <c r="BD191" s="172"/>
      <c r="BE191" s="172"/>
      <c r="BF191" s="181"/>
      <c r="BG191" s="172"/>
      <c r="BH191" s="174"/>
      <c r="BI191" s="174"/>
      <c r="BJ191" s="174"/>
      <c r="BK191" s="166"/>
      <c r="BL191" s="174" t="s">
        <v>127</v>
      </c>
      <c r="BM191" s="174"/>
      <c r="BN191" s="174"/>
      <c r="BO191" s="174"/>
      <c r="BP191" s="174"/>
      <c r="BQ191" s="174"/>
      <c r="BR191" s="174"/>
      <c r="BS191" s="174"/>
      <c r="BT191" s="174"/>
      <c r="BU191" s="174"/>
      <c r="BV191" s="174"/>
      <c r="BW191" s="166"/>
      <c r="BX191" s="166"/>
      <c r="BY191" s="166"/>
      <c r="BZ191" s="174"/>
      <c r="CA191" s="167"/>
      <c r="CB191" s="78"/>
      <c r="CC191" s="167"/>
      <c r="CD191" s="167"/>
      <c r="CE191" s="167"/>
      <c r="CF191" s="167"/>
      <c r="CG191" s="167"/>
      <c r="CH191" s="167"/>
      <c r="CI191" s="167"/>
      <c r="CJ191" s="167"/>
      <c r="CK191" s="167"/>
      <c r="CL191" s="167"/>
      <c r="CM191" s="167"/>
      <c r="CN191" s="167"/>
      <c r="CO191" s="167"/>
      <c r="CP191" s="167"/>
      <c r="CQ191" s="167"/>
      <c r="CR191" s="167"/>
      <c r="CS191" s="167"/>
    </row>
    <row r="192" spans="1:97" x14ac:dyDescent="0.25">
      <c r="A192" s="46" t="s">
        <v>738</v>
      </c>
      <c r="B192" s="178"/>
      <c r="C192" s="179"/>
      <c r="D192" s="169">
        <f>0.4+(char3Refine-1)*0.1</f>
        <v>0.4</v>
      </c>
      <c r="E192" s="179"/>
      <c r="F192" s="184"/>
      <c r="G192" s="179"/>
      <c r="H192" s="179"/>
      <c r="I192" s="170"/>
      <c r="J192" s="179"/>
      <c r="K192" s="162"/>
      <c r="L192" s="185">
        <f>200%+(char3Refine-1)*40%</f>
        <v>2</v>
      </c>
      <c r="M192" s="179"/>
      <c r="N192" s="162"/>
      <c r="O192" s="162"/>
      <c r="P192" s="179"/>
      <c r="Q192" s="184"/>
      <c r="R192" s="184"/>
      <c r="S192" s="184"/>
      <c r="T192" s="162"/>
      <c r="U192" s="171"/>
      <c r="V192" s="180"/>
      <c r="W192" s="171"/>
      <c r="X192" s="171"/>
      <c r="Y192" s="171"/>
      <c r="Z192" s="180"/>
      <c r="AA192" s="180"/>
      <c r="AB192" s="171">
        <f>200%+(char3Refine-1)*40%</f>
        <v>2</v>
      </c>
      <c r="AC192" s="171"/>
      <c r="AD192" s="171"/>
      <c r="AE192" s="171"/>
      <c r="AF192" s="171"/>
      <c r="AG192" s="171"/>
      <c r="AH192" s="171"/>
      <c r="AI192" s="171"/>
      <c r="AJ192" s="171"/>
      <c r="AK192" s="171"/>
      <c r="AL192" s="172"/>
      <c r="AM192" s="181"/>
      <c r="AN192" s="181"/>
      <c r="AO192" s="172"/>
      <c r="AP192" s="172"/>
      <c r="AQ192" s="172"/>
      <c r="AR192" s="172"/>
      <c r="AS192" s="172"/>
      <c r="AT192" s="172"/>
      <c r="AU192" s="172"/>
      <c r="AV192" s="172"/>
      <c r="AW192" s="172"/>
      <c r="AX192" s="172"/>
      <c r="AY192" s="172"/>
      <c r="AZ192" s="172"/>
      <c r="BA192" s="172"/>
      <c r="BB192" s="172"/>
      <c r="BC192" s="181"/>
      <c r="BD192" s="172"/>
      <c r="BE192" s="172"/>
      <c r="BF192" s="181"/>
      <c r="BG192" s="172"/>
      <c r="BH192" s="174"/>
      <c r="BI192" s="174"/>
      <c r="BJ192" s="174"/>
      <c r="BK192" s="166"/>
      <c r="BL192" s="174">
        <f>200%+(char3Refine-1)*40%</f>
        <v>2</v>
      </c>
      <c r="BM192" s="174"/>
      <c r="BN192" s="174"/>
      <c r="BO192" s="174"/>
      <c r="BP192" s="174"/>
      <c r="BQ192" s="174"/>
      <c r="BR192" s="174"/>
      <c r="BS192" s="174"/>
      <c r="BT192" s="174"/>
      <c r="BU192" s="174"/>
      <c r="BV192" s="174"/>
      <c r="BW192" s="166"/>
      <c r="BX192" s="166"/>
      <c r="BY192" s="166"/>
      <c r="BZ192" s="174"/>
      <c r="CA192" s="167"/>
      <c r="CB192" s="78"/>
      <c r="CC192" s="167"/>
      <c r="CD192" s="167"/>
      <c r="CE192" s="167"/>
      <c r="CF192" s="167"/>
      <c r="CG192" s="167"/>
      <c r="CH192" s="167"/>
      <c r="CI192" s="167"/>
      <c r="CJ192" s="167"/>
      <c r="CK192" s="167"/>
      <c r="CL192" s="167"/>
      <c r="CM192" s="167"/>
      <c r="CN192" s="167"/>
      <c r="CO192" s="167"/>
      <c r="CP192" s="167"/>
      <c r="CQ192" s="167"/>
      <c r="CR192" s="167"/>
      <c r="CS192" s="167"/>
    </row>
    <row r="193" spans="1:97" x14ac:dyDescent="0.25">
      <c r="A193" s="46" t="s">
        <v>739</v>
      </c>
      <c r="B193" s="178"/>
      <c r="C193" s="179"/>
      <c r="D193" s="169" t="str">
        <f>char3CAElement</f>
        <v>Phys</v>
      </c>
      <c r="E193" s="179"/>
      <c r="F193" s="184"/>
      <c r="G193" s="179"/>
      <c r="H193" s="179"/>
      <c r="I193" s="170"/>
      <c r="J193" s="179"/>
      <c r="K193" s="162"/>
      <c r="L193" s="179" t="s">
        <v>723</v>
      </c>
      <c r="M193" s="179"/>
      <c r="N193" s="162"/>
      <c r="O193" s="162"/>
      <c r="P193" s="179"/>
      <c r="Q193" s="184"/>
      <c r="R193" s="184"/>
      <c r="S193" s="184"/>
      <c r="T193" s="162"/>
      <c r="U193" s="171"/>
      <c r="V193" s="180"/>
      <c r="W193" s="171"/>
      <c r="X193" s="171"/>
      <c r="Y193" s="171"/>
      <c r="Z193" s="180"/>
      <c r="AA193" s="180"/>
      <c r="AB193" s="171" t="s">
        <v>723</v>
      </c>
      <c r="AC193" s="171"/>
      <c r="AD193" s="171"/>
      <c r="AE193" s="171"/>
      <c r="AF193" s="171"/>
      <c r="AG193" s="171"/>
      <c r="AH193" s="171"/>
      <c r="AI193" s="171"/>
      <c r="AJ193" s="171"/>
      <c r="AK193" s="171"/>
      <c r="AL193" s="172"/>
      <c r="AM193" s="181"/>
      <c r="AN193" s="181"/>
      <c r="AO193" s="172"/>
      <c r="AP193" s="172"/>
      <c r="AQ193" s="172"/>
      <c r="AR193" s="172"/>
      <c r="AS193" s="172"/>
      <c r="AT193" s="172"/>
      <c r="AU193" s="172"/>
      <c r="AV193" s="172"/>
      <c r="AW193" s="172"/>
      <c r="AX193" s="172"/>
      <c r="AY193" s="172"/>
      <c r="AZ193" s="172"/>
      <c r="BA193" s="172"/>
      <c r="BB193" s="172"/>
      <c r="BC193" s="181"/>
      <c r="BD193" s="172"/>
      <c r="BE193" s="172"/>
      <c r="BF193" s="181"/>
      <c r="BG193" s="172"/>
      <c r="BH193" s="174"/>
      <c r="BI193" s="174"/>
      <c r="BJ193" s="174"/>
      <c r="BK193" s="166"/>
      <c r="BL193" s="174" t="s">
        <v>723</v>
      </c>
      <c r="BM193" s="174"/>
      <c r="BN193" s="174"/>
      <c r="BO193" s="174"/>
      <c r="BP193" s="174"/>
      <c r="BQ193" s="174"/>
      <c r="BR193" s="174"/>
      <c r="BS193" s="174"/>
      <c r="BT193" s="174"/>
      <c r="BU193" s="174"/>
      <c r="BV193" s="174"/>
      <c r="BW193" s="166"/>
      <c r="BX193" s="166"/>
      <c r="BY193" s="166"/>
      <c r="BZ193" s="174"/>
      <c r="CA193" s="167"/>
      <c r="CB193" s="78"/>
      <c r="CC193" s="167"/>
      <c r="CD193" s="167"/>
      <c r="CE193" s="167"/>
      <c r="CF193" s="167"/>
      <c r="CG193" s="167"/>
      <c r="CH193" s="167"/>
      <c r="CI193" s="167"/>
      <c r="CJ193" s="167"/>
      <c r="CK193" s="167"/>
      <c r="CL193" s="167"/>
      <c r="CM193" s="167"/>
      <c r="CN193" s="167"/>
      <c r="CO193" s="167"/>
      <c r="CP193" s="167"/>
      <c r="CQ193" s="167"/>
      <c r="CR193" s="167"/>
      <c r="CS193" s="167"/>
    </row>
    <row r="194" spans="1:97" x14ac:dyDescent="0.25">
      <c r="A194" s="46" t="s">
        <v>740</v>
      </c>
      <c r="B194" s="178"/>
      <c r="C194" s="179"/>
      <c r="D194" s="179"/>
      <c r="E194" s="179"/>
      <c r="F194" s="184"/>
      <c r="G194" s="179"/>
      <c r="H194" s="179"/>
      <c r="I194" s="170"/>
      <c r="J194" s="179"/>
      <c r="K194" s="162"/>
      <c r="L194" s="179"/>
      <c r="M194" s="179"/>
      <c r="N194" s="162"/>
      <c r="O194" s="162"/>
      <c r="P194" s="179"/>
      <c r="Q194" s="184"/>
      <c r="R194" s="184"/>
      <c r="S194" s="184"/>
      <c r="T194" s="162"/>
      <c r="U194" s="171"/>
      <c r="V194" s="180"/>
      <c r="W194" s="171"/>
      <c r="X194" s="171"/>
      <c r="Y194" s="171"/>
      <c r="Z194" s="180"/>
      <c r="AA194" s="180"/>
      <c r="AB194" s="171"/>
      <c r="AC194" s="171"/>
      <c r="AD194" s="171"/>
      <c r="AE194" s="171"/>
      <c r="AF194" s="171"/>
      <c r="AG194" s="171"/>
      <c r="AH194" s="171"/>
      <c r="AI194" s="171"/>
      <c r="AJ194" s="171"/>
      <c r="AK194" s="171"/>
      <c r="AL194" s="172"/>
      <c r="AM194" s="181"/>
      <c r="AN194" s="181"/>
      <c r="AO194" s="172"/>
      <c r="AP194" s="172"/>
      <c r="AQ194" s="172"/>
      <c r="AR194" s="172"/>
      <c r="AS194" s="172"/>
      <c r="AT194" s="172"/>
      <c r="AU194" s="172"/>
      <c r="AV194" s="172"/>
      <c r="AW194" s="172"/>
      <c r="AX194" s="172"/>
      <c r="AY194" s="172"/>
      <c r="AZ194" s="172"/>
      <c r="BA194" s="172"/>
      <c r="BB194" s="172"/>
      <c r="BC194" s="181"/>
      <c r="BD194" s="172"/>
      <c r="BE194" s="172"/>
      <c r="BF194" s="181"/>
      <c r="BG194" s="172"/>
      <c r="BH194" s="174"/>
      <c r="BI194" s="174"/>
      <c r="BJ194" s="174"/>
      <c r="BK194" s="166"/>
      <c r="BL194" s="174"/>
      <c r="BM194" s="174"/>
      <c r="BN194" s="174"/>
      <c r="BO194" s="174"/>
      <c r="BP194" s="174"/>
      <c r="BQ194" s="174"/>
      <c r="BR194" s="174"/>
      <c r="BS194" s="174"/>
      <c r="BT194" s="174"/>
      <c r="BU194" s="174"/>
      <c r="BV194" s="174"/>
      <c r="BW194" s="166"/>
      <c r="BX194" s="166"/>
      <c r="BY194" s="166"/>
      <c r="BZ194" s="174"/>
      <c r="CA194" s="167"/>
      <c r="CB194" s="78"/>
      <c r="CC194" s="167"/>
      <c r="CD194" s="167"/>
      <c r="CE194" s="167"/>
      <c r="CF194" s="167"/>
      <c r="CG194" s="167"/>
      <c r="CH194" s="167"/>
      <c r="CI194" s="167"/>
      <c r="CJ194" s="167"/>
      <c r="CK194" s="167"/>
      <c r="CL194" s="167"/>
      <c r="CM194" s="167"/>
      <c r="CN194" s="167"/>
      <c r="CO194" s="167"/>
      <c r="CP194" s="167"/>
      <c r="CQ194" s="167"/>
      <c r="CR194" s="167"/>
      <c r="CS194" s="167"/>
    </row>
    <row r="195" spans="1:97" x14ac:dyDescent="0.25">
      <c r="A195" s="46" t="s">
        <v>741</v>
      </c>
      <c r="B195" s="178"/>
      <c r="C195" s="179"/>
      <c r="D195" s="179"/>
      <c r="E195" s="179"/>
      <c r="F195" s="184"/>
      <c r="G195" s="179"/>
      <c r="H195" s="179"/>
      <c r="I195" s="170"/>
      <c r="J195" s="179"/>
      <c r="K195" s="162"/>
      <c r="L195" s="179"/>
      <c r="M195" s="179"/>
      <c r="N195" s="162"/>
      <c r="O195" s="162"/>
      <c r="P195" s="179"/>
      <c r="Q195" s="184"/>
      <c r="R195" s="184"/>
      <c r="S195" s="184"/>
      <c r="T195" s="162"/>
      <c r="U195" s="171"/>
      <c r="V195" s="180"/>
      <c r="W195" s="171"/>
      <c r="X195" s="171"/>
      <c r="Y195" s="171"/>
      <c r="Z195" s="180"/>
      <c r="AA195" s="180"/>
      <c r="AB195" s="171"/>
      <c r="AC195" s="171"/>
      <c r="AD195" s="171"/>
      <c r="AE195" s="171"/>
      <c r="AF195" s="171"/>
      <c r="AG195" s="171"/>
      <c r="AH195" s="171"/>
      <c r="AI195" s="171"/>
      <c r="AJ195" s="171"/>
      <c r="AK195" s="171"/>
      <c r="AL195" s="172"/>
      <c r="AM195" s="181"/>
      <c r="AN195" s="181"/>
      <c r="AO195" s="172"/>
      <c r="AP195" s="172"/>
      <c r="AQ195" s="172"/>
      <c r="AR195" s="172"/>
      <c r="AS195" s="172"/>
      <c r="AT195" s="172"/>
      <c r="AU195" s="172"/>
      <c r="AV195" s="172"/>
      <c r="AW195" s="172"/>
      <c r="AX195" s="172"/>
      <c r="AY195" s="172"/>
      <c r="AZ195" s="172"/>
      <c r="BA195" s="172"/>
      <c r="BB195" s="172"/>
      <c r="BC195" s="181"/>
      <c r="BD195" s="172"/>
      <c r="BE195" s="172"/>
      <c r="BF195" s="181"/>
      <c r="BG195" s="172"/>
      <c r="BH195" s="174"/>
      <c r="BI195" s="174"/>
      <c r="BJ195" s="174"/>
      <c r="BK195" s="166"/>
      <c r="BL195" s="174"/>
      <c r="BM195" s="174"/>
      <c r="BN195" s="174"/>
      <c r="BO195" s="174"/>
      <c r="BP195" s="174"/>
      <c r="BQ195" s="174"/>
      <c r="BR195" s="174"/>
      <c r="BS195" s="174"/>
      <c r="BT195" s="174"/>
      <c r="BU195" s="174"/>
      <c r="BV195" s="174"/>
      <c r="BW195" s="166"/>
      <c r="BX195" s="166"/>
      <c r="BY195" s="166"/>
      <c r="BZ195" s="174"/>
      <c r="CA195" s="167"/>
      <c r="CB195" s="78"/>
      <c r="CC195" s="167"/>
      <c r="CD195" s="167"/>
      <c r="CE195" s="167"/>
      <c r="CF195" s="167"/>
      <c r="CG195" s="167"/>
      <c r="CH195" s="167"/>
      <c r="CI195" s="167"/>
      <c r="CJ195" s="167"/>
      <c r="CK195" s="167"/>
      <c r="CL195" s="167"/>
      <c r="CM195" s="167"/>
      <c r="CN195" s="167"/>
      <c r="CO195" s="167"/>
      <c r="CP195" s="167"/>
      <c r="CQ195" s="167"/>
      <c r="CR195" s="167"/>
      <c r="CS195" s="167"/>
    </row>
    <row r="196" spans="1:97" x14ac:dyDescent="0.25">
      <c r="A196" s="46" t="s">
        <v>742</v>
      </c>
      <c r="B196" s="178"/>
      <c r="C196" s="179"/>
      <c r="D196" s="179"/>
      <c r="E196" s="179"/>
      <c r="F196" s="184"/>
      <c r="G196" s="179"/>
      <c r="H196" s="179"/>
      <c r="I196" s="170"/>
      <c r="J196" s="179"/>
      <c r="K196" s="162"/>
      <c r="L196" s="179"/>
      <c r="M196" s="179"/>
      <c r="N196" s="162"/>
      <c r="O196" s="162"/>
      <c r="P196" s="179"/>
      <c r="Q196" s="184"/>
      <c r="R196" s="184"/>
      <c r="S196" s="184"/>
      <c r="T196" s="162"/>
      <c r="U196" s="171"/>
      <c r="V196" s="180"/>
      <c r="W196" s="171"/>
      <c r="X196" s="171"/>
      <c r="Y196" s="171"/>
      <c r="Z196" s="180"/>
      <c r="AA196" s="180"/>
      <c r="AB196" s="171"/>
      <c r="AC196" s="171"/>
      <c r="AD196" s="171"/>
      <c r="AE196" s="171"/>
      <c r="AF196" s="171"/>
      <c r="AG196" s="171"/>
      <c r="AH196" s="171"/>
      <c r="AI196" s="171"/>
      <c r="AJ196" s="171"/>
      <c r="AK196" s="171"/>
      <c r="AL196" s="172"/>
      <c r="AM196" s="181"/>
      <c r="AN196" s="181"/>
      <c r="AO196" s="172"/>
      <c r="AP196" s="172"/>
      <c r="AQ196" s="172"/>
      <c r="AR196" s="172"/>
      <c r="AS196" s="172"/>
      <c r="AT196" s="172"/>
      <c r="AU196" s="172"/>
      <c r="AV196" s="172"/>
      <c r="AW196" s="172"/>
      <c r="AX196" s="172"/>
      <c r="AY196" s="172"/>
      <c r="AZ196" s="172"/>
      <c r="BA196" s="172"/>
      <c r="BB196" s="172"/>
      <c r="BC196" s="181"/>
      <c r="BD196" s="172"/>
      <c r="BE196" s="172"/>
      <c r="BF196" s="181"/>
      <c r="BG196" s="172"/>
      <c r="BH196" s="174"/>
      <c r="BI196" s="174"/>
      <c r="BJ196" s="174"/>
      <c r="BK196" s="166"/>
      <c r="BL196" s="174"/>
      <c r="BM196" s="174"/>
      <c r="BN196" s="174"/>
      <c r="BO196" s="174"/>
      <c r="BP196" s="174"/>
      <c r="BQ196" s="174"/>
      <c r="BR196" s="174"/>
      <c r="BS196" s="174"/>
      <c r="BT196" s="174"/>
      <c r="BU196" s="174"/>
      <c r="BV196" s="174"/>
      <c r="BW196" s="166"/>
      <c r="BX196" s="166"/>
      <c r="BY196" s="166"/>
      <c r="BZ196" s="174"/>
      <c r="CA196" s="167"/>
      <c r="CB196" s="78"/>
      <c r="CC196" s="167"/>
      <c r="CD196" s="167"/>
      <c r="CE196" s="167"/>
      <c r="CF196" s="167"/>
      <c r="CG196" s="167"/>
      <c r="CH196" s="167"/>
      <c r="CI196" s="167"/>
      <c r="CJ196" s="167"/>
      <c r="CK196" s="167"/>
      <c r="CL196" s="167"/>
      <c r="CM196" s="167"/>
      <c r="CN196" s="167"/>
      <c r="CO196" s="167"/>
      <c r="CP196" s="167"/>
      <c r="CQ196" s="167"/>
      <c r="CR196" s="167"/>
      <c r="CS196" s="167"/>
    </row>
    <row r="197" spans="1:97" x14ac:dyDescent="0.25">
      <c r="A197" s="46" t="s">
        <v>743</v>
      </c>
      <c r="B197" s="178"/>
      <c r="C197" s="179"/>
      <c r="D197" s="179"/>
      <c r="E197" s="179"/>
      <c r="F197" s="184"/>
      <c r="G197" s="179"/>
      <c r="H197" s="179"/>
      <c r="I197" s="170"/>
      <c r="J197" s="179"/>
      <c r="K197" s="162"/>
      <c r="L197" s="179"/>
      <c r="M197" s="179"/>
      <c r="N197" s="162"/>
      <c r="O197" s="162"/>
      <c r="P197" s="179"/>
      <c r="Q197" s="184"/>
      <c r="R197" s="184"/>
      <c r="S197" s="184"/>
      <c r="T197" s="162"/>
      <c r="U197" s="171"/>
      <c r="V197" s="180"/>
      <c r="W197" s="171"/>
      <c r="X197" s="171"/>
      <c r="Y197" s="171"/>
      <c r="Z197" s="180"/>
      <c r="AA197" s="180"/>
      <c r="AB197" s="171"/>
      <c r="AC197" s="171"/>
      <c r="AD197" s="171"/>
      <c r="AE197" s="171"/>
      <c r="AF197" s="171"/>
      <c r="AG197" s="171"/>
      <c r="AH197" s="171"/>
      <c r="AI197" s="171"/>
      <c r="AJ197" s="171"/>
      <c r="AK197" s="171"/>
      <c r="AL197" s="172"/>
      <c r="AM197" s="181"/>
      <c r="AN197" s="181"/>
      <c r="AO197" s="172"/>
      <c r="AP197" s="172"/>
      <c r="AQ197" s="172"/>
      <c r="AR197" s="172"/>
      <c r="AS197" s="172"/>
      <c r="AT197" s="172"/>
      <c r="AU197" s="172"/>
      <c r="AV197" s="172"/>
      <c r="AW197" s="172"/>
      <c r="AX197" s="172"/>
      <c r="AY197" s="172"/>
      <c r="AZ197" s="172"/>
      <c r="BA197" s="172"/>
      <c r="BB197" s="172"/>
      <c r="BC197" s="181"/>
      <c r="BD197" s="172"/>
      <c r="BE197" s="172"/>
      <c r="BF197" s="181"/>
      <c r="BG197" s="172"/>
      <c r="BH197" s="174"/>
      <c r="BI197" s="174"/>
      <c r="BJ197" s="174"/>
      <c r="BK197" s="166"/>
      <c r="BL197" s="174"/>
      <c r="BM197" s="174"/>
      <c r="BN197" s="174"/>
      <c r="BO197" s="174"/>
      <c r="BP197" s="174"/>
      <c r="BQ197" s="174"/>
      <c r="BR197" s="174"/>
      <c r="BS197" s="174"/>
      <c r="BT197" s="174"/>
      <c r="BU197" s="174"/>
      <c r="BV197" s="174"/>
      <c r="BW197" s="166"/>
      <c r="BX197" s="166"/>
      <c r="BY197" s="166"/>
      <c r="BZ197" s="174"/>
      <c r="CA197" s="167"/>
      <c r="CB197" s="78"/>
      <c r="CC197" s="167"/>
      <c r="CD197" s="167"/>
      <c r="CE197" s="167"/>
      <c r="CF197" s="167"/>
      <c r="CG197" s="167"/>
      <c r="CH197" s="167"/>
      <c r="CI197" s="167"/>
      <c r="CJ197" s="167"/>
      <c r="CK197" s="167"/>
      <c r="CL197" s="167"/>
      <c r="CM197" s="167"/>
      <c r="CN197" s="167"/>
      <c r="CO197" s="167"/>
      <c r="CP197" s="167"/>
      <c r="CQ197" s="167"/>
      <c r="CR197" s="167"/>
      <c r="CS197" s="167"/>
    </row>
    <row r="198" spans="1:97" x14ac:dyDescent="0.25">
      <c r="A198" s="46" t="s">
        <v>744</v>
      </c>
      <c r="B198" s="187"/>
      <c r="C198" s="188"/>
      <c r="D198" s="188"/>
      <c r="E198" s="188"/>
      <c r="F198" s="133"/>
      <c r="G198" s="188"/>
      <c r="H198" s="188"/>
      <c r="I198" s="189"/>
      <c r="J198" s="188"/>
      <c r="K198" s="190"/>
      <c r="L198" s="188"/>
      <c r="M198" s="188"/>
      <c r="N198" s="190"/>
      <c r="O198" s="190"/>
      <c r="P198" s="188"/>
      <c r="Q198" s="133"/>
      <c r="R198" s="133"/>
      <c r="S198" s="133"/>
      <c r="T198" s="190"/>
      <c r="U198" s="191"/>
      <c r="V198" s="192"/>
      <c r="W198" s="191"/>
      <c r="X198" s="191"/>
      <c r="Y198" s="191"/>
      <c r="Z198" s="192"/>
      <c r="AA198" s="192"/>
      <c r="AB198" s="191"/>
      <c r="AC198" s="191"/>
      <c r="AD198" s="191"/>
      <c r="AE198" s="191"/>
      <c r="AF198" s="191"/>
      <c r="AG198" s="191"/>
      <c r="AH198" s="191"/>
      <c r="AI198" s="191"/>
      <c r="AJ198" s="191"/>
      <c r="AK198" s="191"/>
      <c r="AL198" s="193"/>
      <c r="AM198" s="194"/>
      <c r="AN198" s="194"/>
      <c r="AO198" s="193"/>
      <c r="AP198" s="193"/>
      <c r="AQ198" s="193"/>
      <c r="AR198" s="193"/>
      <c r="AS198" s="193"/>
      <c r="AT198" s="193"/>
      <c r="AU198" s="193"/>
      <c r="AV198" s="193"/>
      <c r="AW198" s="193"/>
      <c r="AX198" s="193"/>
      <c r="AY198" s="193"/>
      <c r="AZ198" s="193"/>
      <c r="BA198" s="193"/>
      <c r="BB198" s="193"/>
      <c r="BC198" s="194"/>
      <c r="BD198" s="193"/>
      <c r="BE198" s="193"/>
      <c r="BF198" s="194"/>
      <c r="BG198" s="193"/>
      <c r="BH198" s="195"/>
      <c r="BI198" s="195"/>
      <c r="BJ198" s="195"/>
      <c r="BK198" s="196"/>
      <c r="BL198" s="195"/>
      <c r="BM198" s="195"/>
      <c r="BN198" s="195"/>
      <c r="BO198" s="195"/>
      <c r="BP198" s="195"/>
      <c r="BQ198" s="195"/>
      <c r="BR198" s="195"/>
      <c r="BS198" s="195"/>
      <c r="BT198" s="195"/>
      <c r="BU198" s="195"/>
      <c r="BV198" s="195"/>
      <c r="BW198" s="196"/>
      <c r="BX198" s="196"/>
      <c r="BY198" s="196"/>
      <c r="BZ198" s="195"/>
      <c r="CA198" s="197"/>
      <c r="CB198" s="78"/>
      <c r="CC198" s="197"/>
      <c r="CD198" s="197"/>
      <c r="CE198" s="197"/>
      <c r="CF198" s="197"/>
      <c r="CG198" s="197"/>
      <c r="CH198" s="197"/>
      <c r="CI198" s="197"/>
      <c r="CJ198" s="197"/>
      <c r="CK198" s="197"/>
      <c r="CL198" s="197"/>
      <c r="CM198" s="197"/>
      <c r="CN198" s="197"/>
      <c r="CO198" s="197"/>
      <c r="CP198" s="197"/>
      <c r="CQ198" s="197"/>
      <c r="CR198" s="197"/>
      <c r="CS198" s="197"/>
    </row>
    <row r="200" spans="1:97" x14ac:dyDescent="0.25">
      <c r="A200" s="81" t="s">
        <v>746</v>
      </c>
      <c r="B200" s="198" t="s">
        <v>466</v>
      </c>
      <c r="C200" s="198" t="s">
        <v>467</v>
      </c>
      <c r="D200" s="198" t="s">
        <v>468</v>
      </c>
      <c r="E200" s="198" t="s">
        <v>469</v>
      </c>
      <c r="F200" s="198" t="s">
        <v>470</v>
      </c>
      <c r="G200" s="198" t="s">
        <v>471</v>
      </c>
      <c r="H200" s="198" t="s">
        <v>472</v>
      </c>
      <c r="I200" s="198" t="s">
        <v>473</v>
      </c>
      <c r="J200" s="198" t="s">
        <v>474</v>
      </c>
      <c r="K200" s="198" t="s">
        <v>475</v>
      </c>
      <c r="L200" s="198" t="s">
        <v>476</v>
      </c>
      <c r="M200" s="198" t="s">
        <v>477</v>
      </c>
      <c r="N200" s="198" t="s">
        <v>478</v>
      </c>
      <c r="O200" s="198" t="s">
        <v>479</v>
      </c>
      <c r="P200" s="198" t="s">
        <v>480</v>
      </c>
      <c r="Q200" s="198" t="s">
        <v>481</v>
      </c>
      <c r="R200" s="198" t="s">
        <v>482</v>
      </c>
      <c r="S200" s="198" t="s">
        <v>483</v>
      </c>
      <c r="T200" s="198" t="s">
        <v>484</v>
      </c>
      <c r="U200" s="199" t="s">
        <v>485</v>
      </c>
      <c r="V200" s="199" t="s">
        <v>486</v>
      </c>
      <c r="W200" s="199" t="s">
        <v>487</v>
      </c>
      <c r="X200" s="199" t="s">
        <v>488</v>
      </c>
      <c r="Y200" s="199" t="s">
        <v>489</v>
      </c>
      <c r="Z200" s="199" t="s">
        <v>490</v>
      </c>
      <c r="AA200" s="199" t="s">
        <v>491</v>
      </c>
      <c r="AB200" s="199" t="s">
        <v>492</v>
      </c>
      <c r="AC200" s="199" t="s">
        <v>493</v>
      </c>
      <c r="AD200" s="199" t="s">
        <v>494</v>
      </c>
      <c r="AE200" s="199" t="s">
        <v>495</v>
      </c>
      <c r="AF200" s="199" t="s">
        <v>496</v>
      </c>
      <c r="AG200" s="199" t="s">
        <v>497</v>
      </c>
      <c r="AH200" s="199" t="s">
        <v>498</v>
      </c>
      <c r="AI200" s="199" t="s">
        <v>499</v>
      </c>
      <c r="AJ200" s="199" t="s">
        <v>500</v>
      </c>
      <c r="AK200" s="199" t="s">
        <v>501</v>
      </c>
      <c r="AL200" s="200" t="s">
        <v>502</v>
      </c>
      <c r="AM200" s="200" t="s">
        <v>503</v>
      </c>
      <c r="AN200" s="200" t="s">
        <v>504</v>
      </c>
      <c r="AO200" s="200" t="s">
        <v>505</v>
      </c>
      <c r="AP200" s="200" t="s">
        <v>506</v>
      </c>
      <c r="AQ200" s="200" t="s">
        <v>507</v>
      </c>
      <c r="AR200" s="200" t="s">
        <v>508</v>
      </c>
      <c r="AS200" s="200" t="s">
        <v>509</v>
      </c>
      <c r="AT200" s="200" t="s">
        <v>510</v>
      </c>
      <c r="AU200" s="200" t="s">
        <v>511</v>
      </c>
      <c r="AV200" s="200" t="s">
        <v>512</v>
      </c>
      <c r="AW200" s="200" t="s">
        <v>513</v>
      </c>
      <c r="AX200" s="200" t="s">
        <v>514</v>
      </c>
      <c r="AY200" s="200" t="s">
        <v>515</v>
      </c>
      <c r="AZ200" s="200" t="s">
        <v>516</v>
      </c>
      <c r="BA200" s="200" t="s">
        <v>517</v>
      </c>
      <c r="BB200" s="200" t="s">
        <v>518</v>
      </c>
      <c r="BC200" s="200" t="s">
        <v>519</v>
      </c>
      <c r="BD200" s="200" t="s">
        <v>520</v>
      </c>
      <c r="BE200" s="200" t="s">
        <v>521</v>
      </c>
      <c r="BF200" s="200" t="s">
        <v>522</v>
      </c>
      <c r="BG200" s="200" t="s">
        <v>523</v>
      </c>
      <c r="BH200" s="201" t="s">
        <v>524</v>
      </c>
      <c r="BI200" s="201" t="s">
        <v>525</v>
      </c>
      <c r="BJ200" s="201" t="s">
        <v>526</v>
      </c>
      <c r="BK200" s="201" t="s">
        <v>527</v>
      </c>
      <c r="BL200" s="201" t="s">
        <v>528</v>
      </c>
      <c r="BM200" s="201" t="s">
        <v>529</v>
      </c>
      <c r="BN200" s="201" t="s">
        <v>530</v>
      </c>
      <c r="BO200" s="201" t="s">
        <v>531</v>
      </c>
      <c r="BP200" s="201" t="s">
        <v>532</v>
      </c>
      <c r="BQ200" s="201" t="s">
        <v>533</v>
      </c>
      <c r="BR200" s="201" t="s">
        <v>534</v>
      </c>
      <c r="BS200" s="201" t="s">
        <v>535</v>
      </c>
      <c r="BT200" s="201" t="s">
        <v>536</v>
      </c>
      <c r="BU200" s="201" t="s">
        <v>537</v>
      </c>
      <c r="BV200" s="201" t="s">
        <v>538</v>
      </c>
      <c r="BW200" s="201" t="s">
        <v>539</v>
      </c>
      <c r="BX200" s="201" t="s">
        <v>540</v>
      </c>
      <c r="BY200" s="201" t="s">
        <v>541</v>
      </c>
      <c r="BZ200" s="201" t="s">
        <v>542</v>
      </c>
      <c r="CA200" s="202" t="s">
        <v>543</v>
      </c>
      <c r="CB200" s="61" t="s">
        <v>544</v>
      </c>
      <c r="CC200" s="202" t="s">
        <v>545</v>
      </c>
      <c r="CD200" s="202" t="s">
        <v>546</v>
      </c>
      <c r="CE200" s="202" t="s">
        <v>547</v>
      </c>
      <c r="CF200" s="202" t="s">
        <v>548</v>
      </c>
      <c r="CG200" s="202" t="s">
        <v>549</v>
      </c>
      <c r="CH200" s="202" t="s">
        <v>550</v>
      </c>
      <c r="CI200" s="202" t="s">
        <v>551</v>
      </c>
      <c r="CJ200" s="202" t="s">
        <v>552</v>
      </c>
      <c r="CK200" s="202" t="s">
        <v>553</v>
      </c>
      <c r="CL200" s="202" t="s">
        <v>554</v>
      </c>
      <c r="CM200" s="202" t="s">
        <v>555</v>
      </c>
      <c r="CN200" s="202" t="s">
        <v>556</v>
      </c>
      <c r="CO200" s="202" t="s">
        <v>557</v>
      </c>
      <c r="CP200" s="202" t="s">
        <v>558</v>
      </c>
      <c r="CQ200" s="202" t="s">
        <v>559</v>
      </c>
      <c r="CR200" s="202" t="s">
        <v>560</v>
      </c>
      <c r="CS200" s="202" t="s">
        <v>561</v>
      </c>
    </row>
    <row r="201" spans="1:97" x14ac:dyDescent="0.25">
      <c r="A201" t="s">
        <v>411</v>
      </c>
      <c r="B201" s="137">
        <v>674</v>
      </c>
      <c r="C201" s="137">
        <v>608</v>
      </c>
      <c r="D201" s="137">
        <v>608</v>
      </c>
      <c r="E201" s="137">
        <v>608</v>
      </c>
      <c r="F201" s="137">
        <v>741</v>
      </c>
      <c r="G201" s="137">
        <v>510</v>
      </c>
      <c r="H201" s="137">
        <v>510</v>
      </c>
      <c r="I201" s="137">
        <v>565</v>
      </c>
      <c r="J201" s="137">
        <v>510</v>
      </c>
      <c r="K201" s="137">
        <v>454</v>
      </c>
      <c r="L201" s="137">
        <v>565</v>
      </c>
      <c r="M201" s="137">
        <v>510</v>
      </c>
      <c r="N201" s="137">
        <v>510</v>
      </c>
      <c r="O201" s="137">
        <v>565</v>
      </c>
      <c r="P201" s="137">
        <v>454</v>
      </c>
      <c r="Q201" s="137">
        <v>510</v>
      </c>
      <c r="R201" s="137">
        <v>565</v>
      </c>
      <c r="S201" s="137">
        <v>510</v>
      </c>
      <c r="T201" s="137">
        <v>510</v>
      </c>
      <c r="U201" s="149">
        <v>674</v>
      </c>
      <c r="V201" s="149">
        <v>608</v>
      </c>
      <c r="W201" s="149">
        <v>674</v>
      </c>
      <c r="X201" s="149">
        <v>608</v>
      </c>
      <c r="Y201" s="149">
        <v>608</v>
      </c>
      <c r="Z201" s="149">
        <v>510</v>
      </c>
      <c r="AA201" s="149">
        <v>565</v>
      </c>
      <c r="AB201" s="149">
        <v>454</v>
      </c>
      <c r="AC201" s="149">
        <v>565</v>
      </c>
      <c r="AD201" s="149">
        <v>510</v>
      </c>
      <c r="AE201" s="149">
        <v>565</v>
      </c>
      <c r="AF201" s="149">
        <v>454</v>
      </c>
      <c r="AG201" s="149">
        <v>454</v>
      </c>
      <c r="AH201" s="149">
        <v>565</v>
      </c>
      <c r="AI201" s="149">
        <v>510</v>
      </c>
      <c r="AJ201" s="149">
        <v>401</v>
      </c>
      <c r="AK201" s="149">
        <v>354</v>
      </c>
      <c r="AL201" s="150">
        <v>542</v>
      </c>
      <c r="AM201" s="150">
        <v>608</v>
      </c>
      <c r="AN201" s="150">
        <v>674</v>
      </c>
      <c r="AO201" s="150">
        <v>608</v>
      </c>
      <c r="AP201" s="150">
        <v>608</v>
      </c>
      <c r="AQ201" s="150">
        <v>674</v>
      </c>
      <c r="AR201" s="150">
        <v>510</v>
      </c>
      <c r="AS201" s="150">
        <v>510</v>
      </c>
      <c r="AT201" s="150">
        <v>510</v>
      </c>
      <c r="AU201" s="150">
        <v>620</v>
      </c>
      <c r="AV201" s="150">
        <v>454</v>
      </c>
      <c r="AW201" s="150">
        <v>510</v>
      </c>
      <c r="AX201" s="150">
        <v>565</v>
      </c>
      <c r="AY201" s="150">
        <v>510</v>
      </c>
      <c r="AZ201" s="150">
        <v>510</v>
      </c>
      <c r="BA201" s="150">
        <v>454</v>
      </c>
      <c r="BB201" s="150">
        <v>565</v>
      </c>
      <c r="BC201" s="150">
        <v>454</v>
      </c>
      <c r="BD201" s="150">
        <v>454</v>
      </c>
      <c r="BE201" s="150">
        <v>354</v>
      </c>
      <c r="BF201" s="150">
        <v>401</v>
      </c>
      <c r="BG201" s="150">
        <v>401</v>
      </c>
      <c r="BH201" s="151">
        <v>608</v>
      </c>
      <c r="BI201" s="151">
        <v>674</v>
      </c>
      <c r="BJ201" s="151">
        <v>608</v>
      </c>
      <c r="BK201" s="151">
        <v>608</v>
      </c>
      <c r="BL201" s="151">
        <v>510</v>
      </c>
      <c r="BM201" s="151">
        <v>454</v>
      </c>
      <c r="BN201" s="151">
        <v>565</v>
      </c>
      <c r="BO201" s="151">
        <v>510</v>
      </c>
      <c r="BP201" s="151">
        <v>510</v>
      </c>
      <c r="BQ201" s="151">
        <v>454</v>
      </c>
      <c r="BR201" s="151">
        <v>565</v>
      </c>
      <c r="BS201" s="151">
        <v>510</v>
      </c>
      <c r="BT201" s="151">
        <v>565</v>
      </c>
      <c r="BU201" s="151">
        <v>510</v>
      </c>
      <c r="BV201" s="151">
        <v>454</v>
      </c>
      <c r="BW201" s="151">
        <v>354</v>
      </c>
      <c r="BX201" s="151">
        <v>510</v>
      </c>
      <c r="BY201" s="151">
        <v>565</v>
      </c>
      <c r="BZ201" s="142">
        <v>401</v>
      </c>
      <c r="CA201" s="143">
        <v>608</v>
      </c>
      <c r="CB201" s="66">
        <v>608</v>
      </c>
      <c r="CC201" s="143">
        <v>674</v>
      </c>
      <c r="CD201" s="143">
        <v>608</v>
      </c>
      <c r="CE201" s="143">
        <v>510</v>
      </c>
      <c r="CF201" s="143">
        <v>510</v>
      </c>
      <c r="CG201" s="143">
        <v>454</v>
      </c>
      <c r="CH201" s="143">
        <v>565</v>
      </c>
      <c r="CI201" s="143">
        <v>510</v>
      </c>
      <c r="CJ201" s="143">
        <v>454</v>
      </c>
      <c r="CK201" s="143">
        <v>510</v>
      </c>
      <c r="CL201" s="143">
        <v>565</v>
      </c>
      <c r="CM201" s="143">
        <v>565</v>
      </c>
      <c r="CN201" s="143">
        <v>454</v>
      </c>
      <c r="CO201" s="143">
        <v>510</v>
      </c>
      <c r="CP201" s="143">
        <v>510</v>
      </c>
      <c r="CQ201" s="143">
        <v>510</v>
      </c>
      <c r="CR201" s="143">
        <v>354</v>
      </c>
      <c r="CS201" s="143">
        <v>608</v>
      </c>
    </row>
    <row r="202" spans="1:97" x14ac:dyDescent="0.25">
      <c r="A202" t="s">
        <v>65</v>
      </c>
      <c r="B202" s="136">
        <v>0</v>
      </c>
      <c r="C202" s="148">
        <f>49.6%+IF(char4WeapToggle, 2*char4WeapStacks*(4+(char4Refine-1))%, char4WeapStacks*(4+(char4Refine-1))%)</f>
        <v>0.496</v>
      </c>
      <c r="D202" s="148">
        <v>0</v>
      </c>
      <c r="E202" s="148">
        <f>49.6%+(20+(char4Refine-1)*5)%+IF(char4WeapToggle,(40+(char4Refine-1)*10),0)%</f>
        <v>1.0960000000000001</v>
      </c>
      <c r="F202" s="148">
        <f>IF(char4WeapToggle, (20+(char4Refine-1)*5)%, 0%) + (16+(char4Refine-1)*4)%</f>
        <v>0.36</v>
      </c>
      <c r="G202" s="136">
        <v>0</v>
      </c>
      <c r="H202" s="136">
        <v>0</v>
      </c>
      <c r="I202" s="136">
        <v>0.27600000000000002</v>
      </c>
      <c r="J202" s="148">
        <f>char4WeapStacks*(6+1.5*(char4Refine-1))%</f>
        <v>0</v>
      </c>
      <c r="K202" s="148">
        <v>0</v>
      </c>
      <c r="L202" s="148">
        <v>0</v>
      </c>
      <c r="M202" s="148">
        <v>0</v>
      </c>
      <c r="N202" s="136">
        <f>41.3%+char4WeapStacks*(7+(char4Refine-1))%</f>
        <v>0.41299999999999998</v>
      </c>
      <c r="O202" s="136">
        <v>0.27600000000000002</v>
      </c>
      <c r="P202" s="136">
        <v>0.55100000000000005</v>
      </c>
      <c r="Q202" s="136">
        <v>0</v>
      </c>
      <c r="R202" s="136">
        <v>0</v>
      </c>
      <c r="S202" s="136">
        <v>0.41299999999999998</v>
      </c>
      <c r="T202" s="148">
        <f>char4WeapStacks*(12+(char4Refine-1)*3)%</f>
        <v>0</v>
      </c>
      <c r="U202" s="138">
        <v>0</v>
      </c>
      <c r="V202" s="138">
        <f>MIN((28%+(char4Refine-1)*7%)*(char4FinalER-100%),(80+(char4Refine-1)*10)%)</f>
        <v>0.23189599999999996</v>
      </c>
      <c r="W202" s="138">
        <f>char4WeapStacks*(3.2+(char4Refine-1)*0.7)%</f>
        <v>0</v>
      </c>
      <c r="X202" s="138">
        <f>(49.6+(char4WeapStacks*IF(char4WeapToggle,2,1)*(4+(char4Refine-1)*1)))%</f>
        <v>0.496</v>
      </c>
      <c r="Y202" s="138">
        <v>0</v>
      </c>
      <c r="Z202" s="138">
        <v>0</v>
      </c>
      <c r="AA202" s="138">
        <v>0</v>
      </c>
      <c r="AB202" s="138">
        <v>0</v>
      </c>
      <c r="AC202" s="138">
        <v>0</v>
      </c>
      <c r="AD202" s="138">
        <v>0</v>
      </c>
      <c r="AE202" s="138">
        <f>(27.6+(7+(char4Refine-1)*1)*char4WeapStacks)%</f>
        <v>0.27600000000000002</v>
      </c>
      <c r="AF202" s="138">
        <v>0</v>
      </c>
      <c r="AG202" s="138">
        <f>IF(char4WeapToggle,(24+(char4Refine-1)*6),(16+(char4Refine-1)*4))%</f>
        <v>0.24</v>
      </c>
      <c r="AH202" s="138">
        <v>0</v>
      </c>
      <c r="AI202" s="138">
        <f>(12+(char4Refine-1)*3)*char4WeapStacks%</f>
        <v>0</v>
      </c>
      <c r="AJ202" s="138">
        <v>0</v>
      </c>
      <c r="AK202" s="138">
        <v>0</v>
      </c>
      <c r="AL202" s="75">
        <v>0</v>
      </c>
      <c r="AM202" s="75">
        <f>IF(char4WeapToggle, (20+(char4Refine-1)*5), 0)%</f>
        <v>0.2</v>
      </c>
      <c r="AN202" s="75">
        <v>0</v>
      </c>
      <c r="AO202" s="75">
        <f>(49.6+IF(char4WeapToggle,(4+(char4Refine-1))*char4WeapStacks*2,(4+(char4Refine-1))*char4WeapStacks))%</f>
        <v>0.496</v>
      </c>
      <c r="AP202" s="75">
        <v>0</v>
      </c>
      <c r="AQ202" s="75">
        <f>(20+(char4Refine-1)*5)%</f>
        <v>0.2</v>
      </c>
      <c r="AR202" s="75">
        <v>0</v>
      </c>
      <c r="AS202" s="75">
        <v>0.41299999999999998</v>
      </c>
      <c r="AT202" s="75">
        <v>0</v>
      </c>
      <c r="AU202" s="75">
        <v>0</v>
      </c>
      <c r="AV202" s="75">
        <v>0</v>
      </c>
      <c r="AW202" s="75">
        <v>0.41299999999999998</v>
      </c>
      <c r="AX202" s="75">
        <f>char4WeapStacks*(4+(char4Refine-1))%</f>
        <v>0</v>
      </c>
      <c r="AY202" s="75">
        <v>0.41299999999999998</v>
      </c>
      <c r="AZ202" s="75">
        <v>0</v>
      </c>
      <c r="BA202" s="75">
        <v>0</v>
      </c>
      <c r="BB202" s="75">
        <f>(char4WeapStacks*(12+(char4Refine-1)*3))%</f>
        <v>0</v>
      </c>
      <c r="BC202" s="75">
        <v>0.55100000000000005</v>
      </c>
      <c r="BD202" s="75">
        <v>0</v>
      </c>
      <c r="BE202" s="75">
        <f>IF(char4WeapToggle,12+(char4Refine-1)*3,0)%</f>
        <v>0.12</v>
      </c>
      <c r="BF202" s="75">
        <f>IF(char4WeapToggle, 20+(char4Refine-1)*5)%</f>
        <v>0.2</v>
      </c>
      <c r="BG202" s="75">
        <v>0</v>
      </c>
      <c r="BH202" s="152">
        <f>(49.6+IF(char4WeapToggle,(4+(char4Refine-1))*char4WeapStacks*2,(4+(char4Refine-1))*char4WeapStacks))%</f>
        <v>0.496</v>
      </c>
      <c r="BI202" s="141">
        <v>0.33100000000000002</v>
      </c>
      <c r="BJ202" s="141">
        <v>0</v>
      </c>
      <c r="BK202" s="141">
        <v>0</v>
      </c>
      <c r="BL202" s="141">
        <v>0.41299999999999998</v>
      </c>
      <c r="BM202" s="141">
        <v>0.55100000000000005</v>
      </c>
      <c r="BN202" s="141">
        <f>IF(char4WeapToggle, 20+(char4Refine-1)*5,0)%</f>
        <v>0.2</v>
      </c>
      <c r="BO202" s="141">
        <f>IF(char4WeapToggle, 20+(char4Refine-1)*5,0)%</f>
        <v>0.2</v>
      </c>
      <c r="BP202" s="141">
        <v>0</v>
      </c>
      <c r="BQ202" s="141">
        <v>0</v>
      </c>
      <c r="BR202" s="141">
        <v>0.27600000000000002</v>
      </c>
      <c r="BS202" s="141">
        <v>0</v>
      </c>
      <c r="BT202" s="141">
        <v>0</v>
      </c>
      <c r="BU202" s="141">
        <v>0</v>
      </c>
      <c r="BV202" s="141">
        <f>(55.1+IF(char4WeapToggle,8+(char4Refine-1)*2))%</f>
        <v>0.63100000000000001</v>
      </c>
      <c r="BW202" s="141">
        <v>0</v>
      </c>
      <c r="BX202" s="141">
        <f>char4WeapStacks*(12+(char4Refine-1)*3)%</f>
        <v>0</v>
      </c>
      <c r="BY202" s="141">
        <v>0</v>
      </c>
      <c r="BZ202" s="141">
        <v>0</v>
      </c>
      <c r="CA202" s="153">
        <f>IF(char4WeapToggle, 20+(char4Refine-1)*5, 0)%</f>
        <v>0.2</v>
      </c>
      <c r="CB202" s="73">
        <f>IF(char4WeapStacks=0, 0, IF(char4WeapStacks=1, 10+(char4Refine-1)*2.5, IF(char4WeapStacks=2, 20+(char4Refine-1)*5, IF(char4WeapStacks=3, 30+(char4Refine-1)*7.5, IF(char4WeapStacks=4, 48+(char4Refine-1)*12,0)))))%</f>
        <v>0</v>
      </c>
      <c r="CC202" s="73">
        <v>0</v>
      </c>
      <c r="CD202" s="146">
        <v>0.496</v>
      </c>
      <c r="CE202" s="146">
        <v>0.41299999999999998</v>
      </c>
      <c r="CF202" s="73">
        <v>0</v>
      </c>
      <c r="CG202" s="73">
        <f>char4WeapStacks*(4+(char4Refine-1))%</f>
        <v>0</v>
      </c>
      <c r="CH202" s="73">
        <f>char4WeapStacks*(12+(char4Refine-1)*3)%</f>
        <v>0</v>
      </c>
      <c r="CI202" s="73">
        <f>41.3%+IF(char4WeapToggle, 36+(char4Refine-1)*9)%</f>
        <v>0.77299999999999991</v>
      </c>
      <c r="CJ202" s="73">
        <v>0</v>
      </c>
      <c r="CK202" s="73">
        <f>IF(char4WeapToggle, 16+(char4Refine-1)*4,0)%</f>
        <v>0.16</v>
      </c>
      <c r="CL202" s="73">
        <v>0.27600000000000002</v>
      </c>
      <c r="CM202" s="73">
        <v>0</v>
      </c>
      <c r="CN202" s="73">
        <v>0.55100000000000005</v>
      </c>
      <c r="CO202" s="73">
        <v>0</v>
      </c>
      <c r="CP202" s="146">
        <v>0.41299999999999998</v>
      </c>
      <c r="CQ202" s="73">
        <v>0</v>
      </c>
      <c r="CR202" s="73">
        <v>0</v>
      </c>
      <c r="CS202" s="73">
        <f>(20+(char4Refine-1)*5)%</f>
        <v>0.2</v>
      </c>
    </row>
    <row r="203" spans="1:97" x14ac:dyDescent="0.25">
      <c r="A203" t="s">
        <v>66</v>
      </c>
      <c r="B203" s="136">
        <v>0</v>
      </c>
      <c r="C203" s="148">
        <v>0</v>
      </c>
      <c r="D203" s="148">
        <f>(20+(char4Refine-1)*5)%</f>
        <v>0.2</v>
      </c>
      <c r="E203" s="148">
        <v>0</v>
      </c>
      <c r="F203" s="148">
        <v>0</v>
      </c>
      <c r="G203" s="136">
        <v>0</v>
      </c>
      <c r="H203" s="136">
        <v>0</v>
      </c>
      <c r="I203" s="136">
        <v>0</v>
      </c>
      <c r="J203" s="136">
        <f>51.7%+char4WeapStacks*(6+1.5*(char4Refine-1))%</f>
        <v>0.51700000000000002</v>
      </c>
      <c r="K203" s="148">
        <v>0</v>
      </c>
      <c r="L203" s="148">
        <v>0</v>
      </c>
      <c r="M203" s="148">
        <v>0</v>
      </c>
      <c r="N203" s="136">
        <v>0</v>
      </c>
      <c r="O203" s="148">
        <v>0</v>
      </c>
      <c r="P203" s="148">
        <v>0</v>
      </c>
      <c r="Q203" s="136">
        <v>0</v>
      </c>
      <c r="R203" s="136">
        <v>0</v>
      </c>
      <c r="S203" s="136">
        <v>0</v>
      </c>
      <c r="T203" s="136">
        <v>0</v>
      </c>
      <c r="U203" s="138">
        <v>0</v>
      </c>
      <c r="V203" s="138">
        <v>0</v>
      </c>
      <c r="W203" s="138">
        <v>0</v>
      </c>
      <c r="X203" s="138">
        <v>0</v>
      </c>
      <c r="Y203" s="138">
        <v>0</v>
      </c>
      <c r="Z203" s="138">
        <v>0</v>
      </c>
      <c r="AA203" s="138">
        <v>0</v>
      </c>
      <c r="AB203" s="138">
        <v>0</v>
      </c>
      <c r="AC203" s="138">
        <v>0</v>
      </c>
      <c r="AD203" s="138">
        <v>0</v>
      </c>
      <c r="AE203" s="138">
        <v>0</v>
      </c>
      <c r="AF203" s="138">
        <v>0</v>
      </c>
      <c r="AG203" s="138">
        <f>(16+(char4Refine-1)*4)%</f>
        <v>0.16</v>
      </c>
      <c r="AH203" s="138">
        <v>0</v>
      </c>
      <c r="AI203" s="138">
        <v>0</v>
      </c>
      <c r="AJ203" s="138">
        <v>0</v>
      </c>
      <c r="AK203" s="138">
        <v>0</v>
      </c>
      <c r="AL203" s="75">
        <v>0</v>
      </c>
      <c r="AM203" s="75">
        <v>0</v>
      </c>
      <c r="AN203" s="75">
        <v>0</v>
      </c>
      <c r="AO203" s="75">
        <v>0</v>
      </c>
      <c r="AP203" s="75">
        <v>0</v>
      </c>
      <c r="AQ203" s="75">
        <v>0</v>
      </c>
      <c r="AR203" s="75">
        <v>0</v>
      </c>
      <c r="AS203" s="75">
        <v>0</v>
      </c>
      <c r="AT203" s="75">
        <v>0</v>
      </c>
      <c r="AU203" s="75">
        <v>0</v>
      </c>
      <c r="AV203" s="75">
        <v>0</v>
      </c>
      <c r="AW203" s="75">
        <v>0</v>
      </c>
      <c r="AX203" s="75">
        <f>char4WeapStacks*(4+(char4Refine-1))%</f>
        <v>0</v>
      </c>
      <c r="AY203" s="75">
        <v>0</v>
      </c>
      <c r="AZ203" s="75">
        <v>0</v>
      </c>
      <c r="BA203" s="75">
        <v>0</v>
      </c>
      <c r="BB203" s="75">
        <v>0</v>
      </c>
      <c r="BC203" s="75">
        <v>0</v>
      </c>
      <c r="BD203" s="75">
        <v>0.69</v>
      </c>
      <c r="BE203" s="75">
        <v>0</v>
      </c>
      <c r="BF203" s="75">
        <v>0</v>
      </c>
      <c r="BG203" s="75">
        <v>0</v>
      </c>
      <c r="BH203" s="141">
        <v>0</v>
      </c>
      <c r="BI203" s="141">
        <v>0</v>
      </c>
      <c r="BJ203" s="141">
        <v>0</v>
      </c>
      <c r="BK203" s="141">
        <v>0</v>
      </c>
      <c r="BL203" s="141">
        <v>0</v>
      </c>
      <c r="BM203" s="141">
        <v>0</v>
      </c>
      <c r="BN203" s="141">
        <v>0</v>
      </c>
      <c r="BO203" s="141">
        <v>0</v>
      </c>
      <c r="BP203" s="141">
        <v>0</v>
      </c>
      <c r="BQ203" s="141">
        <v>0</v>
      </c>
      <c r="BR203" s="141">
        <v>0</v>
      </c>
      <c r="BS203" s="141">
        <v>0</v>
      </c>
      <c r="BT203" s="141">
        <v>0</v>
      </c>
      <c r="BU203" s="141">
        <v>0</v>
      </c>
      <c r="BV203" s="141">
        <v>0</v>
      </c>
      <c r="BW203" s="141">
        <v>0</v>
      </c>
      <c r="BX203" s="141">
        <v>0</v>
      </c>
      <c r="BY203" s="141">
        <v>0</v>
      </c>
      <c r="BZ203" s="141">
        <v>0</v>
      </c>
      <c r="CA203" s="73">
        <v>0</v>
      </c>
      <c r="CB203" s="73">
        <v>0</v>
      </c>
      <c r="CC203" s="73">
        <v>0</v>
      </c>
      <c r="CD203" s="73">
        <v>0</v>
      </c>
      <c r="CE203" s="73">
        <v>0</v>
      </c>
      <c r="CF203" s="73">
        <v>0</v>
      </c>
      <c r="CG203" s="73">
        <v>0</v>
      </c>
      <c r="CH203" s="73">
        <v>0</v>
      </c>
      <c r="CI203" s="73">
        <v>0</v>
      </c>
      <c r="CJ203" s="73">
        <v>0</v>
      </c>
      <c r="CK203" s="73">
        <v>0</v>
      </c>
      <c r="CL203" s="73">
        <v>0</v>
      </c>
      <c r="CM203" s="73">
        <v>0</v>
      </c>
      <c r="CN203" s="73">
        <v>0</v>
      </c>
      <c r="CO203" s="73">
        <v>0</v>
      </c>
      <c r="CP203" s="73">
        <v>0</v>
      </c>
      <c r="CQ203" s="73">
        <v>0</v>
      </c>
      <c r="CR203" s="73">
        <v>0</v>
      </c>
      <c r="CS203" s="73">
        <v>0</v>
      </c>
    </row>
    <row r="204" spans="1:97" x14ac:dyDescent="0.25">
      <c r="A204" s="46" t="s">
        <v>67</v>
      </c>
      <c r="B204" s="136">
        <v>0</v>
      </c>
      <c r="C204" s="148">
        <v>0</v>
      </c>
      <c r="D204" s="148">
        <v>0</v>
      </c>
      <c r="E204" s="148">
        <v>0</v>
      </c>
      <c r="F204" s="148">
        <v>0</v>
      </c>
      <c r="G204" s="136">
        <v>0</v>
      </c>
      <c r="H204" s="136">
        <v>0.41299999999999998</v>
      </c>
      <c r="I204" s="136">
        <v>0</v>
      </c>
      <c r="J204" s="148">
        <v>0</v>
      </c>
      <c r="K204" s="148">
        <v>0</v>
      </c>
      <c r="L204" s="148">
        <v>0</v>
      </c>
      <c r="M204" s="148">
        <v>0</v>
      </c>
      <c r="N204" s="136">
        <v>0</v>
      </c>
      <c r="O204" s="148">
        <v>0</v>
      </c>
      <c r="P204" s="148">
        <v>0</v>
      </c>
      <c r="Q204" s="136">
        <v>0</v>
      </c>
      <c r="R204" s="136">
        <v>0</v>
      </c>
      <c r="S204" s="136">
        <v>0</v>
      </c>
      <c r="T204" s="136">
        <v>0</v>
      </c>
      <c r="U204" s="138">
        <v>0</v>
      </c>
      <c r="V204" s="138">
        <v>0</v>
      </c>
      <c r="W204" s="138">
        <v>0</v>
      </c>
      <c r="X204" s="138">
        <v>0</v>
      </c>
      <c r="Y204" s="138">
        <f>(20+(char4Refine-1)*5)%</f>
        <v>0.2</v>
      </c>
      <c r="Z204" s="138">
        <v>0</v>
      </c>
      <c r="AA204" s="138">
        <v>0</v>
      </c>
      <c r="AB204" s="138">
        <v>0</v>
      </c>
      <c r="AC204" s="138">
        <v>0</v>
      </c>
      <c r="AD204" s="138">
        <v>0</v>
      </c>
      <c r="AE204" s="138">
        <v>0</v>
      </c>
      <c r="AF204" s="138">
        <v>0</v>
      </c>
      <c r="AG204" s="138">
        <v>0</v>
      </c>
      <c r="AH204" s="138">
        <v>0</v>
      </c>
      <c r="AI204" s="138">
        <v>0</v>
      </c>
      <c r="AJ204" s="138">
        <v>0</v>
      </c>
      <c r="AK204" s="138">
        <v>0.46899999999999997</v>
      </c>
      <c r="AL204" s="75">
        <f>0.2+(char4Refine-1)*0.05</f>
        <v>0.2</v>
      </c>
      <c r="AM204" s="75">
        <v>0</v>
      </c>
      <c r="AN204" s="75">
        <v>0</v>
      </c>
      <c r="AO204" s="75">
        <v>0</v>
      </c>
      <c r="AP204" s="75">
        <v>0</v>
      </c>
      <c r="AQ204" s="75">
        <v>0</v>
      </c>
      <c r="AR204" s="75">
        <v>0</v>
      </c>
      <c r="AS204" s="75">
        <v>0</v>
      </c>
      <c r="AT204" s="75">
        <v>0</v>
      </c>
      <c r="AU204" s="75">
        <v>0</v>
      </c>
      <c r="AV204" s="75">
        <v>0</v>
      </c>
      <c r="AW204" s="75">
        <v>0</v>
      </c>
      <c r="AX204" s="75">
        <v>0</v>
      </c>
      <c r="AY204" s="75">
        <v>0</v>
      </c>
      <c r="AZ204" s="75">
        <v>0</v>
      </c>
      <c r="BA204" s="75">
        <v>0</v>
      </c>
      <c r="BB204" s="75">
        <v>0</v>
      </c>
      <c r="BC204" s="75">
        <v>0</v>
      </c>
      <c r="BD204" s="75">
        <v>0</v>
      </c>
      <c r="BE204" s="75">
        <v>0</v>
      </c>
      <c r="BF204" s="75">
        <v>0</v>
      </c>
      <c r="BG204" s="75">
        <v>0</v>
      </c>
      <c r="BH204" s="141">
        <v>0</v>
      </c>
      <c r="BI204" s="141">
        <v>0</v>
      </c>
      <c r="BJ204" s="141">
        <v>0</v>
      </c>
      <c r="BK204" s="141">
        <v>0.496</v>
      </c>
      <c r="BL204" s="141">
        <v>0</v>
      </c>
      <c r="BM204" s="141">
        <v>0</v>
      </c>
      <c r="BN204" s="141">
        <v>0</v>
      </c>
      <c r="BO204" s="141">
        <v>0</v>
      </c>
      <c r="BP204" s="141">
        <v>0</v>
      </c>
      <c r="BQ204" s="141">
        <v>0</v>
      </c>
      <c r="BR204" s="141">
        <v>0</v>
      </c>
      <c r="BS204" s="141">
        <v>0.41299999999999998</v>
      </c>
      <c r="BT204" s="141">
        <v>0</v>
      </c>
      <c r="BU204" s="141">
        <v>0</v>
      </c>
      <c r="BV204" s="141">
        <v>0</v>
      </c>
      <c r="BW204" s="141">
        <v>0</v>
      </c>
      <c r="BX204" s="141">
        <v>0</v>
      </c>
      <c r="BY204" s="141">
        <v>0</v>
      </c>
      <c r="BZ204" s="141">
        <v>0.35199999999999998</v>
      </c>
      <c r="CA204" s="73">
        <v>0</v>
      </c>
      <c r="CB204" s="72">
        <v>0</v>
      </c>
      <c r="CC204" s="73">
        <v>0</v>
      </c>
      <c r="CD204" s="73">
        <v>0</v>
      </c>
      <c r="CE204" s="73">
        <v>0</v>
      </c>
      <c r="CF204" s="73">
        <v>0</v>
      </c>
      <c r="CG204" s="73">
        <v>0</v>
      </c>
      <c r="CH204" s="73">
        <v>0</v>
      </c>
      <c r="CI204" s="73">
        <v>0</v>
      </c>
      <c r="CJ204" s="73">
        <v>0</v>
      </c>
      <c r="CK204" s="73">
        <v>0</v>
      </c>
      <c r="CL204" s="73">
        <v>0</v>
      </c>
      <c r="CM204" s="73">
        <v>0</v>
      </c>
      <c r="CN204" s="73">
        <v>0</v>
      </c>
      <c r="CO204" s="73">
        <v>0</v>
      </c>
      <c r="CP204" s="73">
        <v>0</v>
      </c>
      <c r="CQ204" s="73">
        <v>0</v>
      </c>
      <c r="CR204" s="73">
        <v>0</v>
      </c>
      <c r="CS204" s="73">
        <v>0</v>
      </c>
    </row>
    <row r="205" spans="1:97" x14ac:dyDescent="0.25">
      <c r="A205" t="s">
        <v>413</v>
      </c>
      <c r="B205" s="136">
        <v>0</v>
      </c>
      <c r="C205" s="148">
        <v>0</v>
      </c>
      <c r="D205" s="148">
        <v>0</v>
      </c>
      <c r="E205" s="148">
        <v>0</v>
      </c>
      <c r="F205" s="148">
        <v>0</v>
      </c>
      <c r="G205" s="136">
        <v>0.27600000000000002</v>
      </c>
      <c r="H205" s="136">
        <v>0</v>
      </c>
      <c r="I205" s="136">
        <f>(char4WeapStacks*(8%+(char4Refine-1)*2%))</f>
        <v>0</v>
      </c>
      <c r="J205" s="148">
        <v>0</v>
      </c>
      <c r="K205" s="148">
        <v>0</v>
      </c>
      <c r="L205" s="148">
        <v>0</v>
      </c>
      <c r="M205" s="148">
        <v>0</v>
      </c>
      <c r="N205" s="136">
        <f>char4WeapStacks*(3+(char4Refine-1))%</f>
        <v>0</v>
      </c>
      <c r="O205" s="148">
        <v>0</v>
      </c>
      <c r="P205" s="148">
        <v>0</v>
      </c>
      <c r="Q205" s="136">
        <v>0</v>
      </c>
      <c r="R205" s="136">
        <v>0</v>
      </c>
      <c r="S205" s="136">
        <v>0</v>
      </c>
      <c r="T205" s="136">
        <v>0</v>
      </c>
      <c r="U205" s="138">
        <f>(8+(char4Refine-1)*2)%</f>
        <v>0.08</v>
      </c>
      <c r="V205" s="138">
        <v>0</v>
      </c>
      <c r="W205" s="138">
        <v>0.221</v>
      </c>
      <c r="X205" s="138">
        <v>0</v>
      </c>
      <c r="Y205" s="138">
        <v>0</v>
      </c>
      <c r="Z205" s="138">
        <v>0</v>
      </c>
      <c r="AA205" s="138">
        <v>0</v>
      </c>
      <c r="AB205" s="138">
        <v>0</v>
      </c>
      <c r="AC205" s="138">
        <v>0</v>
      </c>
      <c r="AD205" s="138">
        <v>0</v>
      </c>
      <c r="AE205" s="138">
        <f>(3+(char4Refine-1)*1)*char4WeapStacks%</f>
        <v>0</v>
      </c>
      <c r="AF205" s="138">
        <v>0</v>
      </c>
      <c r="AG205" s="138">
        <v>0.36799999999999999</v>
      </c>
      <c r="AH205" s="138">
        <v>0</v>
      </c>
      <c r="AI205" s="138">
        <v>0</v>
      </c>
      <c r="AJ205" s="138">
        <v>0.23400000000000001</v>
      </c>
      <c r="AK205" s="138">
        <v>0</v>
      </c>
      <c r="AL205" s="75">
        <v>0.441</v>
      </c>
      <c r="AM205" s="75">
        <v>0</v>
      </c>
      <c r="AN205" s="75">
        <v>0</v>
      </c>
      <c r="AO205" s="75">
        <v>0</v>
      </c>
      <c r="AP205" s="75">
        <f>(4+(char4Refine-1))%</f>
        <v>0.04</v>
      </c>
      <c r="AQ205" s="75">
        <v>0</v>
      </c>
      <c r="AR205" s="75">
        <v>0</v>
      </c>
      <c r="AS205" s="75">
        <v>0</v>
      </c>
      <c r="AT205" s="75">
        <v>0.27600000000000002</v>
      </c>
      <c r="AU205" s="75">
        <v>0</v>
      </c>
      <c r="AV205" s="75">
        <v>0</v>
      </c>
      <c r="AW205" s="75">
        <f>(char4WeapStacks*(8+(char4Refine-1)*2))%</f>
        <v>0</v>
      </c>
      <c r="AX205" s="75">
        <v>0</v>
      </c>
      <c r="AY205" s="75">
        <v>0</v>
      </c>
      <c r="AZ205" s="75">
        <v>0</v>
      </c>
      <c r="BA205" s="75">
        <v>0</v>
      </c>
      <c r="BB205" s="75">
        <v>0</v>
      </c>
      <c r="BC205" s="75">
        <v>0</v>
      </c>
      <c r="BD205" s="75">
        <v>0</v>
      </c>
      <c r="BE205" s="75">
        <v>0</v>
      </c>
      <c r="BF205" s="75">
        <v>0</v>
      </c>
      <c r="BG205" s="75">
        <f>IF(char4WeapToggle,14+(char4Refine-1)*3.5,0)%</f>
        <v>0.14000000000000001</v>
      </c>
      <c r="BH205" s="141">
        <v>0</v>
      </c>
      <c r="BI205" s="141">
        <v>0</v>
      </c>
      <c r="BJ205" s="141">
        <v>0.33100000000000002</v>
      </c>
      <c r="BK205" s="141">
        <v>0</v>
      </c>
      <c r="BL205" s="141">
        <v>0</v>
      </c>
      <c r="BM205" s="141">
        <v>0</v>
      </c>
      <c r="BN205" s="141">
        <v>0</v>
      </c>
      <c r="BO205" s="141">
        <v>0</v>
      </c>
      <c r="BP205" s="141">
        <v>0.27600000000000002</v>
      </c>
      <c r="BQ205" s="141">
        <v>0</v>
      </c>
      <c r="BR205" s="141">
        <f>char4WeapStacks*(8+(char4Refine-1)*2)%</f>
        <v>0</v>
      </c>
      <c r="BS205" s="141">
        <v>0</v>
      </c>
      <c r="BT205" s="141">
        <v>0</v>
      </c>
      <c r="BU205" s="141">
        <v>0</v>
      </c>
      <c r="BV205" s="141">
        <v>0</v>
      </c>
      <c r="BW205" s="141">
        <v>0</v>
      </c>
      <c r="BX205" s="141">
        <v>0</v>
      </c>
      <c r="BY205" s="141">
        <v>0</v>
      </c>
      <c r="BZ205" s="141">
        <v>0</v>
      </c>
      <c r="CA205" s="73">
        <v>0</v>
      </c>
      <c r="CB205" s="72">
        <v>0.33100000000000002</v>
      </c>
      <c r="CC205" s="146">
        <v>0.221</v>
      </c>
      <c r="CD205" s="73">
        <v>0</v>
      </c>
      <c r="CE205" s="73">
        <v>0</v>
      </c>
      <c r="CF205" s="73">
        <v>0.27600000000000002</v>
      </c>
      <c r="CG205" s="73">
        <v>0</v>
      </c>
      <c r="CH205" s="73">
        <v>0</v>
      </c>
      <c r="CI205" s="73">
        <v>0</v>
      </c>
      <c r="CJ205" s="73">
        <v>0</v>
      </c>
      <c r="CK205" s="73">
        <v>0</v>
      </c>
      <c r="CL205" s="73">
        <v>0</v>
      </c>
      <c r="CM205" s="73">
        <v>0</v>
      </c>
      <c r="CN205" s="73">
        <v>0</v>
      </c>
      <c r="CO205" s="73">
        <v>0</v>
      </c>
      <c r="CP205" s="73">
        <f>char4WeapStacks*(8+(char4Refine-1)*2)%</f>
        <v>0</v>
      </c>
      <c r="CQ205" s="73">
        <v>0</v>
      </c>
      <c r="CR205" s="73">
        <v>0.312</v>
      </c>
      <c r="CS205" s="73">
        <v>0</v>
      </c>
    </row>
    <row r="206" spans="1:97" x14ac:dyDescent="0.25">
      <c r="A206" t="s">
        <v>414</v>
      </c>
      <c r="B206" s="136">
        <v>0</v>
      </c>
      <c r="C206" s="148">
        <v>0</v>
      </c>
      <c r="D206" s="148">
        <v>0.66200000000000003</v>
      </c>
      <c r="E206" s="148">
        <v>0</v>
      </c>
      <c r="F206" s="148">
        <v>0</v>
      </c>
      <c r="G206" s="136">
        <v>0</v>
      </c>
      <c r="H206" s="136">
        <v>0</v>
      </c>
      <c r="I206" s="136">
        <v>0</v>
      </c>
      <c r="J206" s="148">
        <v>0</v>
      </c>
      <c r="K206" s="148">
        <v>0</v>
      </c>
      <c r="L206" s="148">
        <v>0</v>
      </c>
      <c r="M206" s="148">
        <v>0</v>
      </c>
      <c r="N206" s="136">
        <v>0</v>
      </c>
      <c r="O206" s="148">
        <v>0</v>
      </c>
      <c r="P206" s="148">
        <v>0</v>
      </c>
      <c r="Q206" s="136">
        <v>0</v>
      </c>
      <c r="R206" s="136">
        <v>0</v>
      </c>
      <c r="S206" s="136">
        <v>0</v>
      </c>
      <c r="T206" s="136">
        <v>0.55100000000000005</v>
      </c>
      <c r="U206" s="138">
        <v>0</v>
      </c>
      <c r="V206" s="138">
        <v>0</v>
      </c>
      <c r="W206" s="138">
        <v>0</v>
      </c>
      <c r="X206" s="138">
        <v>0</v>
      </c>
      <c r="Y206" s="138">
        <v>0.66200000000000003</v>
      </c>
      <c r="Z206" s="138">
        <v>0</v>
      </c>
      <c r="AA206" s="138">
        <v>0</v>
      </c>
      <c r="AB206" s="138">
        <v>0</v>
      </c>
      <c r="AC206" s="138">
        <v>0</v>
      </c>
      <c r="AD206" s="138">
        <v>0</v>
      </c>
      <c r="AE206" s="138">
        <v>0</v>
      </c>
      <c r="AF206" s="138">
        <v>0</v>
      </c>
      <c r="AG206" s="138">
        <v>0</v>
      </c>
      <c r="AH206" s="138">
        <v>0</v>
      </c>
      <c r="AI206" s="138">
        <v>0.55100000000000005</v>
      </c>
      <c r="AJ206" s="138">
        <v>0</v>
      </c>
      <c r="AK206" s="138">
        <v>0</v>
      </c>
      <c r="AL206" s="75">
        <v>0</v>
      </c>
      <c r="AM206" s="75">
        <v>0</v>
      </c>
      <c r="AN206" s="75">
        <v>0.441</v>
      </c>
      <c r="AO206" s="75">
        <v>0</v>
      </c>
      <c r="AP206" s="75">
        <v>0</v>
      </c>
      <c r="AQ206" s="75">
        <v>0</v>
      </c>
      <c r="AR206" s="75">
        <v>0</v>
      </c>
      <c r="AS206" s="75">
        <v>0</v>
      </c>
      <c r="AT206" s="75">
        <v>0</v>
      </c>
      <c r="AU206" s="75">
        <v>0</v>
      </c>
      <c r="AV206" s="75">
        <v>0</v>
      </c>
      <c r="AW206" s="75">
        <v>0</v>
      </c>
      <c r="AX206" s="75">
        <v>0</v>
      </c>
      <c r="AY206" s="75">
        <v>0</v>
      </c>
      <c r="AZ206" s="75">
        <v>0</v>
      </c>
      <c r="BA206" s="75">
        <v>0</v>
      </c>
      <c r="BB206" s="75">
        <v>0.36799999999999999</v>
      </c>
      <c r="BC206" s="75">
        <v>0</v>
      </c>
      <c r="BD206" s="75">
        <v>0</v>
      </c>
      <c r="BE206" s="75">
        <v>0</v>
      </c>
      <c r="BF206" s="75">
        <v>0</v>
      </c>
      <c r="BG206" s="75">
        <v>0.46899999999999997</v>
      </c>
      <c r="BH206" s="141">
        <v>0</v>
      </c>
      <c r="BI206" s="141">
        <v>0</v>
      </c>
      <c r="BJ206" s="141">
        <v>0</v>
      </c>
      <c r="BK206" s="141">
        <v>0</v>
      </c>
      <c r="BL206" s="141">
        <v>0</v>
      </c>
      <c r="BM206" s="141">
        <v>0</v>
      </c>
      <c r="BN206" s="141">
        <v>0</v>
      </c>
      <c r="BO206" s="141">
        <v>0.55100000000000005</v>
      </c>
      <c r="BP206" s="141">
        <v>0</v>
      </c>
      <c r="BQ206" s="141">
        <v>0</v>
      </c>
      <c r="BR206" s="141">
        <v>0</v>
      </c>
      <c r="BS206" s="141">
        <v>0</v>
      </c>
      <c r="BT206" s="141">
        <v>0</v>
      </c>
      <c r="BU206" s="141">
        <v>0</v>
      </c>
      <c r="BV206" s="141">
        <v>0</v>
      </c>
      <c r="BW206" s="141">
        <v>0</v>
      </c>
      <c r="BX206" s="141">
        <v>0.55100000000000005</v>
      </c>
      <c r="BY206" s="141">
        <v>0</v>
      </c>
      <c r="BZ206" s="141">
        <v>0</v>
      </c>
      <c r="CA206" s="73">
        <v>0</v>
      </c>
      <c r="CB206" s="72">
        <v>0</v>
      </c>
      <c r="CC206" s="73">
        <f>(20+(char4Refine-1)*5)%</f>
        <v>0.2</v>
      </c>
      <c r="CD206" s="73">
        <v>0</v>
      </c>
      <c r="CE206" s="73">
        <v>0</v>
      </c>
      <c r="CF206" s="73">
        <v>0</v>
      </c>
      <c r="CG206" s="73">
        <v>0</v>
      </c>
      <c r="CH206" s="73">
        <v>0.36799999999999999</v>
      </c>
      <c r="CI206" s="73">
        <v>0</v>
      </c>
      <c r="CJ206" s="73">
        <v>0</v>
      </c>
      <c r="CK206" s="73">
        <v>0</v>
      </c>
      <c r="CL206" s="73">
        <v>0</v>
      </c>
      <c r="CM206" s="73">
        <v>0</v>
      </c>
      <c r="CN206" s="73">
        <v>0</v>
      </c>
      <c r="CO206" s="73">
        <v>0</v>
      </c>
      <c r="CP206" s="73">
        <v>0</v>
      </c>
      <c r="CQ206" s="73">
        <v>0</v>
      </c>
      <c r="CR206" s="73">
        <v>0</v>
      </c>
      <c r="CS206" s="73">
        <v>0.66200000000000003</v>
      </c>
    </row>
    <row r="207" spans="1:97" x14ac:dyDescent="0.25">
      <c r="A207" t="s">
        <v>68</v>
      </c>
      <c r="B207" s="136">
        <v>0.36799999999999999</v>
      </c>
      <c r="C207" s="148">
        <v>0</v>
      </c>
      <c r="D207" s="148">
        <v>0</v>
      </c>
      <c r="E207" s="148">
        <v>0</v>
      </c>
      <c r="F207" s="148">
        <v>0</v>
      </c>
      <c r="G207" s="136">
        <v>0</v>
      </c>
      <c r="H207" s="136">
        <v>0</v>
      </c>
      <c r="I207" s="136">
        <v>0</v>
      </c>
      <c r="J207" s="148">
        <v>0</v>
      </c>
      <c r="K207" s="136">
        <v>0.61299999999999999</v>
      </c>
      <c r="L207" s="136">
        <v>0</v>
      </c>
      <c r="M207" s="136">
        <v>0</v>
      </c>
      <c r="N207" s="136">
        <v>0</v>
      </c>
      <c r="O207" s="148">
        <v>0</v>
      </c>
      <c r="P207" s="148">
        <v>0</v>
      </c>
      <c r="Q207" s="148">
        <v>0.45900000000000002</v>
      </c>
      <c r="R207" s="148">
        <v>0.30599999999999999</v>
      </c>
      <c r="S207" s="136">
        <v>0</v>
      </c>
      <c r="T207" s="148">
        <v>0</v>
      </c>
      <c r="U207" s="138">
        <v>0.36799999999999999</v>
      </c>
      <c r="V207" s="138">
        <f>55.1%+IF(char4WeapToggle, 30+(char4Refine-1)*5,0)%</f>
        <v>0.85099999999999998</v>
      </c>
      <c r="W207" s="138">
        <v>0</v>
      </c>
      <c r="X207" s="138">
        <v>0</v>
      </c>
      <c r="Y207" s="138">
        <v>0</v>
      </c>
      <c r="Z207" s="138">
        <v>0.45900000000000002</v>
      </c>
      <c r="AA207" s="138">
        <v>0</v>
      </c>
      <c r="AB207" s="138">
        <v>0</v>
      </c>
      <c r="AC207" s="138">
        <v>0.30599999999999999</v>
      </c>
      <c r="AD207" s="138">
        <v>0.45900000000000002</v>
      </c>
      <c r="AE207" s="138">
        <v>0</v>
      </c>
      <c r="AF207" s="138">
        <v>0</v>
      </c>
      <c r="AG207" s="138">
        <v>0</v>
      </c>
      <c r="AH207" s="138">
        <v>0</v>
      </c>
      <c r="AI207" s="138">
        <v>0</v>
      </c>
      <c r="AJ207" s="138">
        <v>0</v>
      </c>
      <c r="AK207" s="138">
        <v>0</v>
      </c>
      <c r="AL207" s="75">
        <v>0</v>
      </c>
      <c r="AM207" s="75">
        <v>0</v>
      </c>
      <c r="AN207" s="75">
        <v>0</v>
      </c>
      <c r="AO207" s="75">
        <v>0</v>
      </c>
      <c r="AP207" s="75">
        <v>0.55100000000000005</v>
      </c>
      <c r="AQ207" s="75">
        <v>0</v>
      </c>
      <c r="AR207" s="75">
        <v>0.45900000000000002</v>
      </c>
      <c r="AS207" s="75">
        <v>0</v>
      </c>
      <c r="AT207" s="75">
        <v>0</v>
      </c>
      <c r="AU207" s="75">
        <v>0</v>
      </c>
      <c r="AV207" s="75">
        <v>0.61299999999999999</v>
      </c>
      <c r="AW207" s="75">
        <v>0</v>
      </c>
      <c r="AX207" s="75">
        <v>0</v>
      </c>
      <c r="AY207" s="75">
        <v>0</v>
      </c>
      <c r="AZ207" s="75">
        <v>0</v>
      </c>
      <c r="BA207" s="75">
        <v>0.61299999999999999</v>
      </c>
      <c r="BB207" s="75">
        <v>0</v>
      </c>
      <c r="BC207" s="75">
        <v>0</v>
      </c>
      <c r="BD207" s="75">
        <v>0</v>
      </c>
      <c r="BE207" s="75">
        <v>0.51700000000000002</v>
      </c>
      <c r="BF207" s="75">
        <v>0</v>
      </c>
      <c r="BG207" s="75">
        <v>0</v>
      </c>
      <c r="BH207" s="141">
        <v>0</v>
      </c>
      <c r="BI207" s="141">
        <v>0</v>
      </c>
      <c r="BJ207" s="141">
        <v>0</v>
      </c>
      <c r="BK207" s="141">
        <v>0</v>
      </c>
      <c r="BL207" s="141">
        <v>0</v>
      </c>
      <c r="BM207" s="141">
        <v>0</v>
      </c>
      <c r="BN207" s="141">
        <v>0.30599999999999999</v>
      </c>
      <c r="BO207" s="141">
        <v>0</v>
      </c>
      <c r="BP207" s="141">
        <v>0</v>
      </c>
      <c r="BQ207" s="141">
        <v>0</v>
      </c>
      <c r="BR207" s="141">
        <v>0</v>
      </c>
      <c r="BS207" s="141">
        <v>0</v>
      </c>
      <c r="BT207" s="141">
        <v>0</v>
      </c>
      <c r="BU207" s="141">
        <v>0.45900000000000002</v>
      </c>
      <c r="BV207" s="141">
        <v>0</v>
      </c>
      <c r="BW207" s="141">
        <v>0</v>
      </c>
      <c r="BX207" s="141">
        <v>0</v>
      </c>
      <c r="BY207" s="141">
        <v>0.30599999999999999</v>
      </c>
      <c r="BZ207" s="141">
        <v>0</v>
      </c>
      <c r="CA207" s="146">
        <v>0.55100000000000005</v>
      </c>
      <c r="CB207" s="74">
        <v>0</v>
      </c>
      <c r="CC207" s="73">
        <v>0</v>
      </c>
      <c r="CD207" s="73">
        <v>0</v>
      </c>
      <c r="CE207" s="73">
        <v>0</v>
      </c>
      <c r="CF207" s="73">
        <v>0</v>
      </c>
      <c r="CG207" s="73">
        <v>0</v>
      </c>
      <c r="CH207" s="73">
        <v>0</v>
      </c>
      <c r="CI207" s="73">
        <v>0</v>
      </c>
      <c r="CJ207" s="73">
        <v>0.61299999999999999</v>
      </c>
      <c r="CK207" s="73">
        <v>0</v>
      </c>
      <c r="CL207" s="73">
        <v>0</v>
      </c>
      <c r="CM207" s="73">
        <v>0.30599999999999999</v>
      </c>
      <c r="CN207" s="73">
        <v>0</v>
      </c>
      <c r="CO207" s="73">
        <v>0</v>
      </c>
      <c r="CP207" s="73">
        <v>0</v>
      </c>
      <c r="CQ207" s="73">
        <v>0</v>
      </c>
      <c r="CR207" s="73">
        <v>0</v>
      </c>
      <c r="CS207" s="73">
        <v>0</v>
      </c>
    </row>
    <row r="208" spans="1:97" x14ac:dyDescent="0.25">
      <c r="A208" t="s">
        <v>70</v>
      </c>
      <c r="B208" s="136">
        <v>0</v>
      </c>
      <c r="C208" s="148">
        <v>0</v>
      </c>
      <c r="D208" s="148">
        <v>0</v>
      </c>
      <c r="E208" s="148">
        <v>0</v>
      </c>
      <c r="F208" s="148">
        <v>0.20699999999999999</v>
      </c>
      <c r="G208" s="136">
        <v>0</v>
      </c>
      <c r="H208" s="136">
        <v>0</v>
      </c>
      <c r="I208" s="136">
        <v>0</v>
      </c>
      <c r="J208" s="148">
        <v>0</v>
      </c>
      <c r="K208" s="148">
        <v>0</v>
      </c>
      <c r="L208" s="148">
        <v>0.34499999999999997</v>
      </c>
      <c r="M208" s="148">
        <v>0</v>
      </c>
      <c r="N208" s="136">
        <v>0</v>
      </c>
      <c r="O208" s="148">
        <v>0</v>
      </c>
      <c r="P208" s="148">
        <v>0</v>
      </c>
      <c r="Q208" s="148">
        <v>0</v>
      </c>
      <c r="R208" s="148">
        <v>0</v>
      </c>
      <c r="S208" s="136">
        <v>0</v>
      </c>
      <c r="T208" s="148">
        <v>0</v>
      </c>
      <c r="U208" s="138">
        <v>0</v>
      </c>
      <c r="V208" s="138">
        <v>0</v>
      </c>
      <c r="W208" s="138">
        <v>0</v>
      </c>
      <c r="X208" s="138">
        <v>0</v>
      </c>
      <c r="Y208" s="138">
        <v>0</v>
      </c>
      <c r="Z208" s="138">
        <v>0</v>
      </c>
      <c r="AA208" s="138">
        <v>0</v>
      </c>
      <c r="AB208" s="138">
        <v>0.69</v>
      </c>
      <c r="AC208" s="138">
        <v>0</v>
      </c>
      <c r="AD208" s="138">
        <v>0</v>
      </c>
      <c r="AE208" s="138">
        <v>0</v>
      </c>
      <c r="AF208" s="138">
        <v>0</v>
      </c>
      <c r="AG208" s="138">
        <v>0</v>
      </c>
      <c r="AH208" s="138">
        <v>0.34499999999999997</v>
      </c>
      <c r="AI208" s="138">
        <v>0</v>
      </c>
      <c r="AJ208" s="138">
        <v>0</v>
      </c>
      <c r="AK208" s="138">
        <v>0</v>
      </c>
      <c r="AL208" s="75">
        <v>0</v>
      </c>
      <c r="AM208" s="75">
        <v>0</v>
      </c>
      <c r="AN208" s="75">
        <v>0</v>
      </c>
      <c r="AO208" s="75">
        <v>0</v>
      </c>
      <c r="AP208" s="75">
        <v>0</v>
      </c>
      <c r="AQ208" s="75">
        <v>0.41299999999999998</v>
      </c>
      <c r="AR208" s="75">
        <v>0</v>
      </c>
      <c r="AS208" s="75">
        <v>0</v>
      </c>
      <c r="AT208" s="75">
        <v>0</v>
      </c>
      <c r="AU208" s="75">
        <v>0</v>
      </c>
      <c r="AV208" s="75">
        <v>0</v>
      </c>
      <c r="AW208" s="75">
        <v>0</v>
      </c>
      <c r="AX208" s="75">
        <v>0.34499999999999997</v>
      </c>
      <c r="AY208" s="75">
        <v>0</v>
      </c>
      <c r="AZ208" s="75">
        <v>0</v>
      </c>
      <c r="BA208" s="75">
        <v>0</v>
      </c>
      <c r="BB208" s="75">
        <v>0</v>
      </c>
      <c r="BC208" s="75">
        <v>0</v>
      </c>
      <c r="BD208" s="75">
        <v>0</v>
      </c>
      <c r="BE208" s="75">
        <v>0</v>
      </c>
      <c r="BF208" s="75">
        <v>0</v>
      </c>
      <c r="BG208" s="75">
        <v>0</v>
      </c>
      <c r="BH208" s="141">
        <v>0</v>
      </c>
      <c r="BI208" s="141">
        <v>0</v>
      </c>
      <c r="BJ208" s="141">
        <v>0</v>
      </c>
      <c r="BK208" s="141">
        <v>0</v>
      </c>
      <c r="BL208" s="141">
        <v>0</v>
      </c>
      <c r="BM208" s="141">
        <v>0</v>
      </c>
      <c r="BN208" s="141">
        <v>0</v>
      </c>
      <c r="BO208" s="141">
        <v>0</v>
      </c>
      <c r="BP208" s="141">
        <v>0</v>
      </c>
      <c r="BQ208" s="141">
        <v>0</v>
      </c>
      <c r="BR208" s="141">
        <v>0</v>
      </c>
      <c r="BS208" s="141">
        <v>0</v>
      </c>
      <c r="BT208" s="141">
        <v>0</v>
      </c>
      <c r="BU208" s="141">
        <v>0</v>
      </c>
      <c r="BV208" s="141">
        <v>0</v>
      </c>
      <c r="BW208" s="141">
        <v>0</v>
      </c>
      <c r="BX208" s="141">
        <v>0</v>
      </c>
      <c r="BY208" s="141">
        <v>0</v>
      </c>
      <c r="BZ208" s="141">
        <v>0</v>
      </c>
      <c r="CA208" s="73">
        <v>0</v>
      </c>
      <c r="CB208" s="72">
        <v>0</v>
      </c>
      <c r="CC208" s="73">
        <v>0</v>
      </c>
      <c r="CD208" s="73">
        <v>0</v>
      </c>
      <c r="CE208" s="73">
        <v>0</v>
      </c>
      <c r="CF208" s="73">
        <v>0</v>
      </c>
      <c r="CG208" s="73">
        <v>0.69</v>
      </c>
      <c r="CH208" s="73">
        <v>0</v>
      </c>
      <c r="CI208" s="73">
        <v>0</v>
      </c>
      <c r="CJ208" s="73">
        <v>0</v>
      </c>
      <c r="CK208" s="73">
        <v>0</v>
      </c>
      <c r="CL208" s="73">
        <v>0</v>
      </c>
      <c r="CM208" s="73">
        <v>0</v>
      </c>
      <c r="CN208" s="73">
        <v>0</v>
      </c>
      <c r="CO208" s="73">
        <v>0</v>
      </c>
      <c r="CP208" s="73">
        <v>0</v>
      </c>
      <c r="CQ208" s="73">
        <v>0.51700000000000002</v>
      </c>
      <c r="CR208" s="73">
        <v>0</v>
      </c>
      <c r="CS208" s="73">
        <v>0</v>
      </c>
    </row>
    <row r="209" spans="1:97" x14ac:dyDescent="0.25">
      <c r="A209" s="46" t="s">
        <v>71</v>
      </c>
      <c r="B209" s="136">
        <v>0</v>
      </c>
      <c r="C209" s="148">
        <v>0</v>
      </c>
      <c r="D209" s="148">
        <v>0</v>
      </c>
      <c r="E209" s="148">
        <v>0</v>
      </c>
      <c r="F209" s="148">
        <v>0</v>
      </c>
      <c r="G209" s="136">
        <v>0</v>
      </c>
      <c r="H209" s="136">
        <v>0</v>
      </c>
      <c r="I209" s="136">
        <v>0</v>
      </c>
      <c r="J209" s="148">
        <v>0</v>
      </c>
      <c r="K209" s="148">
        <v>0</v>
      </c>
      <c r="L209" s="148">
        <v>0</v>
      </c>
      <c r="M209" s="148">
        <v>0</v>
      </c>
      <c r="N209" s="136">
        <v>0</v>
      </c>
      <c r="O209" s="148">
        <v>0</v>
      </c>
      <c r="P209" s="148">
        <v>0</v>
      </c>
      <c r="Q209" s="148">
        <v>0</v>
      </c>
      <c r="R209" s="148">
        <v>0</v>
      </c>
      <c r="S209" s="136">
        <v>0</v>
      </c>
      <c r="T209" s="148">
        <v>0</v>
      </c>
      <c r="U209" s="138">
        <v>0</v>
      </c>
      <c r="V209" s="138">
        <v>0</v>
      </c>
      <c r="W209" s="138">
        <v>0</v>
      </c>
      <c r="X209" s="138">
        <v>0</v>
      </c>
      <c r="Y209" s="138">
        <v>0</v>
      </c>
      <c r="Z209" s="138">
        <v>0</v>
      </c>
      <c r="AA209" s="138">
        <v>0</v>
      </c>
      <c r="AB209" s="138">
        <v>0</v>
      </c>
      <c r="AC209" s="138">
        <v>0</v>
      </c>
      <c r="AD209" s="138">
        <v>0</v>
      </c>
      <c r="AE209" s="138">
        <v>0</v>
      </c>
      <c r="AF209" s="138">
        <v>0</v>
      </c>
      <c r="AG209" s="138">
        <v>0</v>
      </c>
      <c r="AH209" s="138">
        <v>0</v>
      </c>
      <c r="AI209" s="138">
        <v>0</v>
      </c>
      <c r="AJ209" s="138">
        <v>0</v>
      </c>
      <c r="AK209" s="138">
        <v>0</v>
      </c>
      <c r="AL209" s="75">
        <v>0</v>
      </c>
      <c r="AM209" s="75">
        <v>0</v>
      </c>
      <c r="AN209" s="75">
        <f>(IF('Data Val'!$K$4 = weaponsDB!A209,IF(char4WeapStacks=1, (8+(char4Refine-1)*2)%, IF(char4WeapStacks=2, (16+(char4Refine-1)*4)%, IF(char4WeapStacks=3, (28+(char4Refine-1)*7)%, 0)))))+(12+(char4Refine-1)*3)%</f>
        <v>0.12</v>
      </c>
      <c r="AO209" s="75">
        <v>0</v>
      </c>
      <c r="AP209" s="75">
        <v>0</v>
      </c>
      <c r="AQ209" s="75">
        <v>0</v>
      </c>
      <c r="AR209" s="75">
        <v>0</v>
      </c>
      <c r="AS209" s="75">
        <v>0</v>
      </c>
      <c r="AT209" s="75">
        <v>0</v>
      </c>
      <c r="AU209" s="75">
        <v>0</v>
      </c>
      <c r="AV209" s="75">
        <v>0</v>
      </c>
      <c r="AW209" s="75">
        <v>0</v>
      </c>
      <c r="AX209" s="75">
        <v>0</v>
      </c>
      <c r="AY209" s="75">
        <v>0</v>
      </c>
      <c r="AZ209" s="75">
        <v>0</v>
      </c>
      <c r="BA209" s="75">
        <v>0</v>
      </c>
      <c r="BB209" s="75">
        <v>0</v>
      </c>
      <c r="BC209" s="75">
        <v>0</v>
      </c>
      <c r="BD209" s="75">
        <v>0</v>
      </c>
      <c r="BE209" s="75">
        <v>0</v>
      </c>
      <c r="BF209" s="75">
        <v>0</v>
      </c>
      <c r="BG209" s="75">
        <v>0</v>
      </c>
      <c r="BH209" s="141">
        <v>0</v>
      </c>
      <c r="BI209" s="141">
        <f t="shared" ref="BI209:BI214" si="12">(12+(char4Refine-1)*3)%</f>
        <v>0.12</v>
      </c>
      <c r="BJ209" s="141">
        <f t="shared" ref="BJ209:BJ214" si="13">(char4WeapStacks*(8+(char4Refine-1)*2))%</f>
        <v>0</v>
      </c>
      <c r="BK209" s="141">
        <v>0</v>
      </c>
      <c r="BL209" s="141">
        <v>0</v>
      </c>
      <c r="BM209" s="141">
        <v>0</v>
      </c>
      <c r="BN209" s="141">
        <v>0</v>
      </c>
      <c r="BO209" s="141">
        <f t="shared" ref="BO209:BO214" si="14">IF(char4WeapToggle, 16+(char4Refine-1)*4,0)%</f>
        <v>0.16</v>
      </c>
      <c r="BP209" s="141">
        <v>0</v>
      </c>
      <c r="BQ209" s="141">
        <v>0</v>
      </c>
      <c r="BR209" s="141">
        <v>0</v>
      </c>
      <c r="BS209" s="141">
        <v>0</v>
      </c>
      <c r="BT209" s="141">
        <f t="shared" ref="BT209:BT214" si="15">char4WeapStacks*(8+(char4Refine-1)*2)%</f>
        <v>0</v>
      </c>
      <c r="BU209" s="141">
        <v>0</v>
      </c>
      <c r="BV209" s="141">
        <v>0</v>
      </c>
      <c r="BW209" s="141">
        <v>0</v>
      </c>
      <c r="BX209" s="141">
        <v>0</v>
      </c>
      <c r="BY209" s="141">
        <v>0</v>
      </c>
      <c r="BZ209" s="141">
        <v>0</v>
      </c>
      <c r="CA209" s="73">
        <v>0</v>
      </c>
      <c r="CB209" s="72">
        <v>0</v>
      </c>
      <c r="CC209" s="73">
        <v>0</v>
      </c>
      <c r="CD209" s="73">
        <v>0</v>
      </c>
      <c r="CE209" s="73">
        <v>0</v>
      </c>
      <c r="CF209" s="73">
        <v>0</v>
      </c>
      <c r="CG209" s="73">
        <v>0</v>
      </c>
      <c r="CH209" s="73">
        <v>0</v>
      </c>
      <c r="CI209" s="73">
        <v>0</v>
      </c>
      <c r="CJ209" s="73">
        <v>0</v>
      </c>
      <c r="CK209" s="73">
        <v>0</v>
      </c>
      <c r="CL209" s="73">
        <v>0</v>
      </c>
      <c r="CM209" s="73">
        <v>0</v>
      </c>
      <c r="CN209" s="73">
        <v>0</v>
      </c>
      <c r="CO209" s="73">
        <v>0</v>
      </c>
      <c r="CP209" s="73">
        <v>0</v>
      </c>
      <c r="CQ209" s="73">
        <v>0</v>
      </c>
      <c r="CR209" s="73">
        <v>0</v>
      </c>
      <c r="CS209" s="73">
        <v>0</v>
      </c>
    </row>
    <row r="210" spans="1:97" x14ac:dyDescent="0.25">
      <c r="A210" t="s">
        <v>72</v>
      </c>
      <c r="B210" s="136">
        <v>0</v>
      </c>
      <c r="C210" s="148">
        <v>0</v>
      </c>
      <c r="D210" s="148">
        <v>0</v>
      </c>
      <c r="E210" s="148">
        <v>0</v>
      </c>
      <c r="F210" s="148">
        <v>0</v>
      </c>
      <c r="G210" s="136">
        <v>0</v>
      </c>
      <c r="H210" s="136">
        <v>0</v>
      </c>
      <c r="I210" s="136">
        <v>0</v>
      </c>
      <c r="J210" s="148">
        <v>0</v>
      </c>
      <c r="K210" s="148">
        <v>0</v>
      </c>
      <c r="L210" s="148">
        <v>0</v>
      </c>
      <c r="M210" s="148">
        <v>0</v>
      </c>
      <c r="N210" s="136">
        <v>0</v>
      </c>
      <c r="O210" s="148">
        <v>0</v>
      </c>
      <c r="P210" s="148">
        <v>0</v>
      </c>
      <c r="Q210" s="148">
        <v>0</v>
      </c>
      <c r="R210" s="148">
        <v>0</v>
      </c>
      <c r="S210" s="136">
        <v>0</v>
      </c>
      <c r="T210" s="148">
        <v>0</v>
      </c>
      <c r="U210" s="138">
        <v>0</v>
      </c>
      <c r="V210" s="138">
        <v>0</v>
      </c>
      <c r="W210" s="138">
        <v>0</v>
      </c>
      <c r="X210" s="138">
        <v>0</v>
      </c>
      <c r="Y210" s="138">
        <v>0</v>
      </c>
      <c r="Z210" s="138">
        <v>0</v>
      </c>
      <c r="AA210" s="138">
        <v>0</v>
      </c>
      <c r="AB210" s="138">
        <v>0</v>
      </c>
      <c r="AC210" s="138">
        <v>0</v>
      </c>
      <c r="AD210" s="138">
        <v>0</v>
      </c>
      <c r="AE210" s="138">
        <v>0</v>
      </c>
      <c r="AF210" s="138">
        <v>0</v>
      </c>
      <c r="AG210" s="138">
        <v>0</v>
      </c>
      <c r="AH210" s="138">
        <v>0</v>
      </c>
      <c r="AI210" s="138">
        <v>0</v>
      </c>
      <c r="AJ210" s="138">
        <v>0</v>
      </c>
      <c r="AK210" s="138">
        <v>0</v>
      </c>
      <c r="AL210" s="75">
        <v>0</v>
      </c>
      <c r="AM210" s="75">
        <v>0</v>
      </c>
      <c r="AN210" s="75" cm="1">
        <f t="array" ref="AN210">(IF('Data Val'!$K$4 = weaponsDB!A210,IF(char4WeapStacks=1, (8+(refinement-1)*2)%, IF(char4WeapStacks=2, (16+(refinement-1)*4)%, IF(char4WeapStacks=3, (28+(refinement-1)*7)%, 0)))))+(12+(char4Refine-1)*3)%</f>
        <v>0.12</v>
      </c>
      <c r="AO210" s="75">
        <v>0</v>
      </c>
      <c r="AP210" s="75">
        <v>0</v>
      </c>
      <c r="AQ210" s="75">
        <v>0</v>
      </c>
      <c r="AR210" s="75">
        <v>0</v>
      </c>
      <c r="AS210" s="75">
        <v>0</v>
      </c>
      <c r="AT210" s="75">
        <v>0</v>
      </c>
      <c r="AU210" s="75">
        <v>0</v>
      </c>
      <c r="AV210" s="75">
        <v>0</v>
      </c>
      <c r="AW210" s="75">
        <v>0</v>
      </c>
      <c r="AX210" s="75">
        <v>0</v>
      </c>
      <c r="AY210" s="75">
        <v>0</v>
      </c>
      <c r="AZ210" s="75">
        <v>0</v>
      </c>
      <c r="BA210" s="75">
        <v>0</v>
      </c>
      <c r="BB210" s="75">
        <v>0</v>
      </c>
      <c r="BC210" s="75">
        <v>0</v>
      </c>
      <c r="BD210" s="75">
        <v>0</v>
      </c>
      <c r="BE210" s="75">
        <v>0</v>
      </c>
      <c r="BF210" s="75">
        <v>0</v>
      </c>
      <c r="BG210" s="75">
        <v>0</v>
      </c>
      <c r="BH210" s="141">
        <v>0</v>
      </c>
      <c r="BI210" s="141">
        <f t="shared" si="12"/>
        <v>0.12</v>
      </c>
      <c r="BJ210" s="141">
        <f t="shared" si="13"/>
        <v>0</v>
      </c>
      <c r="BK210" s="141">
        <v>0</v>
      </c>
      <c r="BL210" s="141">
        <v>0</v>
      </c>
      <c r="BM210" s="141">
        <v>0</v>
      </c>
      <c r="BN210" s="141">
        <v>0</v>
      </c>
      <c r="BO210" s="141">
        <f t="shared" si="14"/>
        <v>0.16</v>
      </c>
      <c r="BP210" s="141">
        <v>0</v>
      </c>
      <c r="BQ210" s="141">
        <v>0</v>
      </c>
      <c r="BR210" s="141">
        <v>0</v>
      </c>
      <c r="BS210" s="141">
        <v>0</v>
      </c>
      <c r="BT210" s="141">
        <f t="shared" si="15"/>
        <v>0</v>
      </c>
      <c r="BU210" s="141">
        <v>0</v>
      </c>
      <c r="BV210" s="141">
        <v>0</v>
      </c>
      <c r="BW210" s="141">
        <v>0</v>
      </c>
      <c r="BX210" s="141">
        <v>0</v>
      </c>
      <c r="BY210" s="141">
        <v>0</v>
      </c>
      <c r="BZ210" s="141">
        <v>0</v>
      </c>
      <c r="CA210" s="73">
        <v>0</v>
      </c>
      <c r="CB210" s="72">
        <v>0</v>
      </c>
      <c r="CC210" s="73">
        <v>0</v>
      </c>
      <c r="CD210" s="73">
        <v>0</v>
      </c>
      <c r="CE210" s="73">
        <v>0</v>
      </c>
      <c r="CF210" s="73">
        <v>0</v>
      </c>
      <c r="CG210" s="73">
        <v>0</v>
      </c>
      <c r="CH210" s="73">
        <v>0</v>
      </c>
      <c r="CI210" s="73">
        <v>0</v>
      </c>
      <c r="CJ210" s="73">
        <v>0</v>
      </c>
      <c r="CK210" s="73">
        <v>0</v>
      </c>
      <c r="CL210" s="73">
        <v>0</v>
      </c>
      <c r="CM210" s="73">
        <v>0</v>
      </c>
      <c r="CN210" s="73">
        <v>0</v>
      </c>
      <c r="CO210" s="73">
        <v>0</v>
      </c>
      <c r="CP210" s="73">
        <v>0</v>
      </c>
      <c r="CQ210" s="73">
        <v>0</v>
      </c>
      <c r="CR210" s="73">
        <v>0</v>
      </c>
      <c r="CS210" s="73">
        <v>0</v>
      </c>
    </row>
    <row r="211" spans="1:97" x14ac:dyDescent="0.25">
      <c r="A211" s="46" t="s">
        <v>73</v>
      </c>
      <c r="B211" s="136">
        <v>0</v>
      </c>
      <c r="C211" s="148">
        <v>0</v>
      </c>
      <c r="D211" s="148">
        <v>0</v>
      </c>
      <c r="E211" s="148">
        <v>0</v>
      </c>
      <c r="F211" s="148">
        <v>0</v>
      </c>
      <c r="G211" s="136">
        <v>0</v>
      </c>
      <c r="H211" s="136">
        <v>0</v>
      </c>
      <c r="I211" s="136">
        <v>0</v>
      </c>
      <c r="J211" s="148">
        <v>0</v>
      </c>
      <c r="K211" s="148">
        <v>0</v>
      </c>
      <c r="L211" s="148">
        <v>0</v>
      </c>
      <c r="M211" s="148">
        <v>0</v>
      </c>
      <c r="N211" s="136">
        <v>0</v>
      </c>
      <c r="O211" s="148">
        <v>0</v>
      </c>
      <c r="P211" s="148">
        <v>0</v>
      </c>
      <c r="Q211" s="148">
        <v>0</v>
      </c>
      <c r="R211" s="148">
        <v>0</v>
      </c>
      <c r="S211" s="136">
        <v>0</v>
      </c>
      <c r="T211" s="148">
        <v>0</v>
      </c>
      <c r="U211" s="138">
        <v>0</v>
      </c>
      <c r="V211" s="138">
        <v>0</v>
      </c>
      <c r="W211" s="138">
        <v>0</v>
      </c>
      <c r="X211" s="138">
        <v>0</v>
      </c>
      <c r="Y211" s="138">
        <v>0</v>
      </c>
      <c r="Z211" s="138">
        <v>0</v>
      </c>
      <c r="AA211" s="138">
        <v>0</v>
      </c>
      <c r="AB211" s="138">
        <v>0</v>
      </c>
      <c r="AC211" s="138">
        <v>0</v>
      </c>
      <c r="AD211" s="138">
        <v>0</v>
      </c>
      <c r="AE211" s="138">
        <v>0</v>
      </c>
      <c r="AF211" s="138">
        <v>0</v>
      </c>
      <c r="AG211" s="138">
        <v>0</v>
      </c>
      <c r="AH211" s="138">
        <v>0</v>
      </c>
      <c r="AI211" s="138">
        <v>0</v>
      </c>
      <c r="AJ211" s="138">
        <v>0</v>
      </c>
      <c r="AK211" s="138">
        <v>0</v>
      </c>
      <c r="AL211" s="75">
        <v>0</v>
      </c>
      <c r="AM211" s="75">
        <v>0</v>
      </c>
      <c r="AN211" s="75" cm="1">
        <f t="array" ref="AN211">(IF('Data Val'!$K$4 = weaponsDB!A211,IF(char4WeapStacks=1, (8+(refinement-1)*2)%, IF(char4WeapStacks=2, (16+(refinement-1)*4)%, IF(char4WeapStacks=3, (28+(refinement-1)*7)%, 0)))))+(12+(char4Refine-1)*3)%</f>
        <v>0.12</v>
      </c>
      <c r="AO211" s="75">
        <v>0</v>
      </c>
      <c r="AP211" s="75">
        <v>0</v>
      </c>
      <c r="AQ211" s="75">
        <v>0</v>
      </c>
      <c r="AR211" s="75">
        <v>0</v>
      </c>
      <c r="AS211" s="75">
        <v>0</v>
      </c>
      <c r="AT211" s="75">
        <v>0</v>
      </c>
      <c r="AU211" s="75">
        <v>0</v>
      </c>
      <c r="AV211" s="75">
        <v>0</v>
      </c>
      <c r="AW211" s="75">
        <v>0</v>
      </c>
      <c r="AX211" s="75">
        <v>0</v>
      </c>
      <c r="AY211" s="75">
        <v>0</v>
      </c>
      <c r="AZ211" s="75">
        <v>0</v>
      </c>
      <c r="BA211" s="75">
        <v>0</v>
      </c>
      <c r="BB211" s="75">
        <v>0</v>
      </c>
      <c r="BC211" s="75">
        <v>0</v>
      </c>
      <c r="BD211" s="75">
        <v>0</v>
      </c>
      <c r="BE211" s="75">
        <v>0</v>
      </c>
      <c r="BF211" s="75">
        <v>0</v>
      </c>
      <c r="BG211" s="75">
        <v>0</v>
      </c>
      <c r="BH211" s="141">
        <v>0</v>
      </c>
      <c r="BI211" s="141">
        <f t="shared" si="12"/>
        <v>0.12</v>
      </c>
      <c r="BJ211" s="141">
        <f t="shared" si="13"/>
        <v>0</v>
      </c>
      <c r="BK211" s="141">
        <v>0</v>
      </c>
      <c r="BL211" s="141">
        <v>0</v>
      </c>
      <c r="BM211" s="141">
        <v>0</v>
      </c>
      <c r="BN211" s="141">
        <v>0</v>
      </c>
      <c r="BO211" s="141">
        <f t="shared" si="14"/>
        <v>0.16</v>
      </c>
      <c r="BP211" s="141">
        <v>0</v>
      </c>
      <c r="BQ211" s="141">
        <v>0</v>
      </c>
      <c r="BR211" s="141">
        <v>0</v>
      </c>
      <c r="BS211" s="141">
        <v>0</v>
      </c>
      <c r="BT211" s="141">
        <f t="shared" si="15"/>
        <v>0</v>
      </c>
      <c r="BU211" s="141">
        <v>0</v>
      </c>
      <c r="BV211" s="141">
        <v>0</v>
      </c>
      <c r="BW211" s="141">
        <v>0</v>
      </c>
      <c r="BX211" s="141">
        <v>0</v>
      </c>
      <c r="BY211" s="141">
        <v>0</v>
      </c>
      <c r="BZ211" s="141">
        <v>0</v>
      </c>
      <c r="CA211" s="73">
        <v>0</v>
      </c>
      <c r="CB211" s="72">
        <v>0</v>
      </c>
      <c r="CC211" s="73">
        <v>0</v>
      </c>
      <c r="CD211" s="73">
        <v>0</v>
      </c>
      <c r="CE211" s="73">
        <v>0</v>
      </c>
      <c r="CF211" s="73">
        <v>0</v>
      </c>
      <c r="CG211" s="73">
        <v>0</v>
      </c>
      <c r="CH211" s="73">
        <v>0</v>
      </c>
      <c r="CI211" s="73">
        <v>0</v>
      </c>
      <c r="CJ211" s="73">
        <v>0</v>
      </c>
      <c r="CK211" s="73">
        <v>0</v>
      </c>
      <c r="CL211" s="73">
        <v>0</v>
      </c>
      <c r="CM211" s="73">
        <v>0</v>
      </c>
      <c r="CN211" s="73">
        <v>0</v>
      </c>
      <c r="CO211" s="73">
        <v>0</v>
      </c>
      <c r="CP211" s="73">
        <v>0</v>
      </c>
      <c r="CQ211" s="73">
        <v>0</v>
      </c>
      <c r="CR211" s="73">
        <v>0</v>
      </c>
      <c r="CS211" s="73">
        <v>0</v>
      </c>
    </row>
    <row r="212" spans="1:97" x14ac:dyDescent="0.25">
      <c r="A212" s="46" t="s">
        <v>74</v>
      </c>
      <c r="B212" s="136">
        <v>0</v>
      </c>
      <c r="C212" s="148">
        <v>0</v>
      </c>
      <c r="D212" s="148">
        <v>0</v>
      </c>
      <c r="E212" s="148">
        <v>0</v>
      </c>
      <c r="F212" s="148">
        <v>0</v>
      </c>
      <c r="G212" s="136">
        <v>0</v>
      </c>
      <c r="H212" s="136">
        <v>0</v>
      </c>
      <c r="I212" s="136">
        <v>0</v>
      </c>
      <c r="J212" s="148">
        <v>0</v>
      </c>
      <c r="K212" s="148">
        <v>0</v>
      </c>
      <c r="L212" s="148">
        <v>0</v>
      </c>
      <c r="M212" s="148">
        <v>0</v>
      </c>
      <c r="N212" s="136">
        <v>0</v>
      </c>
      <c r="O212" s="148">
        <v>0</v>
      </c>
      <c r="P212" s="148">
        <v>0</v>
      </c>
      <c r="Q212" s="148">
        <v>0</v>
      </c>
      <c r="R212" s="148">
        <v>0</v>
      </c>
      <c r="S212" s="136">
        <v>0</v>
      </c>
      <c r="T212" s="148">
        <v>0</v>
      </c>
      <c r="U212" s="138">
        <v>0</v>
      </c>
      <c r="V212" s="138">
        <v>0</v>
      </c>
      <c r="W212" s="138">
        <v>0</v>
      </c>
      <c r="X212" s="138">
        <v>0</v>
      </c>
      <c r="Y212" s="138">
        <v>0</v>
      </c>
      <c r="Z212" s="138">
        <v>0</v>
      </c>
      <c r="AA212" s="138">
        <v>0</v>
      </c>
      <c r="AB212" s="138">
        <v>0</v>
      </c>
      <c r="AC212" s="138">
        <v>0</v>
      </c>
      <c r="AD212" s="138">
        <v>0</v>
      </c>
      <c r="AE212" s="138">
        <v>0</v>
      </c>
      <c r="AF212" s="138">
        <v>0</v>
      </c>
      <c r="AG212" s="138">
        <v>0</v>
      </c>
      <c r="AH212" s="138">
        <v>0</v>
      </c>
      <c r="AI212" s="138">
        <v>0</v>
      </c>
      <c r="AJ212" s="138">
        <v>0</v>
      </c>
      <c r="AK212" s="138">
        <v>0</v>
      </c>
      <c r="AL212" s="75">
        <v>0</v>
      </c>
      <c r="AM212" s="75">
        <v>0</v>
      </c>
      <c r="AN212" s="75" cm="1">
        <f t="array" ref="AN212">(IF('Data Val'!$K$4 = weaponsDB!A212,IF(char4WeapStacks=1, (8+(refinement-1)*2)%, IF(char4WeapStacks=2, (16+(refinement-1)*4)%, IF(char4WeapStacks=3, (28+(refinement-1)*7)%, 0)))))+(12+(char4Refine-1)*3)%</f>
        <v>0.12</v>
      </c>
      <c r="AO212" s="75">
        <v>0</v>
      </c>
      <c r="AP212" s="75">
        <v>0</v>
      </c>
      <c r="AQ212" s="75">
        <v>0</v>
      </c>
      <c r="AR212" s="75">
        <v>0</v>
      </c>
      <c r="AS212" s="75">
        <v>0</v>
      </c>
      <c r="AT212" s="75">
        <v>0</v>
      </c>
      <c r="AU212" s="75">
        <v>0</v>
      </c>
      <c r="AV212" s="75">
        <v>0</v>
      </c>
      <c r="AW212" s="75">
        <v>0</v>
      </c>
      <c r="AX212" s="75">
        <v>0</v>
      </c>
      <c r="AY212" s="75">
        <v>0</v>
      </c>
      <c r="AZ212" s="75">
        <v>0</v>
      </c>
      <c r="BA212" s="75">
        <v>0</v>
      </c>
      <c r="BB212" s="75">
        <v>0</v>
      </c>
      <c r="BC212" s="75">
        <v>0</v>
      </c>
      <c r="BD212" s="75">
        <v>0</v>
      </c>
      <c r="BE212" s="75">
        <v>0</v>
      </c>
      <c r="BF212" s="75">
        <v>0</v>
      </c>
      <c r="BG212" s="75">
        <v>0</v>
      </c>
      <c r="BH212" s="141">
        <v>0</v>
      </c>
      <c r="BI212" s="141">
        <f t="shared" si="12"/>
        <v>0.12</v>
      </c>
      <c r="BJ212" s="141">
        <f t="shared" si="13"/>
        <v>0</v>
      </c>
      <c r="BK212" s="141">
        <v>0</v>
      </c>
      <c r="BL212" s="141">
        <v>0</v>
      </c>
      <c r="BM212" s="141">
        <v>0</v>
      </c>
      <c r="BN212" s="141">
        <v>0</v>
      </c>
      <c r="BO212" s="141">
        <f t="shared" si="14"/>
        <v>0.16</v>
      </c>
      <c r="BP212" s="141">
        <v>0</v>
      </c>
      <c r="BQ212" s="141">
        <v>0</v>
      </c>
      <c r="BR212" s="141">
        <v>0</v>
      </c>
      <c r="BS212" s="141">
        <v>0</v>
      </c>
      <c r="BT212" s="141">
        <f t="shared" si="15"/>
        <v>0</v>
      </c>
      <c r="BU212" s="141">
        <v>0</v>
      </c>
      <c r="BV212" s="141">
        <v>0</v>
      </c>
      <c r="BW212" s="141">
        <v>0</v>
      </c>
      <c r="BX212" s="141">
        <v>0</v>
      </c>
      <c r="BY212" s="141">
        <v>0</v>
      </c>
      <c r="BZ212" s="141">
        <v>0</v>
      </c>
      <c r="CA212" s="73">
        <v>0</v>
      </c>
      <c r="CB212" s="72">
        <v>0</v>
      </c>
      <c r="CC212" s="73">
        <v>0</v>
      </c>
      <c r="CD212" s="73">
        <v>0</v>
      </c>
      <c r="CE212" s="73">
        <v>0</v>
      </c>
      <c r="CF212" s="73">
        <v>0</v>
      </c>
      <c r="CG212" s="73">
        <v>0</v>
      </c>
      <c r="CH212" s="73">
        <v>0</v>
      </c>
      <c r="CI212" s="73">
        <v>0</v>
      </c>
      <c r="CJ212" s="73">
        <v>0</v>
      </c>
      <c r="CK212" s="73">
        <v>0</v>
      </c>
      <c r="CL212" s="73">
        <v>0</v>
      </c>
      <c r="CM212" s="73">
        <v>0</v>
      </c>
      <c r="CN212" s="73">
        <v>0</v>
      </c>
      <c r="CO212" s="73">
        <v>0</v>
      </c>
      <c r="CP212" s="73">
        <v>0</v>
      </c>
      <c r="CQ212" s="73">
        <v>0</v>
      </c>
      <c r="CR212" s="73">
        <v>0</v>
      </c>
      <c r="CS212" s="73">
        <v>0</v>
      </c>
    </row>
    <row r="213" spans="1:97" x14ac:dyDescent="0.25">
      <c r="A213" s="46" t="s">
        <v>75</v>
      </c>
      <c r="B213" s="136">
        <v>0</v>
      </c>
      <c r="C213" s="148">
        <v>0</v>
      </c>
      <c r="D213" s="148">
        <v>0</v>
      </c>
      <c r="E213" s="148">
        <v>0</v>
      </c>
      <c r="F213" s="148">
        <v>0</v>
      </c>
      <c r="G213" s="136">
        <v>0</v>
      </c>
      <c r="H213" s="136">
        <v>0</v>
      </c>
      <c r="I213" s="136">
        <v>0</v>
      </c>
      <c r="J213" s="148">
        <v>0</v>
      </c>
      <c r="K213" s="148">
        <v>0</v>
      </c>
      <c r="L213" s="148">
        <v>0</v>
      </c>
      <c r="M213" s="148">
        <v>0</v>
      </c>
      <c r="N213" s="136">
        <v>0</v>
      </c>
      <c r="O213" s="148">
        <v>0</v>
      </c>
      <c r="P213" s="148">
        <v>0</v>
      </c>
      <c r="Q213" s="148">
        <v>0</v>
      </c>
      <c r="R213" s="148">
        <v>0</v>
      </c>
      <c r="S213" s="136">
        <v>0</v>
      </c>
      <c r="T213" s="148">
        <v>0</v>
      </c>
      <c r="U213" s="138">
        <v>0</v>
      </c>
      <c r="V213" s="138">
        <v>0</v>
      </c>
      <c r="W213" s="138">
        <v>0</v>
      </c>
      <c r="X213" s="138">
        <v>0</v>
      </c>
      <c r="Y213" s="138">
        <v>0</v>
      </c>
      <c r="Z213" s="138">
        <v>0</v>
      </c>
      <c r="AA213" s="138">
        <v>0</v>
      </c>
      <c r="AB213" s="138">
        <v>0</v>
      </c>
      <c r="AC213" s="138">
        <v>0</v>
      </c>
      <c r="AD213" s="138">
        <v>0</v>
      </c>
      <c r="AE213" s="138">
        <v>0</v>
      </c>
      <c r="AF213" s="138">
        <v>0</v>
      </c>
      <c r="AG213" s="138">
        <v>0</v>
      </c>
      <c r="AH213" s="138">
        <v>0</v>
      </c>
      <c r="AI213" s="138">
        <v>0</v>
      </c>
      <c r="AJ213" s="138">
        <v>0</v>
      </c>
      <c r="AK213" s="138">
        <v>0</v>
      </c>
      <c r="AL213" s="75">
        <v>0</v>
      </c>
      <c r="AM213" s="75">
        <v>0</v>
      </c>
      <c r="AN213" s="75" cm="1">
        <f t="array" ref="AN213">(IF('Data Val'!$K$4 = weaponsDB!A213,IF(char4WeapStacks=1, (8+(refinement-1)*2)%, IF(char4WeapStacks=2, (16+(refinement-1)*4)%, IF(char4WeapStacks=3, (28+(refinement-1)*7)%, 0)))))+(12+(char4Refine-1)*3)%</f>
        <v>0.12</v>
      </c>
      <c r="AO213" s="75">
        <v>0</v>
      </c>
      <c r="AP213" s="75">
        <v>0</v>
      </c>
      <c r="AQ213" s="75">
        <v>0</v>
      </c>
      <c r="AR213" s="75">
        <v>0</v>
      </c>
      <c r="AS213" s="75">
        <v>0</v>
      </c>
      <c r="AT213" s="75">
        <v>0</v>
      </c>
      <c r="AU213" s="75">
        <v>0</v>
      </c>
      <c r="AV213" s="75">
        <v>0</v>
      </c>
      <c r="AW213" s="75">
        <v>0</v>
      </c>
      <c r="AX213" s="75">
        <v>0</v>
      </c>
      <c r="AY213" s="75">
        <v>0</v>
      </c>
      <c r="AZ213" s="75">
        <v>0</v>
      </c>
      <c r="BA213" s="75">
        <v>0</v>
      </c>
      <c r="BB213" s="75">
        <v>0</v>
      </c>
      <c r="BC213" s="75">
        <v>0</v>
      </c>
      <c r="BD213" s="75">
        <v>0</v>
      </c>
      <c r="BE213" s="75">
        <v>0</v>
      </c>
      <c r="BF213" s="75">
        <v>0</v>
      </c>
      <c r="BG213" s="75">
        <v>0</v>
      </c>
      <c r="BH213" s="141">
        <v>0</v>
      </c>
      <c r="BI213" s="141">
        <f t="shared" si="12"/>
        <v>0.12</v>
      </c>
      <c r="BJ213" s="141">
        <f t="shared" si="13"/>
        <v>0</v>
      </c>
      <c r="BK213" s="141">
        <v>0</v>
      </c>
      <c r="BL213" s="141">
        <v>0</v>
      </c>
      <c r="BM213" s="141">
        <v>0</v>
      </c>
      <c r="BN213" s="141">
        <v>0</v>
      </c>
      <c r="BO213" s="141">
        <f t="shared" si="14"/>
        <v>0.16</v>
      </c>
      <c r="BP213" s="141">
        <v>0</v>
      </c>
      <c r="BQ213" s="141">
        <v>0</v>
      </c>
      <c r="BR213" s="141">
        <v>0</v>
      </c>
      <c r="BS213" s="141">
        <v>0</v>
      </c>
      <c r="BT213" s="141">
        <f t="shared" si="15"/>
        <v>0</v>
      </c>
      <c r="BU213" s="141">
        <v>0</v>
      </c>
      <c r="BV213" s="141">
        <v>0</v>
      </c>
      <c r="BW213" s="141">
        <v>0</v>
      </c>
      <c r="BX213" s="141">
        <v>0</v>
      </c>
      <c r="BY213" s="141">
        <v>0</v>
      </c>
      <c r="BZ213" s="141">
        <v>0</v>
      </c>
      <c r="CA213" s="73">
        <v>0</v>
      </c>
      <c r="CB213" s="72">
        <v>0</v>
      </c>
      <c r="CC213" s="73">
        <v>0</v>
      </c>
      <c r="CD213" s="73">
        <v>0</v>
      </c>
      <c r="CE213" s="73">
        <v>0</v>
      </c>
      <c r="CF213" s="73">
        <v>0</v>
      </c>
      <c r="CG213" s="73">
        <v>0</v>
      </c>
      <c r="CH213" s="73">
        <v>0</v>
      </c>
      <c r="CI213" s="73">
        <v>0</v>
      </c>
      <c r="CJ213" s="73">
        <v>0</v>
      </c>
      <c r="CK213" s="73">
        <v>0</v>
      </c>
      <c r="CL213" s="73">
        <v>0</v>
      </c>
      <c r="CM213" s="73">
        <v>0</v>
      </c>
      <c r="CN213" s="73">
        <v>0</v>
      </c>
      <c r="CO213" s="73">
        <v>0</v>
      </c>
      <c r="CP213" s="73">
        <v>0</v>
      </c>
      <c r="CQ213" s="73">
        <v>0</v>
      </c>
      <c r="CR213" s="73">
        <v>0</v>
      </c>
      <c r="CS213" s="73">
        <v>0</v>
      </c>
    </row>
    <row r="214" spans="1:97" x14ac:dyDescent="0.25">
      <c r="A214" s="46" t="s">
        <v>76</v>
      </c>
      <c r="B214" s="136">
        <v>0</v>
      </c>
      <c r="C214" s="148">
        <v>0</v>
      </c>
      <c r="D214" s="148">
        <v>0</v>
      </c>
      <c r="E214" s="148">
        <v>0</v>
      </c>
      <c r="F214" s="148">
        <v>0</v>
      </c>
      <c r="G214" s="136">
        <v>0</v>
      </c>
      <c r="H214" s="136">
        <v>0</v>
      </c>
      <c r="I214" s="136">
        <v>0</v>
      </c>
      <c r="J214" s="148">
        <v>0</v>
      </c>
      <c r="K214" s="148">
        <v>0</v>
      </c>
      <c r="L214" s="148">
        <v>0</v>
      </c>
      <c r="M214" s="148">
        <v>0</v>
      </c>
      <c r="N214" s="136">
        <v>0</v>
      </c>
      <c r="O214" s="148">
        <v>0</v>
      </c>
      <c r="P214" s="148">
        <v>0</v>
      </c>
      <c r="Q214" s="148">
        <v>0</v>
      </c>
      <c r="R214" s="148">
        <v>0</v>
      </c>
      <c r="S214" s="136">
        <v>0</v>
      </c>
      <c r="T214" s="148">
        <v>0</v>
      </c>
      <c r="U214" s="138">
        <v>0</v>
      </c>
      <c r="V214" s="138">
        <v>0</v>
      </c>
      <c r="W214" s="138">
        <v>0</v>
      </c>
      <c r="X214" s="138">
        <v>0</v>
      </c>
      <c r="Y214" s="138">
        <v>0</v>
      </c>
      <c r="Z214" s="138">
        <v>0</v>
      </c>
      <c r="AA214" s="138">
        <v>0</v>
      </c>
      <c r="AB214" s="138">
        <v>0</v>
      </c>
      <c r="AC214" s="138">
        <v>0</v>
      </c>
      <c r="AD214" s="138">
        <v>0</v>
      </c>
      <c r="AE214" s="138">
        <v>0</v>
      </c>
      <c r="AF214" s="138">
        <v>0</v>
      </c>
      <c r="AG214" s="138">
        <v>0</v>
      </c>
      <c r="AH214" s="138">
        <v>0</v>
      </c>
      <c r="AI214" s="138">
        <v>0</v>
      </c>
      <c r="AJ214" s="138">
        <v>0</v>
      </c>
      <c r="AK214" s="138">
        <v>0</v>
      </c>
      <c r="AL214" s="75">
        <v>0</v>
      </c>
      <c r="AM214" s="75">
        <v>0</v>
      </c>
      <c r="AN214" s="75" cm="1">
        <f t="array" ref="AN214">(IF('Data Val'!$K$4 = weaponsDB!A214,IF(char4WeapStacks=1, (8+(refinement-1)*2)%, IF(char4WeapStacks=2, (16+(refinement-1)*4)%, IF(char4WeapStacks=3, (28+(refinement-1)*7)%, 0)))))+(12+(char4Refine-1)*3)%</f>
        <v>0.12</v>
      </c>
      <c r="AO214" s="75">
        <v>0</v>
      </c>
      <c r="AP214" s="75">
        <v>0</v>
      </c>
      <c r="AQ214" s="75">
        <v>0</v>
      </c>
      <c r="AR214" s="75">
        <v>0</v>
      </c>
      <c r="AS214" s="75">
        <v>0</v>
      </c>
      <c r="AT214" s="75">
        <v>0</v>
      </c>
      <c r="AU214" s="75">
        <v>0</v>
      </c>
      <c r="AV214" s="75">
        <v>0</v>
      </c>
      <c r="AW214" s="75">
        <v>0</v>
      </c>
      <c r="AX214" s="75">
        <v>0</v>
      </c>
      <c r="AY214" s="75">
        <v>0</v>
      </c>
      <c r="AZ214" s="75">
        <v>0</v>
      </c>
      <c r="BA214" s="75">
        <v>0</v>
      </c>
      <c r="BB214" s="75">
        <v>0</v>
      </c>
      <c r="BC214" s="75">
        <v>0</v>
      </c>
      <c r="BD214" s="75">
        <v>0</v>
      </c>
      <c r="BE214" s="75">
        <v>0</v>
      </c>
      <c r="BF214" s="75">
        <v>0</v>
      </c>
      <c r="BG214" s="75">
        <v>0</v>
      </c>
      <c r="BH214" s="141">
        <v>0</v>
      </c>
      <c r="BI214" s="141">
        <f t="shared" si="12"/>
        <v>0.12</v>
      </c>
      <c r="BJ214" s="141">
        <f t="shared" si="13"/>
        <v>0</v>
      </c>
      <c r="BK214" s="141">
        <v>0</v>
      </c>
      <c r="BL214" s="141">
        <v>0</v>
      </c>
      <c r="BM214" s="141">
        <v>0</v>
      </c>
      <c r="BN214" s="141">
        <v>0</v>
      </c>
      <c r="BO214" s="141">
        <f t="shared" si="14"/>
        <v>0.16</v>
      </c>
      <c r="BP214" s="141">
        <v>0</v>
      </c>
      <c r="BQ214" s="141">
        <v>0</v>
      </c>
      <c r="BR214" s="141">
        <v>0</v>
      </c>
      <c r="BS214" s="141">
        <v>0</v>
      </c>
      <c r="BT214" s="141">
        <f t="shared" si="15"/>
        <v>0</v>
      </c>
      <c r="BU214" s="141">
        <v>0</v>
      </c>
      <c r="BV214" s="141">
        <v>0</v>
      </c>
      <c r="BW214" s="141">
        <v>0</v>
      </c>
      <c r="BX214" s="141">
        <v>0</v>
      </c>
      <c r="BY214" s="141">
        <v>0</v>
      </c>
      <c r="BZ214" s="141">
        <v>0</v>
      </c>
      <c r="CA214" s="73">
        <v>0</v>
      </c>
      <c r="CB214" s="72">
        <v>0</v>
      </c>
      <c r="CC214" s="73">
        <v>0</v>
      </c>
      <c r="CD214" s="73">
        <v>0</v>
      </c>
      <c r="CE214" s="73">
        <v>0</v>
      </c>
      <c r="CF214" s="73">
        <v>0</v>
      </c>
      <c r="CG214" s="73">
        <v>0</v>
      </c>
      <c r="CH214" s="73">
        <v>0</v>
      </c>
      <c r="CI214" s="73">
        <v>0</v>
      </c>
      <c r="CJ214" s="73">
        <v>0</v>
      </c>
      <c r="CK214" s="73">
        <v>0</v>
      </c>
      <c r="CL214" s="73">
        <v>0</v>
      </c>
      <c r="CM214" s="73">
        <v>0</v>
      </c>
      <c r="CN214" s="73">
        <v>0</v>
      </c>
      <c r="CO214" s="73">
        <v>0</v>
      </c>
      <c r="CP214" s="73">
        <v>0</v>
      </c>
      <c r="CQ214" s="73">
        <v>0</v>
      </c>
      <c r="CR214" s="73">
        <v>0</v>
      </c>
      <c r="CS214" s="73">
        <v>0</v>
      </c>
    </row>
    <row r="215" spans="1:97" x14ac:dyDescent="0.25">
      <c r="A215" s="46" t="s">
        <v>69</v>
      </c>
      <c r="B215" s="134">
        <v>0</v>
      </c>
      <c r="C215" s="134">
        <v>0</v>
      </c>
      <c r="D215" s="203">
        <v>0</v>
      </c>
      <c r="E215" s="134">
        <v>0</v>
      </c>
      <c r="F215" s="203">
        <v>0</v>
      </c>
      <c r="G215" s="134">
        <v>0</v>
      </c>
      <c r="H215" s="134">
        <v>0</v>
      </c>
      <c r="I215" s="134">
        <v>0</v>
      </c>
      <c r="J215" s="134">
        <v>0</v>
      </c>
      <c r="K215" s="134">
        <v>0</v>
      </c>
      <c r="L215" s="134">
        <v>0</v>
      </c>
      <c r="M215" s="134">
        <v>165</v>
      </c>
      <c r="N215" s="134">
        <v>0</v>
      </c>
      <c r="O215" s="134">
        <v>0</v>
      </c>
      <c r="P215" s="203">
        <v>0</v>
      </c>
      <c r="Q215" s="203">
        <v>0</v>
      </c>
      <c r="R215" s="203">
        <v>0</v>
      </c>
      <c r="S215" s="134">
        <v>0</v>
      </c>
      <c r="T215" s="134">
        <v>0</v>
      </c>
      <c r="U215" s="139">
        <v>0</v>
      </c>
      <c r="V215" s="139">
        <v>0</v>
      </c>
      <c r="W215" s="139">
        <v>0</v>
      </c>
      <c r="X215" s="139">
        <v>0</v>
      </c>
      <c r="Y215" s="139">
        <v>0</v>
      </c>
      <c r="Z215" s="139">
        <v>0</v>
      </c>
      <c r="AA215" s="139">
        <v>110</v>
      </c>
      <c r="AB215" s="139">
        <v>0</v>
      </c>
      <c r="AC215" s="139">
        <v>0</v>
      </c>
      <c r="AD215" s="139">
        <v>0</v>
      </c>
      <c r="AE215" s="139">
        <v>0</v>
      </c>
      <c r="AF215" s="139">
        <v>221</v>
      </c>
      <c r="AG215" s="139">
        <v>0</v>
      </c>
      <c r="AH215" s="139">
        <v>0</v>
      </c>
      <c r="AI215" s="139">
        <v>0</v>
      </c>
      <c r="AJ215" s="139">
        <v>0</v>
      </c>
      <c r="AK215" s="139">
        <v>0</v>
      </c>
      <c r="AL215" s="140">
        <v>0</v>
      </c>
      <c r="AM215" s="140">
        <v>198</v>
      </c>
      <c r="AN215" s="140">
        <v>0</v>
      </c>
      <c r="AO215" s="140">
        <v>0</v>
      </c>
      <c r="AP215" s="140">
        <v>0</v>
      </c>
      <c r="AQ215" s="140">
        <v>0</v>
      </c>
      <c r="AR215" s="140">
        <v>0</v>
      </c>
      <c r="AS215" s="140">
        <v>0</v>
      </c>
      <c r="AT215" s="140">
        <v>0</v>
      </c>
      <c r="AU215" s="140">
        <v>55</v>
      </c>
      <c r="AV215" s="140">
        <v>0</v>
      </c>
      <c r="AW215" s="140">
        <v>0</v>
      </c>
      <c r="AX215" s="140">
        <v>0</v>
      </c>
      <c r="AY215" s="140">
        <v>0</v>
      </c>
      <c r="AZ215" s="140">
        <v>165</v>
      </c>
      <c r="BA215" s="140">
        <v>0</v>
      </c>
      <c r="BB215" s="140">
        <v>0</v>
      </c>
      <c r="BC215" s="140">
        <v>0</v>
      </c>
      <c r="BD215" s="140">
        <v>0</v>
      </c>
      <c r="BE215" s="140">
        <v>0</v>
      </c>
      <c r="BF215" s="140">
        <v>141</v>
      </c>
      <c r="BG215" s="140">
        <v>0</v>
      </c>
      <c r="BH215" s="142">
        <v>0</v>
      </c>
      <c r="BI215" s="142">
        <v>0</v>
      </c>
      <c r="BJ215" s="142">
        <v>0</v>
      </c>
      <c r="BK215" s="142">
        <v>0</v>
      </c>
      <c r="BL215" s="142">
        <v>0</v>
      </c>
      <c r="BM215" s="142">
        <v>0</v>
      </c>
      <c r="BN215" s="142">
        <v>0</v>
      </c>
      <c r="BO215" s="142">
        <f>IF(char4WeapToggle,80+(char4Refine-1)*20,0)</f>
        <v>80</v>
      </c>
      <c r="BP215" s="142">
        <v>0</v>
      </c>
      <c r="BQ215" s="142">
        <v>221</v>
      </c>
      <c r="BR215" s="142">
        <v>0</v>
      </c>
      <c r="BS215" s="142">
        <v>0</v>
      </c>
      <c r="BT215" s="142">
        <v>110</v>
      </c>
      <c r="BU215" s="142">
        <v>0</v>
      </c>
      <c r="BV215" s="142">
        <v>0</v>
      </c>
      <c r="BW215" s="142">
        <v>187</v>
      </c>
      <c r="BX215" s="142">
        <v>0</v>
      </c>
      <c r="BY215" s="142">
        <v>0</v>
      </c>
      <c r="BZ215" s="142">
        <v>0</v>
      </c>
      <c r="CA215" s="144">
        <f>60+(char4Refine-1)*15+IF(char4WeapToggle, 100+(char4Refine-1)*25,0)</f>
        <v>160</v>
      </c>
      <c r="CB215" s="79">
        <v>0</v>
      </c>
      <c r="CC215" s="154">
        <v>0</v>
      </c>
      <c r="CD215" s="154">
        <v>0</v>
      </c>
      <c r="CE215" s="144">
        <v>0</v>
      </c>
      <c r="CF215" s="154">
        <v>0</v>
      </c>
      <c r="CG215" s="154">
        <v>0</v>
      </c>
      <c r="CH215" s="154">
        <v>0</v>
      </c>
      <c r="CI215" s="154">
        <v>0</v>
      </c>
      <c r="CJ215" s="154">
        <v>0</v>
      </c>
      <c r="CK215" s="144">
        <v>165</v>
      </c>
      <c r="CL215" s="154">
        <v>0</v>
      </c>
      <c r="CM215" s="154">
        <v>0</v>
      </c>
      <c r="CN215" s="154">
        <v>0</v>
      </c>
      <c r="CO215" s="154">
        <v>165</v>
      </c>
      <c r="CP215" s="154">
        <v>0</v>
      </c>
      <c r="CQ215" s="154">
        <v>0</v>
      </c>
      <c r="CR215" s="154">
        <v>0</v>
      </c>
      <c r="CS215" s="154">
        <v>0</v>
      </c>
    </row>
    <row r="216" spans="1:97" x14ac:dyDescent="0.25">
      <c r="A216" s="46" t="s">
        <v>457</v>
      </c>
      <c r="B216" s="136">
        <v>0</v>
      </c>
      <c r="C216" s="136">
        <v>0</v>
      </c>
      <c r="D216" s="148">
        <v>0</v>
      </c>
      <c r="E216" s="136">
        <v>0</v>
      </c>
      <c r="F216" s="148">
        <v>0</v>
      </c>
      <c r="G216" s="136">
        <v>0</v>
      </c>
      <c r="H216" s="136">
        <v>0</v>
      </c>
      <c r="I216" s="136">
        <v>0</v>
      </c>
      <c r="J216" s="136">
        <v>0</v>
      </c>
      <c r="K216" s="136">
        <v>0</v>
      </c>
      <c r="L216" s="136">
        <v>0</v>
      </c>
      <c r="M216" s="136">
        <v>0</v>
      </c>
      <c r="N216" s="136">
        <v>0</v>
      </c>
      <c r="O216" s="136">
        <v>0</v>
      </c>
      <c r="P216" s="148">
        <v>0</v>
      </c>
      <c r="Q216" s="148">
        <v>0</v>
      </c>
      <c r="R216" s="148">
        <v>0</v>
      </c>
      <c r="S216" s="136">
        <v>0</v>
      </c>
      <c r="T216" s="136">
        <v>0</v>
      </c>
      <c r="U216" s="138">
        <v>0</v>
      </c>
      <c r="V216" s="138">
        <v>0</v>
      </c>
      <c r="W216" s="138">
        <v>0</v>
      </c>
      <c r="X216" s="138">
        <v>0</v>
      </c>
      <c r="Y216" s="138">
        <v>0</v>
      </c>
      <c r="Z216" s="138">
        <v>0</v>
      </c>
      <c r="AA216" s="138">
        <v>0</v>
      </c>
      <c r="AB216" s="138">
        <v>0</v>
      </c>
      <c r="AC216" s="138">
        <v>0</v>
      </c>
      <c r="AD216" s="138">
        <v>0</v>
      </c>
      <c r="AE216" s="138">
        <v>0</v>
      </c>
      <c r="AF216" s="138">
        <v>0</v>
      </c>
      <c r="AG216" s="138">
        <v>0</v>
      </c>
      <c r="AH216" s="138">
        <v>0</v>
      </c>
      <c r="AI216" s="138">
        <v>0</v>
      </c>
      <c r="AJ216" s="138">
        <v>0</v>
      </c>
      <c r="AK216" s="138">
        <v>0</v>
      </c>
      <c r="AL216" s="75">
        <v>0</v>
      </c>
      <c r="AM216" s="75">
        <v>0</v>
      </c>
      <c r="AN216" s="75">
        <v>0</v>
      </c>
      <c r="AO216" s="75">
        <v>0</v>
      </c>
      <c r="AP216" s="75">
        <v>0</v>
      </c>
      <c r="AQ216" s="75">
        <v>0</v>
      </c>
      <c r="AR216" s="75">
        <v>0</v>
      </c>
      <c r="AS216" s="75">
        <v>0</v>
      </c>
      <c r="AT216" s="75">
        <v>0</v>
      </c>
      <c r="AU216" s="75">
        <v>0</v>
      </c>
      <c r="AV216" s="75">
        <v>0</v>
      </c>
      <c r="AW216" s="75">
        <v>0</v>
      </c>
      <c r="AX216" s="75">
        <v>0</v>
      </c>
      <c r="AY216" s="75">
        <v>0</v>
      </c>
      <c r="AZ216" s="75">
        <v>0</v>
      </c>
      <c r="BA216" s="75">
        <v>0</v>
      </c>
      <c r="BB216" s="75">
        <v>0</v>
      </c>
      <c r="BC216" s="75">
        <v>0</v>
      </c>
      <c r="BD216" s="75">
        <v>0</v>
      </c>
      <c r="BE216" s="75">
        <v>0</v>
      </c>
      <c r="BF216" s="75">
        <v>0</v>
      </c>
      <c r="BG216" s="75">
        <v>0</v>
      </c>
      <c r="BH216" s="141">
        <v>0</v>
      </c>
      <c r="BI216" s="141">
        <v>0</v>
      </c>
      <c r="BJ216" s="141">
        <v>0</v>
      </c>
      <c r="BK216" s="141">
        <v>0</v>
      </c>
      <c r="BL216" s="141">
        <v>0</v>
      </c>
      <c r="BM216" s="141">
        <v>0</v>
      </c>
      <c r="BN216" s="141">
        <v>0</v>
      </c>
      <c r="BO216" s="141">
        <v>0</v>
      </c>
      <c r="BP216" s="141">
        <v>0</v>
      </c>
      <c r="BQ216" s="141">
        <v>0</v>
      </c>
      <c r="BR216" s="141">
        <v>0</v>
      </c>
      <c r="BS216" s="141">
        <v>0</v>
      </c>
      <c r="BT216" s="141">
        <v>0</v>
      </c>
      <c r="BU216" s="141">
        <v>0</v>
      </c>
      <c r="BV216" s="141">
        <v>0</v>
      </c>
      <c r="BW216" s="141">
        <v>0</v>
      </c>
      <c r="BX216" s="141">
        <v>0</v>
      </c>
      <c r="BY216" s="141">
        <v>0</v>
      </c>
      <c r="BZ216" s="141">
        <v>0</v>
      </c>
      <c r="CA216" s="146">
        <v>0</v>
      </c>
      <c r="CB216" s="72">
        <v>0</v>
      </c>
      <c r="CC216" s="73">
        <v>0</v>
      </c>
      <c r="CD216" s="146">
        <v>0</v>
      </c>
      <c r="CE216" s="146">
        <v>0</v>
      </c>
      <c r="CF216" s="73">
        <v>0</v>
      </c>
      <c r="CG216" s="146">
        <v>0</v>
      </c>
      <c r="CH216" s="73">
        <v>0</v>
      </c>
      <c r="CI216" s="146">
        <v>0</v>
      </c>
      <c r="CJ216" s="146">
        <v>0</v>
      </c>
      <c r="CK216" s="146">
        <v>0</v>
      </c>
      <c r="CL216" s="73">
        <v>0</v>
      </c>
      <c r="CM216" s="73">
        <v>0</v>
      </c>
      <c r="CN216" s="73">
        <v>0</v>
      </c>
      <c r="CO216" s="73">
        <v>0</v>
      </c>
      <c r="CP216" s="146">
        <v>0</v>
      </c>
      <c r="CQ216" s="73">
        <v>0</v>
      </c>
      <c r="CR216" s="73">
        <v>0</v>
      </c>
      <c r="CS216" s="73">
        <v>0</v>
      </c>
    </row>
    <row r="217" spans="1:97" x14ac:dyDescent="0.25">
      <c r="A217" s="46" t="s">
        <v>427</v>
      </c>
      <c r="B217" s="136">
        <v>0</v>
      </c>
      <c r="C217" s="148">
        <v>0</v>
      </c>
      <c r="D217" s="148">
        <v>0</v>
      </c>
      <c r="E217" s="136">
        <v>0</v>
      </c>
      <c r="F217" s="148">
        <v>0</v>
      </c>
      <c r="G217" s="136">
        <v>0</v>
      </c>
      <c r="H217" s="136">
        <v>0</v>
      </c>
      <c r="I217" s="136">
        <v>0</v>
      </c>
      <c r="J217" s="136">
        <v>0</v>
      </c>
      <c r="K217" s="136">
        <v>0</v>
      </c>
      <c r="L217" s="136">
        <v>0</v>
      </c>
      <c r="M217" s="136">
        <v>0</v>
      </c>
      <c r="N217" s="136">
        <v>0</v>
      </c>
      <c r="O217" s="136">
        <v>0</v>
      </c>
      <c r="P217" s="148">
        <v>0</v>
      </c>
      <c r="Q217" s="148">
        <v>0</v>
      </c>
      <c r="R217" s="148">
        <v>0</v>
      </c>
      <c r="S217" s="136">
        <v>0</v>
      </c>
      <c r="T217" s="136">
        <v>0</v>
      </c>
      <c r="U217" s="138">
        <v>0</v>
      </c>
      <c r="V217" s="138">
        <v>0</v>
      </c>
      <c r="W217" s="138">
        <v>0</v>
      </c>
      <c r="X217" s="138">
        <v>0</v>
      </c>
      <c r="Y217" s="138">
        <v>0</v>
      </c>
      <c r="Z217" s="138">
        <v>0</v>
      </c>
      <c r="AA217" s="138">
        <v>0</v>
      </c>
      <c r="AB217" s="138">
        <v>0</v>
      </c>
      <c r="AC217" s="138">
        <v>0</v>
      </c>
      <c r="AD217" s="138">
        <v>0</v>
      </c>
      <c r="AE217" s="138">
        <v>0</v>
      </c>
      <c r="AF217" s="138">
        <v>0</v>
      </c>
      <c r="AG217" s="138">
        <v>0</v>
      </c>
      <c r="AH217" s="138">
        <v>0</v>
      </c>
      <c r="AI217" s="138">
        <v>0</v>
      </c>
      <c r="AJ217" s="138">
        <v>0</v>
      </c>
      <c r="AK217" s="138">
        <v>0</v>
      </c>
      <c r="AL217" s="75">
        <v>0</v>
      </c>
      <c r="AM217" s="75">
        <v>0</v>
      </c>
      <c r="AN217" s="75">
        <v>0</v>
      </c>
      <c r="AO217" s="75">
        <v>0</v>
      </c>
      <c r="AP217" s="75">
        <v>0</v>
      </c>
      <c r="AQ217" s="75">
        <v>0</v>
      </c>
      <c r="AR217" s="75">
        <v>0</v>
      </c>
      <c r="AS217" s="75">
        <v>0</v>
      </c>
      <c r="AT217" s="75">
        <v>0</v>
      </c>
      <c r="AU217" s="75">
        <v>0</v>
      </c>
      <c r="AV217" s="75">
        <v>0</v>
      </c>
      <c r="AW217" s="75">
        <v>0</v>
      </c>
      <c r="AX217" s="75">
        <v>0</v>
      </c>
      <c r="AY217" s="75">
        <v>0</v>
      </c>
      <c r="AZ217" s="75">
        <v>0</v>
      </c>
      <c r="BA217" s="75">
        <v>0</v>
      </c>
      <c r="BB217" s="75">
        <v>0</v>
      </c>
      <c r="BC217" s="75">
        <v>0</v>
      </c>
      <c r="BD217" s="75">
        <v>0</v>
      </c>
      <c r="BE217" s="75">
        <v>0</v>
      </c>
      <c r="BF217" s="75">
        <v>0</v>
      </c>
      <c r="BG217" s="75">
        <v>0</v>
      </c>
      <c r="BH217" s="141">
        <v>0</v>
      </c>
      <c r="BI217" s="141">
        <v>0</v>
      </c>
      <c r="BJ217" s="141">
        <v>0</v>
      </c>
      <c r="BK217" s="141">
        <f>(10+(char4Refine-1)*2.5)%</f>
        <v>0.1</v>
      </c>
      <c r="BL217" s="141">
        <v>0</v>
      </c>
      <c r="BM217" s="141">
        <v>0</v>
      </c>
      <c r="BN217" s="141">
        <v>0</v>
      </c>
      <c r="BO217" s="141">
        <v>0</v>
      </c>
      <c r="BP217" s="141">
        <v>0</v>
      </c>
      <c r="BQ217" s="141">
        <v>0</v>
      </c>
      <c r="BR217" s="141">
        <v>0</v>
      </c>
      <c r="BS217" s="141">
        <v>0</v>
      </c>
      <c r="BT217" s="141">
        <v>0</v>
      </c>
      <c r="BU217" s="141">
        <v>0</v>
      </c>
      <c r="BV217" s="141">
        <v>0</v>
      </c>
      <c r="BW217" s="141">
        <v>0</v>
      </c>
      <c r="BX217" s="141">
        <v>0</v>
      </c>
      <c r="BY217" s="141">
        <v>0</v>
      </c>
      <c r="BZ217" s="141">
        <v>0</v>
      </c>
      <c r="CA217" s="146">
        <v>0</v>
      </c>
      <c r="CB217" s="72">
        <v>0</v>
      </c>
      <c r="CC217" s="73">
        <v>0</v>
      </c>
      <c r="CD217" s="73">
        <v>0</v>
      </c>
      <c r="CE217" s="73">
        <v>0</v>
      </c>
      <c r="CF217" s="73">
        <v>0</v>
      </c>
      <c r="CG217" s="146">
        <v>0</v>
      </c>
      <c r="CH217" s="73">
        <v>0</v>
      </c>
      <c r="CI217" s="146">
        <v>0</v>
      </c>
      <c r="CJ217" s="146">
        <v>0</v>
      </c>
      <c r="CK217" s="146">
        <v>0</v>
      </c>
      <c r="CL217" s="73">
        <v>0</v>
      </c>
      <c r="CM217" s="73">
        <v>0</v>
      </c>
      <c r="CN217" s="73">
        <v>0</v>
      </c>
      <c r="CO217" s="73">
        <v>0</v>
      </c>
      <c r="CP217" s="146">
        <v>0</v>
      </c>
      <c r="CQ217" s="73">
        <v>0</v>
      </c>
      <c r="CR217" s="73">
        <v>0</v>
      </c>
      <c r="CS217" s="73">
        <v>0</v>
      </c>
    </row>
    <row r="218" spans="1:97" x14ac:dyDescent="0.25">
      <c r="A218" s="46" t="s">
        <v>77</v>
      </c>
      <c r="B218" s="136">
        <v>0</v>
      </c>
      <c r="C218" s="148">
        <v>0</v>
      </c>
      <c r="D218" s="148">
        <v>0</v>
      </c>
      <c r="E218" s="136">
        <v>0</v>
      </c>
      <c r="F218" s="148">
        <v>0</v>
      </c>
      <c r="G218" s="136">
        <v>0</v>
      </c>
      <c r="H218" s="136">
        <v>0</v>
      </c>
      <c r="I218" s="136">
        <v>0</v>
      </c>
      <c r="J218" s="136">
        <v>0</v>
      </c>
      <c r="K218" s="136">
        <v>0</v>
      </c>
      <c r="L218" s="136">
        <v>0</v>
      </c>
      <c r="M218" s="136">
        <v>0</v>
      </c>
      <c r="N218" s="136">
        <v>0</v>
      </c>
      <c r="O218" s="136">
        <v>0</v>
      </c>
      <c r="P218" s="148">
        <v>0</v>
      </c>
      <c r="Q218" s="148">
        <v>0</v>
      </c>
      <c r="R218" s="148">
        <v>0</v>
      </c>
      <c r="S218" s="136">
        <v>0</v>
      </c>
      <c r="T218" s="136">
        <v>0</v>
      </c>
      <c r="U218" s="138">
        <v>0</v>
      </c>
      <c r="V218" s="138">
        <v>0</v>
      </c>
      <c r="W218" s="138">
        <v>0</v>
      </c>
      <c r="X218" s="138">
        <v>0</v>
      </c>
      <c r="Y218" s="138">
        <v>0</v>
      </c>
      <c r="Z218" s="138">
        <v>0</v>
      </c>
      <c r="AA218" s="138">
        <v>0</v>
      </c>
      <c r="AB218" s="138">
        <v>0</v>
      </c>
      <c r="AC218" s="138">
        <v>0</v>
      </c>
      <c r="AD218" s="138">
        <f>((8+(char4Refine-1)*4)*char4WeapStacks)%</f>
        <v>0</v>
      </c>
      <c r="AE218" s="138">
        <v>0</v>
      </c>
      <c r="AF218" s="138">
        <v>0</v>
      </c>
      <c r="AG218" s="138">
        <v>0</v>
      </c>
      <c r="AH218" s="138">
        <v>0</v>
      </c>
      <c r="AI218" s="138">
        <v>0</v>
      </c>
      <c r="AJ218" s="138">
        <f>(24+(char4Refine-1)*6)%</f>
        <v>0.24</v>
      </c>
      <c r="AK218" s="138">
        <v>0</v>
      </c>
      <c r="AL218" s="75">
        <v>0</v>
      </c>
      <c r="AM218" s="75">
        <f>IF(char4WeapToggle, (16+(char4Refine-1)*4), 0)%</f>
        <v>0.16</v>
      </c>
      <c r="AN218" s="75">
        <v>0</v>
      </c>
      <c r="AO218" s="75">
        <v>0</v>
      </c>
      <c r="AP218" s="75">
        <v>0</v>
      </c>
      <c r="AQ218" s="75">
        <v>0</v>
      </c>
      <c r="AR218" s="75">
        <v>0</v>
      </c>
      <c r="AS218" s="75">
        <v>0</v>
      </c>
      <c r="AT218" s="75">
        <f>(20+(char4Refine-1)*5)%</f>
        <v>0.2</v>
      </c>
      <c r="AU218" s="75">
        <v>0</v>
      </c>
      <c r="AV218" s="75">
        <v>0</v>
      </c>
      <c r="AW218" s="75">
        <v>0</v>
      </c>
      <c r="AX218" s="75">
        <v>0</v>
      </c>
      <c r="AY218" s="75">
        <v>0</v>
      </c>
      <c r="AZ218" s="75">
        <v>0</v>
      </c>
      <c r="BA218" s="75">
        <v>0</v>
      </c>
      <c r="BB218" s="75">
        <v>0</v>
      </c>
      <c r="BC218" s="75">
        <v>0</v>
      </c>
      <c r="BD218" s="75">
        <v>0</v>
      </c>
      <c r="BE218" s="75">
        <v>0</v>
      </c>
      <c r="BF218" s="75">
        <v>0</v>
      </c>
      <c r="BG218" s="75">
        <v>0</v>
      </c>
      <c r="BH218" s="141">
        <v>0</v>
      </c>
      <c r="BI218" s="141">
        <v>0</v>
      </c>
      <c r="BJ218" s="141">
        <v>0</v>
      </c>
      <c r="BK218" s="141">
        <v>0</v>
      </c>
      <c r="BL218" s="141">
        <v>0</v>
      </c>
      <c r="BM218" s="141">
        <v>0</v>
      </c>
      <c r="BN218" s="141">
        <v>0</v>
      </c>
      <c r="BO218" s="141">
        <v>0</v>
      </c>
      <c r="BP218" s="141">
        <f>IF(char4WeapToggle,20+(char4Refine-1)*5,0)%</f>
        <v>0.2</v>
      </c>
      <c r="BQ218" s="141">
        <v>0</v>
      </c>
      <c r="BR218" s="141">
        <v>0</v>
      </c>
      <c r="BS218" s="141">
        <v>0</v>
      </c>
      <c r="BT218" s="141">
        <v>0</v>
      </c>
      <c r="BU218" s="141">
        <v>0</v>
      </c>
      <c r="BV218" s="141">
        <v>0</v>
      </c>
      <c r="BW218" s="141">
        <v>0</v>
      </c>
      <c r="BX218" s="141">
        <v>0</v>
      </c>
      <c r="BY218" s="141">
        <v>0</v>
      </c>
      <c r="BZ218" s="141">
        <v>0</v>
      </c>
      <c r="CA218" s="146">
        <v>0</v>
      </c>
      <c r="CB218" s="72">
        <v>0</v>
      </c>
      <c r="CC218" s="73">
        <v>0</v>
      </c>
      <c r="CD218" s="73">
        <f>(12+(char4Refine-1)*3)%+char4WeapStacks*(8+(char4Refine-1)*2)%</f>
        <v>0.12</v>
      </c>
      <c r="CE218" s="73">
        <f>(40+(char4Refine-1)*10)%</f>
        <v>0.4</v>
      </c>
      <c r="CF218" s="73">
        <v>0</v>
      </c>
      <c r="CG218" s="146">
        <v>0</v>
      </c>
      <c r="CH218" s="73">
        <v>0</v>
      </c>
      <c r="CI218" s="146">
        <v>0</v>
      </c>
      <c r="CJ218" s="146">
        <v>0</v>
      </c>
      <c r="CK218" s="146">
        <v>0</v>
      </c>
      <c r="CL218" s="73">
        <v>0</v>
      </c>
      <c r="CM218" s="73">
        <v>0</v>
      </c>
      <c r="CN218" s="73">
        <f>IF(char4WeapToggle, 2*(16+(char4Refine-1)*4), 16+(char4Refine-1)*4)%</f>
        <v>0.32</v>
      </c>
      <c r="CO218" s="73">
        <v>0</v>
      </c>
      <c r="CP218" s="146">
        <v>0</v>
      </c>
      <c r="CQ218" s="73">
        <f>IF(char4WeapToggle, 20+(char4Refine-1)*5, 0)%</f>
        <v>0.2</v>
      </c>
      <c r="CR218" s="73">
        <f>IF(char4WeapToggle, (36+(char4Refine-1)*6)%, -10%)</f>
        <v>0.36</v>
      </c>
      <c r="CS218" s="176">
        <f>IF(char4WeapStacks=1, (12+(char4Refine-1)*3)%, IF(char4WeapStacks=2, (24+(char4Refine-1)*6)%, IF(char4WeapStacks=3, (40+(char4Refine-1)*10)%, 0)))</f>
        <v>0</v>
      </c>
    </row>
    <row r="219" spans="1:97" x14ac:dyDescent="0.25">
      <c r="A219" s="46" t="s">
        <v>78</v>
      </c>
      <c r="B219" s="136">
        <v>0</v>
      </c>
      <c r="C219" s="148">
        <v>0</v>
      </c>
      <c r="D219" s="148">
        <v>0</v>
      </c>
      <c r="E219" s="136">
        <v>0</v>
      </c>
      <c r="F219" s="148">
        <v>0</v>
      </c>
      <c r="G219" s="136">
        <v>0</v>
      </c>
      <c r="H219" s="136">
        <v>0</v>
      </c>
      <c r="I219" s="136">
        <v>0</v>
      </c>
      <c r="J219" s="136">
        <v>0</v>
      </c>
      <c r="K219" s="136">
        <v>0</v>
      </c>
      <c r="L219" s="136">
        <v>0</v>
      </c>
      <c r="M219" s="136">
        <v>0</v>
      </c>
      <c r="N219" s="136">
        <v>0</v>
      </c>
      <c r="O219" s="136">
        <v>0</v>
      </c>
      <c r="P219" s="148">
        <v>0</v>
      </c>
      <c r="Q219" s="148">
        <v>0</v>
      </c>
      <c r="R219" s="148">
        <v>0</v>
      </c>
      <c r="S219" s="136">
        <v>0</v>
      </c>
      <c r="T219" s="136">
        <v>0</v>
      </c>
      <c r="U219" s="138">
        <v>0</v>
      </c>
      <c r="V219" s="138">
        <v>0</v>
      </c>
      <c r="W219" s="138">
        <v>0</v>
      </c>
      <c r="X219" s="138">
        <v>0</v>
      </c>
      <c r="Y219" s="138">
        <v>0</v>
      </c>
      <c r="Z219" s="138">
        <v>0</v>
      </c>
      <c r="AA219" s="138">
        <v>0</v>
      </c>
      <c r="AB219" s="138">
        <v>0</v>
      </c>
      <c r="AC219" s="138">
        <v>0</v>
      </c>
      <c r="AD219" s="138">
        <f>((8+(char4Refine-1)*4)*char4WeapStacks)%</f>
        <v>0</v>
      </c>
      <c r="AE219" s="138">
        <v>0</v>
      </c>
      <c r="AF219" s="138">
        <v>0</v>
      </c>
      <c r="AG219" s="138">
        <v>0</v>
      </c>
      <c r="AH219" s="138">
        <v>0</v>
      </c>
      <c r="AI219" s="138">
        <v>0</v>
      </c>
      <c r="AJ219" s="138">
        <v>0</v>
      </c>
      <c r="AK219" s="138">
        <v>0</v>
      </c>
      <c r="AL219" s="75">
        <v>0</v>
      </c>
      <c r="AM219" s="75">
        <f>IF(char4WeapToggle, (16+(char4Refine-1)*4), 0)%</f>
        <v>0.16</v>
      </c>
      <c r="AN219" s="75">
        <v>0</v>
      </c>
      <c r="AO219" s="75">
        <v>0</v>
      </c>
      <c r="AP219" s="75">
        <v>0</v>
      </c>
      <c r="AQ219" s="75">
        <v>0</v>
      </c>
      <c r="AR219" s="75">
        <v>0</v>
      </c>
      <c r="AS219" s="75">
        <v>0</v>
      </c>
      <c r="AT219" s="75">
        <f>(20+(char4Refine-1)*5)%</f>
        <v>0.2</v>
      </c>
      <c r="AU219" s="75">
        <v>0</v>
      </c>
      <c r="AV219" s="75">
        <v>0</v>
      </c>
      <c r="AW219" s="75">
        <v>0</v>
      </c>
      <c r="AX219" s="75">
        <v>0</v>
      </c>
      <c r="AY219" s="75">
        <v>0</v>
      </c>
      <c r="AZ219" s="75">
        <v>0</v>
      </c>
      <c r="BA219" s="75">
        <v>0</v>
      </c>
      <c r="BB219" s="75">
        <v>0</v>
      </c>
      <c r="BC219" s="75">
        <v>0</v>
      </c>
      <c r="BD219" s="75">
        <v>0</v>
      </c>
      <c r="BE219" s="75">
        <v>0</v>
      </c>
      <c r="BF219" s="75">
        <v>0</v>
      </c>
      <c r="BG219" s="75">
        <v>0</v>
      </c>
      <c r="BH219" s="141">
        <v>0</v>
      </c>
      <c r="BI219" s="141">
        <v>0</v>
      </c>
      <c r="BJ219" s="141">
        <v>0</v>
      </c>
      <c r="BK219" s="141">
        <v>0</v>
      </c>
      <c r="BL219" s="141">
        <v>0</v>
      </c>
      <c r="BM219" s="141">
        <v>0</v>
      </c>
      <c r="BN219" s="141">
        <v>0</v>
      </c>
      <c r="BO219" s="141">
        <v>0</v>
      </c>
      <c r="BP219" s="141">
        <v>0</v>
      </c>
      <c r="BQ219" s="141">
        <v>0</v>
      </c>
      <c r="BR219" s="141">
        <v>0</v>
      </c>
      <c r="BS219" s="141">
        <v>0</v>
      </c>
      <c r="BT219" s="141">
        <v>0</v>
      </c>
      <c r="BU219" s="141">
        <v>0</v>
      </c>
      <c r="BV219" s="141">
        <f>IF(char4WeapToggle,16+(char4Refine-1)*4,0)%</f>
        <v>0.16</v>
      </c>
      <c r="BW219" s="141">
        <v>0</v>
      </c>
      <c r="BX219" s="141">
        <v>0</v>
      </c>
      <c r="BY219" s="141">
        <v>0</v>
      </c>
      <c r="BZ219" s="141">
        <v>0</v>
      </c>
      <c r="CA219" s="146">
        <v>0</v>
      </c>
      <c r="CB219" s="72">
        <v>0</v>
      </c>
      <c r="CC219" s="73">
        <v>0</v>
      </c>
      <c r="CD219" s="73">
        <f>(12+(char4Refine-1)*3)%+char4WeapStacks*(8+(char4Refine-1)*2)%</f>
        <v>0.12</v>
      </c>
      <c r="CE219" s="73">
        <f>-10%</f>
        <v>-0.1</v>
      </c>
      <c r="CF219" s="73">
        <v>0</v>
      </c>
      <c r="CG219" s="146">
        <v>0</v>
      </c>
      <c r="CH219" s="73">
        <v>0</v>
      </c>
      <c r="CI219" s="146">
        <v>0</v>
      </c>
      <c r="CJ219" s="146">
        <v>0</v>
      </c>
      <c r="CK219" s="146">
        <v>0</v>
      </c>
      <c r="CL219" s="73">
        <v>0</v>
      </c>
      <c r="CM219" s="73">
        <v>0</v>
      </c>
      <c r="CN219" s="73">
        <f>IF(char4WeapToggle, 2*(12+(char4Refine-1)*3), (12+(char4Refine-1)*3))%</f>
        <v>0.24</v>
      </c>
      <c r="CO219" s="73">
        <v>0</v>
      </c>
      <c r="CP219" s="146">
        <v>0</v>
      </c>
      <c r="CQ219" s="73">
        <v>0</v>
      </c>
      <c r="CR219" s="73">
        <f>IF(char4WeapToggle, (36+(char4Refine-1)*6)%, -10%)</f>
        <v>0.36</v>
      </c>
      <c r="CS219" s="73">
        <v>0</v>
      </c>
    </row>
    <row r="220" spans="1:97" x14ac:dyDescent="0.25">
      <c r="A220" s="46" t="s">
        <v>79</v>
      </c>
      <c r="B220" s="136">
        <v>0</v>
      </c>
      <c r="C220" s="136">
        <v>0</v>
      </c>
      <c r="D220" s="148">
        <v>0</v>
      </c>
      <c r="E220" s="136">
        <v>0</v>
      </c>
      <c r="F220" s="148">
        <v>0</v>
      </c>
      <c r="G220" s="136">
        <v>0</v>
      </c>
      <c r="H220" s="136">
        <v>0</v>
      </c>
      <c r="I220" s="136">
        <v>0</v>
      </c>
      <c r="J220" s="136">
        <v>0</v>
      </c>
      <c r="K220" s="136">
        <v>0</v>
      </c>
      <c r="L220" s="136">
        <v>0</v>
      </c>
      <c r="M220" s="136">
        <v>0</v>
      </c>
      <c r="N220" s="136">
        <v>0</v>
      </c>
      <c r="O220" s="136">
        <v>0</v>
      </c>
      <c r="P220" s="148">
        <v>0</v>
      </c>
      <c r="Q220" s="148">
        <v>0</v>
      </c>
      <c r="R220" s="148">
        <v>0</v>
      </c>
      <c r="S220" s="136">
        <v>0</v>
      </c>
      <c r="T220" s="136">
        <v>0</v>
      </c>
      <c r="U220" s="138">
        <v>0</v>
      </c>
      <c r="V220" s="138">
        <v>0</v>
      </c>
      <c r="W220" s="138">
        <v>0</v>
      </c>
      <c r="X220" s="138">
        <v>0</v>
      </c>
      <c r="Y220" s="138">
        <v>0</v>
      </c>
      <c r="Z220" s="138">
        <v>0</v>
      </c>
      <c r="AA220" s="138">
        <v>0</v>
      </c>
      <c r="AB220" s="138">
        <v>0</v>
      </c>
      <c r="AC220" s="138">
        <v>0</v>
      </c>
      <c r="AD220" s="138">
        <v>0</v>
      </c>
      <c r="AE220" s="138">
        <v>0</v>
      </c>
      <c r="AF220" s="138">
        <v>0</v>
      </c>
      <c r="AG220" s="138">
        <v>0</v>
      </c>
      <c r="AH220" s="138">
        <v>0</v>
      </c>
      <c r="AI220" s="138">
        <v>0</v>
      </c>
      <c r="AJ220" s="138">
        <v>0</v>
      </c>
      <c r="AK220" s="138">
        <v>0</v>
      </c>
      <c r="AL220" s="75">
        <v>0</v>
      </c>
      <c r="AM220" s="75">
        <f>IF(char4WeapToggle, (16+(char4Refine-1)*4), 0)%</f>
        <v>0.16</v>
      </c>
      <c r="AN220" s="75">
        <v>0</v>
      </c>
      <c r="AO220" s="75">
        <v>0</v>
      </c>
      <c r="AP220" s="75">
        <v>0</v>
      </c>
      <c r="AQ220" s="75">
        <v>0</v>
      </c>
      <c r="AR220" s="75">
        <v>0</v>
      </c>
      <c r="AS220" s="75">
        <v>0</v>
      </c>
      <c r="AT220" s="75">
        <v>0</v>
      </c>
      <c r="AU220" s="75">
        <v>0</v>
      </c>
      <c r="AV220" s="75">
        <v>0</v>
      </c>
      <c r="AW220" s="75">
        <v>0</v>
      </c>
      <c r="AX220" s="75">
        <v>0</v>
      </c>
      <c r="AY220" s="75">
        <v>0</v>
      </c>
      <c r="AZ220" s="75">
        <v>0</v>
      </c>
      <c r="BA220" s="75">
        <v>0</v>
      </c>
      <c r="BB220" s="75">
        <v>0</v>
      </c>
      <c r="BC220" s="75">
        <v>0</v>
      </c>
      <c r="BD220" s="75">
        <v>0</v>
      </c>
      <c r="BE220" s="75">
        <v>0</v>
      </c>
      <c r="BF220" s="75">
        <v>0</v>
      </c>
      <c r="BG220" s="75">
        <v>0</v>
      </c>
      <c r="BH220" s="141">
        <v>0</v>
      </c>
      <c r="BI220" s="141">
        <v>0</v>
      </c>
      <c r="BJ220" s="141">
        <v>0</v>
      </c>
      <c r="BK220" s="141">
        <v>0</v>
      </c>
      <c r="BL220" s="141">
        <v>0</v>
      </c>
      <c r="BM220" s="141">
        <v>0</v>
      </c>
      <c r="BN220" s="141">
        <v>0</v>
      </c>
      <c r="BO220" s="141">
        <v>0</v>
      </c>
      <c r="BP220" s="141">
        <v>0</v>
      </c>
      <c r="BQ220" s="141">
        <v>0</v>
      </c>
      <c r="BR220" s="141">
        <v>0</v>
      </c>
      <c r="BS220" s="141">
        <v>0</v>
      </c>
      <c r="BT220" s="141">
        <v>0</v>
      </c>
      <c r="BU220" s="141">
        <v>0</v>
      </c>
      <c r="BV220" s="141">
        <v>0</v>
      </c>
      <c r="BW220" s="141">
        <v>0</v>
      </c>
      <c r="BX220" s="141">
        <v>0</v>
      </c>
      <c r="BY220" s="141">
        <v>0</v>
      </c>
      <c r="BZ220" s="141">
        <v>0</v>
      </c>
      <c r="CA220" s="146">
        <v>0</v>
      </c>
      <c r="CB220" s="72">
        <v>0</v>
      </c>
      <c r="CC220" s="73">
        <v>0</v>
      </c>
      <c r="CD220" s="73">
        <v>0</v>
      </c>
      <c r="CE220" s="73">
        <v>0</v>
      </c>
      <c r="CF220" s="73">
        <v>0</v>
      </c>
      <c r="CG220" s="146">
        <v>0</v>
      </c>
      <c r="CH220" s="73">
        <v>0</v>
      </c>
      <c r="CI220" s="146">
        <v>0</v>
      </c>
      <c r="CJ220" s="146">
        <v>0</v>
      </c>
      <c r="CK220" s="146">
        <v>0</v>
      </c>
      <c r="CL220" s="73">
        <v>0</v>
      </c>
      <c r="CM220" s="73">
        <v>0</v>
      </c>
      <c r="CN220" s="73">
        <v>0</v>
      </c>
      <c r="CO220" s="73">
        <v>0</v>
      </c>
      <c r="CP220" s="146">
        <v>0</v>
      </c>
      <c r="CQ220" s="73">
        <v>0</v>
      </c>
      <c r="CR220" s="73">
        <v>0</v>
      </c>
      <c r="CS220" s="73">
        <v>0</v>
      </c>
    </row>
    <row r="221" spans="1:97" x14ac:dyDescent="0.25">
      <c r="A221" s="46" t="s">
        <v>80</v>
      </c>
      <c r="B221" s="136">
        <v>0</v>
      </c>
      <c r="C221" s="148">
        <v>0</v>
      </c>
      <c r="D221" s="148">
        <v>0</v>
      </c>
      <c r="E221" s="136">
        <v>0</v>
      </c>
      <c r="F221" s="148">
        <v>0</v>
      </c>
      <c r="G221" s="136">
        <v>0</v>
      </c>
      <c r="H221" s="136">
        <v>0</v>
      </c>
      <c r="I221" s="136">
        <v>0</v>
      </c>
      <c r="J221" s="136">
        <v>0</v>
      </c>
      <c r="K221" s="136">
        <v>0</v>
      </c>
      <c r="L221" s="136">
        <v>0</v>
      </c>
      <c r="M221" s="136">
        <v>0</v>
      </c>
      <c r="N221" s="136">
        <v>0</v>
      </c>
      <c r="O221" s="136">
        <v>0</v>
      </c>
      <c r="P221" s="148">
        <v>0</v>
      </c>
      <c r="Q221" s="148">
        <v>0</v>
      </c>
      <c r="R221" s="148">
        <v>0</v>
      </c>
      <c r="S221" s="136">
        <v>0</v>
      </c>
      <c r="T221" s="136">
        <v>0</v>
      </c>
      <c r="U221" s="138">
        <v>0</v>
      </c>
      <c r="V221" s="138">
        <v>0</v>
      </c>
      <c r="W221" s="138">
        <v>0</v>
      </c>
      <c r="X221" s="138">
        <v>0</v>
      </c>
      <c r="Y221" s="138">
        <v>0</v>
      </c>
      <c r="Z221" s="138">
        <v>0</v>
      </c>
      <c r="AA221" s="138">
        <f>(6+(char4Refine-1)*1.5)%</f>
        <v>0.06</v>
      </c>
      <c r="AB221" s="138">
        <v>0</v>
      </c>
      <c r="AC221" s="138">
        <v>0</v>
      </c>
      <c r="AD221" s="138">
        <v>0</v>
      </c>
      <c r="AE221" s="138">
        <v>0</v>
      </c>
      <c r="AF221" s="138">
        <v>0</v>
      </c>
      <c r="AG221" s="138">
        <v>0</v>
      </c>
      <c r="AH221" s="138">
        <v>0</v>
      </c>
      <c r="AI221" s="138">
        <v>0</v>
      </c>
      <c r="AJ221" s="138">
        <v>0</v>
      </c>
      <c r="AK221" s="138">
        <v>0</v>
      </c>
      <c r="AL221" s="75">
        <v>0</v>
      </c>
      <c r="AM221" s="75">
        <v>0</v>
      </c>
      <c r="AN221" s="75">
        <v>0</v>
      </c>
      <c r="AO221" s="75">
        <v>0</v>
      </c>
      <c r="AP221" s="75">
        <v>0</v>
      </c>
      <c r="AQ221" s="75">
        <v>0</v>
      </c>
      <c r="AR221" s="75">
        <f>(16+(char4Refine-1)*4)%</f>
        <v>0.16</v>
      </c>
      <c r="AS221" s="75">
        <v>0</v>
      </c>
      <c r="AT221" s="75">
        <v>0</v>
      </c>
      <c r="AU221" s="75">
        <v>0</v>
      </c>
      <c r="AV221" s="75">
        <v>0</v>
      </c>
      <c r="AW221" s="75">
        <v>0</v>
      </c>
      <c r="AX221" s="75">
        <v>0</v>
      </c>
      <c r="AY221" s="75">
        <v>0</v>
      </c>
      <c r="AZ221" s="75">
        <v>0</v>
      </c>
      <c r="BA221" s="75">
        <v>0</v>
      </c>
      <c r="BB221" s="75">
        <v>0</v>
      </c>
      <c r="BC221" s="75">
        <v>0</v>
      </c>
      <c r="BD221" s="75">
        <v>0</v>
      </c>
      <c r="BE221" s="75">
        <v>0</v>
      </c>
      <c r="BF221" s="75">
        <v>0</v>
      </c>
      <c r="BG221" s="75">
        <v>0</v>
      </c>
      <c r="BH221" s="141">
        <v>0</v>
      </c>
      <c r="BI221" s="141">
        <v>0</v>
      </c>
      <c r="BJ221" s="141">
        <v>0</v>
      </c>
      <c r="BK221" s="141">
        <v>0</v>
      </c>
      <c r="BL221" s="141">
        <v>0</v>
      </c>
      <c r="BM221" s="141">
        <v>0</v>
      </c>
      <c r="BN221" s="141">
        <v>0</v>
      </c>
      <c r="BO221" s="141">
        <v>0</v>
      </c>
      <c r="BP221" s="141">
        <f>IF(char4WeapToggle, 20+(char4Refine-1)*5,0)%</f>
        <v>0.2</v>
      </c>
      <c r="BQ221" s="141">
        <v>0</v>
      </c>
      <c r="BR221" s="141">
        <v>0</v>
      </c>
      <c r="BS221" s="141">
        <v>0</v>
      </c>
      <c r="BT221" s="141">
        <v>0</v>
      </c>
      <c r="BU221" s="141">
        <v>0</v>
      </c>
      <c r="BV221" s="141">
        <v>0</v>
      </c>
      <c r="BW221" s="141">
        <v>0</v>
      </c>
      <c r="BX221" s="141">
        <v>0</v>
      </c>
      <c r="BY221" s="141">
        <v>0</v>
      </c>
      <c r="BZ221" s="141">
        <v>0</v>
      </c>
      <c r="CA221" s="146">
        <v>0</v>
      </c>
      <c r="CB221" s="72">
        <f>12%+(char4Refine-1)*3%</f>
        <v>0.12</v>
      </c>
      <c r="CC221" s="73">
        <v>0</v>
      </c>
      <c r="CD221" s="73">
        <v>0</v>
      </c>
      <c r="CE221" s="73">
        <v>0</v>
      </c>
      <c r="CF221" s="73">
        <v>0</v>
      </c>
      <c r="CG221" s="146">
        <v>0</v>
      </c>
      <c r="CH221" s="73">
        <v>0</v>
      </c>
      <c r="CI221" s="146">
        <v>0</v>
      </c>
      <c r="CJ221" s="146">
        <v>0</v>
      </c>
      <c r="CK221" s="146">
        <v>0</v>
      </c>
      <c r="CL221" s="73">
        <v>0</v>
      </c>
      <c r="CM221" s="73">
        <v>0</v>
      </c>
      <c r="CN221" s="73">
        <v>0</v>
      </c>
      <c r="CO221" s="73">
        <f>(24+(char4Refine-1)*6)%</f>
        <v>0.24</v>
      </c>
      <c r="CP221" s="146">
        <v>0</v>
      </c>
      <c r="CQ221" s="73">
        <f>IF(char4WeapToggle, 20+(char4Refine-1)*5, 0)%</f>
        <v>0.2</v>
      </c>
      <c r="CR221" s="73">
        <v>0</v>
      </c>
      <c r="CS221" s="73">
        <v>0</v>
      </c>
    </row>
    <row r="222" spans="1:97" x14ac:dyDescent="0.25">
      <c r="A222" s="46" t="s">
        <v>81</v>
      </c>
      <c r="B222" s="136">
        <v>0</v>
      </c>
      <c r="C222" s="148">
        <v>0</v>
      </c>
      <c r="D222" s="148">
        <v>0</v>
      </c>
      <c r="E222" s="136">
        <v>0</v>
      </c>
      <c r="F222" s="148">
        <v>0</v>
      </c>
      <c r="G222" s="136">
        <v>0</v>
      </c>
      <c r="H222" s="136">
        <v>0</v>
      </c>
      <c r="I222" s="136">
        <v>0</v>
      </c>
      <c r="J222" s="136">
        <v>0</v>
      </c>
      <c r="K222" s="136">
        <v>0</v>
      </c>
      <c r="L222" s="136">
        <v>0</v>
      </c>
      <c r="M222" s="136">
        <v>0</v>
      </c>
      <c r="N222" s="136">
        <v>0</v>
      </c>
      <c r="O222" s="136">
        <v>0</v>
      </c>
      <c r="P222" s="148">
        <f>(12+(char4Refine-1)*3)%</f>
        <v>0.12</v>
      </c>
      <c r="Q222" s="148">
        <v>0</v>
      </c>
      <c r="R222" s="148">
        <v>0</v>
      </c>
      <c r="S222" s="136">
        <f>MIN((40+(char4Refine-1)*10)%, char4WeapStacks*(0.12%+(char4Refine-1)*0.03%))</f>
        <v>0</v>
      </c>
      <c r="T222" s="136">
        <v>0</v>
      </c>
      <c r="U222" s="138">
        <v>0</v>
      </c>
      <c r="V222" s="138">
        <v>0</v>
      </c>
      <c r="W222" s="138">
        <v>0</v>
      </c>
      <c r="X222" s="138">
        <v>0</v>
      </c>
      <c r="Y222" s="138">
        <v>0</v>
      </c>
      <c r="Z222" s="138">
        <f>(16+(char4Refine-1)*4)%</f>
        <v>0.16</v>
      </c>
      <c r="AA222" s="138">
        <v>0</v>
      </c>
      <c r="AB222" s="138">
        <v>0</v>
      </c>
      <c r="AC222" s="138">
        <v>0</v>
      </c>
      <c r="AD222" s="138">
        <v>0</v>
      </c>
      <c r="AE222" s="138">
        <v>0</v>
      </c>
      <c r="AF222" s="138">
        <v>0</v>
      </c>
      <c r="AG222" s="138">
        <v>0</v>
      </c>
      <c r="AH222" s="138">
        <v>0</v>
      </c>
      <c r="AI222" s="138">
        <v>0</v>
      </c>
      <c r="AJ222" s="138">
        <v>0</v>
      </c>
      <c r="AK222" s="138">
        <v>0</v>
      </c>
      <c r="AL222" s="75">
        <v>0</v>
      </c>
      <c r="AM222" s="75">
        <v>0</v>
      </c>
      <c r="AN222" s="75">
        <v>0</v>
      </c>
      <c r="AO222" s="75">
        <v>0</v>
      </c>
      <c r="AP222" s="75">
        <v>0</v>
      </c>
      <c r="AQ222" s="75">
        <v>0</v>
      </c>
      <c r="AR222" s="75">
        <v>0</v>
      </c>
      <c r="AS222" s="75">
        <v>0</v>
      </c>
      <c r="AT222" s="75">
        <v>0</v>
      </c>
      <c r="AU222" s="75">
        <v>0</v>
      </c>
      <c r="AV222" s="75">
        <v>0</v>
      </c>
      <c r="AW222" s="75">
        <v>0</v>
      </c>
      <c r="AX222" s="75">
        <v>0</v>
      </c>
      <c r="AY222" s="75">
        <v>0</v>
      </c>
      <c r="AZ222" s="75">
        <v>0</v>
      </c>
      <c r="BA222" s="75">
        <v>0</v>
      </c>
      <c r="BB222" s="75">
        <v>0</v>
      </c>
      <c r="BC222" s="75">
        <v>0</v>
      </c>
      <c r="BD222" s="75">
        <v>0</v>
      </c>
      <c r="BE222" s="75">
        <v>0</v>
      </c>
      <c r="BF222" s="75">
        <v>0</v>
      </c>
      <c r="BG222" s="75">
        <v>0</v>
      </c>
      <c r="BH222" s="141">
        <v>0</v>
      </c>
      <c r="BI222" s="141">
        <v>0</v>
      </c>
      <c r="BJ222" s="141">
        <v>0</v>
      </c>
      <c r="BK222" s="141">
        <v>0</v>
      </c>
      <c r="BL222" s="141">
        <v>0</v>
      </c>
      <c r="BM222" s="141">
        <v>0</v>
      </c>
      <c r="BN222" s="141">
        <v>0</v>
      </c>
      <c r="BO222" s="141">
        <v>0</v>
      </c>
      <c r="BP222" s="141">
        <f>IF(char4WeapToggle, 20+(char4Refine-1)*5,0)%</f>
        <v>0.2</v>
      </c>
      <c r="BQ222" s="141">
        <v>0</v>
      </c>
      <c r="BR222" s="141">
        <v>0</v>
      </c>
      <c r="BS222" s="141">
        <v>0</v>
      </c>
      <c r="BT222" s="141">
        <v>0</v>
      </c>
      <c r="BU222" s="141">
        <v>0</v>
      </c>
      <c r="BV222" s="141">
        <v>0</v>
      </c>
      <c r="BW222" s="141">
        <v>0</v>
      </c>
      <c r="BX222" s="141">
        <v>0</v>
      </c>
      <c r="BY222" s="141">
        <v>0</v>
      </c>
      <c r="BZ222" s="141">
        <v>0</v>
      </c>
      <c r="CA222" s="146">
        <v>0</v>
      </c>
      <c r="CB222" s="72">
        <f>12%+(char4Refine-1)*3%</f>
        <v>0.12</v>
      </c>
      <c r="CC222" s="73">
        <v>0</v>
      </c>
      <c r="CD222" s="73">
        <v>0</v>
      </c>
      <c r="CE222" s="73">
        <v>0</v>
      </c>
      <c r="CF222" s="73">
        <v>0</v>
      </c>
      <c r="CG222" s="146">
        <v>0</v>
      </c>
      <c r="CH222" s="73">
        <v>0</v>
      </c>
      <c r="CI222" s="146">
        <v>0</v>
      </c>
      <c r="CJ222" s="146">
        <v>0</v>
      </c>
      <c r="CK222" s="146">
        <v>0</v>
      </c>
      <c r="CL222" s="73">
        <v>0</v>
      </c>
      <c r="CM222" s="73">
        <v>0</v>
      </c>
      <c r="CN222" s="73">
        <v>0</v>
      </c>
      <c r="CO222" s="73">
        <f>(24+(char4Refine-1)*6)%</f>
        <v>0.24</v>
      </c>
      <c r="CP222" s="146">
        <v>0</v>
      </c>
      <c r="CQ222" s="73">
        <v>0</v>
      </c>
      <c r="CR222" s="73">
        <v>0</v>
      </c>
      <c r="CS222" s="73">
        <v>0</v>
      </c>
    </row>
    <row r="223" spans="1:97" x14ac:dyDescent="0.25">
      <c r="A223" t="s">
        <v>82</v>
      </c>
      <c r="B223" s="136">
        <f>(8+(char4Refine-1)*2)%</f>
        <v>0.08</v>
      </c>
      <c r="C223" s="148">
        <v>0</v>
      </c>
      <c r="D223" s="148">
        <v>0</v>
      </c>
      <c r="E223" s="136">
        <v>0</v>
      </c>
      <c r="F223" s="148">
        <v>0</v>
      </c>
      <c r="G223" s="136">
        <f>char4WeapStacks*(6+(char4Refine-1))%</f>
        <v>0</v>
      </c>
      <c r="H223" s="136">
        <f>IF(char4WeapToggle, 12+(char4Refine-1)*3)%</f>
        <v>0.12</v>
      </c>
      <c r="I223" s="136">
        <v>0</v>
      </c>
      <c r="J223" s="136">
        <v>0</v>
      </c>
      <c r="K223" s="136">
        <v>0</v>
      </c>
      <c r="L223" s="136">
        <v>0</v>
      </c>
      <c r="M223" s="136">
        <f>IF(char4WeapToggle, 20+(char4Refine-1)*4, 0)%</f>
        <v>0.2</v>
      </c>
      <c r="N223" s="136">
        <v>0</v>
      </c>
      <c r="O223" s="136">
        <v>0</v>
      </c>
      <c r="P223" s="148">
        <v>0</v>
      </c>
      <c r="Q223" s="148">
        <v>0</v>
      </c>
      <c r="R223" s="148">
        <v>0</v>
      </c>
      <c r="S223" s="136">
        <v>0</v>
      </c>
      <c r="T223" s="136">
        <v>0</v>
      </c>
      <c r="U223" s="138">
        <v>0</v>
      </c>
      <c r="V223" s="138">
        <v>0</v>
      </c>
      <c r="W223" s="138">
        <f>IF(char4WeapStacks&gt;=7,(12+(char4Refine-1)*3),0)%</f>
        <v>0</v>
      </c>
      <c r="X223" s="138">
        <v>0</v>
      </c>
      <c r="Y223" s="138">
        <v>0</v>
      </c>
      <c r="Z223" s="138">
        <v>0</v>
      </c>
      <c r="AA223" s="138">
        <v>0</v>
      </c>
      <c r="AB223" s="138">
        <v>0</v>
      </c>
      <c r="AC223" s="138">
        <v>0</v>
      </c>
      <c r="AD223" s="138">
        <v>0</v>
      </c>
      <c r="AE223" s="138">
        <v>0</v>
      </c>
      <c r="AF223" s="138">
        <f>IF(char4WeapToggle,(20+(char4Refine-1)*4),0)%</f>
        <v>0.2</v>
      </c>
      <c r="AG223" s="138">
        <v>0</v>
      </c>
      <c r="AH223" s="138">
        <v>0</v>
      </c>
      <c r="AI223" s="138">
        <v>0</v>
      </c>
      <c r="AJ223" s="138">
        <v>0</v>
      </c>
      <c r="AK223" s="138">
        <f>IF(char4WeapToggle,(40+(char4Refine-1)*10),0)%</f>
        <v>0.4</v>
      </c>
      <c r="AL223" s="75">
        <v>0</v>
      </c>
      <c r="AM223" s="75">
        <f>(10+(char4Refine-1)*2.5)%</f>
        <v>0.1</v>
      </c>
      <c r="AN223" s="75">
        <v>0</v>
      </c>
      <c r="AO223" s="75">
        <v>0</v>
      </c>
      <c r="AP223" s="75">
        <v>0</v>
      </c>
      <c r="AQ223" s="75">
        <v>0</v>
      </c>
      <c r="AR223" s="75">
        <v>0</v>
      </c>
      <c r="AS223" s="75">
        <v>0</v>
      </c>
      <c r="AT223" s="75">
        <v>0</v>
      </c>
      <c r="AU223" s="75">
        <f>IF(char4WeapToggle,(12+(char4Refine-1)*3),0)%</f>
        <v>0.12</v>
      </c>
      <c r="AV223" s="75">
        <v>0</v>
      </c>
      <c r="AW223" s="75">
        <v>0</v>
      </c>
      <c r="AX223" s="75">
        <v>0</v>
      </c>
      <c r="AY223" s="75">
        <f>IF(char4WeapToggle,(20+(char4Refine-1)*4),0)%</f>
        <v>0.2</v>
      </c>
      <c r="AZ223" s="75">
        <f>(char4WeapStacks*(6+(char4Refine-1)*1.5))%</f>
        <v>0</v>
      </c>
      <c r="BA223" s="75">
        <v>0</v>
      </c>
      <c r="BB223" s="75">
        <v>0</v>
      </c>
      <c r="BC223" s="75">
        <v>0</v>
      </c>
      <c r="BD223" s="75">
        <v>0</v>
      </c>
      <c r="BE223" s="75">
        <v>0</v>
      </c>
      <c r="BF223" s="75">
        <v>0</v>
      </c>
      <c r="BG223" s="75">
        <v>0</v>
      </c>
      <c r="BH223" s="141">
        <v>0</v>
      </c>
      <c r="BI223" s="141">
        <v>0</v>
      </c>
      <c r="BJ223" s="141">
        <v>0</v>
      </c>
      <c r="BK223" s="141">
        <v>0</v>
      </c>
      <c r="BL223" s="141">
        <v>0</v>
      </c>
      <c r="BM223" s="141">
        <v>0</v>
      </c>
      <c r="BN223" s="141">
        <v>0</v>
      </c>
      <c r="BO223" s="141">
        <v>0</v>
      </c>
      <c r="BP223" s="141">
        <v>0</v>
      </c>
      <c r="BQ223" s="141">
        <v>0</v>
      </c>
      <c r="BR223" s="141">
        <v>0</v>
      </c>
      <c r="BS223" s="141">
        <v>0</v>
      </c>
      <c r="BT223" s="141">
        <v>0</v>
      </c>
      <c r="BU223" s="141">
        <v>0</v>
      </c>
      <c r="BV223" s="141">
        <v>0</v>
      </c>
      <c r="BW223" s="141">
        <f>IF(char4WeapToggle, 12+(char4Refine-1)*3, 0)%</f>
        <v>0.12</v>
      </c>
      <c r="BX223" s="141">
        <v>0</v>
      </c>
      <c r="BY223" s="141">
        <f>IF(char4WeapToggle, 10+(char4Refine-1)*2.5,0)%</f>
        <v>0.1</v>
      </c>
      <c r="BZ223" s="141">
        <v>0</v>
      </c>
      <c r="CA223" s="146">
        <v>0</v>
      </c>
      <c r="CB223" s="72">
        <v>0</v>
      </c>
      <c r="CC223" s="73">
        <v>0</v>
      </c>
      <c r="CD223" s="73">
        <v>0</v>
      </c>
      <c r="CE223" s="73">
        <v>0</v>
      </c>
      <c r="CF223" s="73">
        <v>0</v>
      </c>
      <c r="CG223" s="146">
        <v>0</v>
      </c>
      <c r="CH223" s="73">
        <v>0</v>
      </c>
      <c r="CI223" s="146">
        <v>0</v>
      </c>
      <c r="CJ223" s="146">
        <v>0</v>
      </c>
      <c r="CK223" s="146">
        <v>0</v>
      </c>
      <c r="CL223" s="73">
        <f>IF(char4WeapToggle, 20%+(char4Refine-1)*4%, 0%)</f>
        <v>0.2</v>
      </c>
      <c r="CM223" s="73">
        <v>0</v>
      </c>
      <c r="CN223" s="73">
        <v>0</v>
      </c>
      <c r="CO223" s="73">
        <v>0</v>
      </c>
      <c r="CP223" s="146">
        <v>0</v>
      </c>
      <c r="CQ223" s="73">
        <v>0</v>
      </c>
      <c r="CR223" s="73">
        <v>0</v>
      </c>
      <c r="CS223" s="73">
        <v>0</v>
      </c>
    </row>
    <row r="224" spans="1:97" x14ac:dyDescent="0.25">
      <c r="A224" t="s">
        <v>458</v>
      </c>
      <c r="B224" s="136">
        <v>0</v>
      </c>
      <c r="C224" s="136">
        <f>(20+(char4Refine-1)*5)%</f>
        <v>0.2</v>
      </c>
      <c r="D224" s="148">
        <v>0</v>
      </c>
      <c r="E224" s="136">
        <v>0</v>
      </c>
      <c r="F224" s="148">
        <v>0</v>
      </c>
      <c r="G224" s="136">
        <v>0</v>
      </c>
      <c r="H224" s="136">
        <v>0</v>
      </c>
      <c r="I224" s="136">
        <v>0</v>
      </c>
      <c r="J224" s="136">
        <v>0</v>
      </c>
      <c r="K224" s="136">
        <v>0</v>
      </c>
      <c r="L224" s="136">
        <v>0</v>
      </c>
      <c r="M224" s="136">
        <v>0</v>
      </c>
      <c r="N224" s="136">
        <v>0</v>
      </c>
      <c r="O224" s="136">
        <v>0</v>
      </c>
      <c r="P224" s="148">
        <v>0</v>
      </c>
      <c r="Q224" s="148">
        <v>0</v>
      </c>
      <c r="R224" s="148">
        <v>0</v>
      </c>
      <c r="S224" s="136">
        <v>0</v>
      </c>
      <c r="T224" s="136">
        <v>0</v>
      </c>
      <c r="U224" s="138">
        <v>0</v>
      </c>
      <c r="V224" s="138">
        <v>0</v>
      </c>
      <c r="W224" s="138">
        <v>0</v>
      </c>
      <c r="X224" s="138">
        <f>(20+5*(char4Refine-1))%</f>
        <v>0.2</v>
      </c>
      <c r="Y224" s="138">
        <v>0</v>
      </c>
      <c r="Z224" s="138">
        <v>0</v>
      </c>
      <c r="AA224" s="138">
        <v>0</v>
      </c>
      <c r="AB224" s="138">
        <v>0</v>
      </c>
      <c r="AC224" s="138">
        <v>0</v>
      </c>
      <c r="AD224" s="138">
        <v>0</v>
      </c>
      <c r="AE224" s="138">
        <v>0</v>
      </c>
      <c r="AF224" s="138">
        <v>0</v>
      </c>
      <c r="AG224" s="138">
        <v>0</v>
      </c>
      <c r="AH224" s="138">
        <v>0</v>
      </c>
      <c r="AI224" s="138">
        <v>0</v>
      </c>
      <c r="AJ224" s="138">
        <v>0</v>
      </c>
      <c r="AK224" s="138">
        <v>0</v>
      </c>
      <c r="AL224" s="75">
        <v>0</v>
      </c>
      <c r="AM224" s="75">
        <v>0</v>
      </c>
      <c r="AN224" s="75">
        <v>0</v>
      </c>
      <c r="AO224" s="75">
        <f>(20+5*(char4Refine-1))%</f>
        <v>0.2</v>
      </c>
      <c r="AP224" s="75">
        <v>0</v>
      </c>
      <c r="AQ224" s="75">
        <v>0</v>
      </c>
      <c r="AR224" s="75">
        <v>0</v>
      </c>
      <c r="AS224" s="75">
        <v>0</v>
      </c>
      <c r="AT224" s="75">
        <v>0</v>
      </c>
      <c r="AU224" s="75">
        <v>0</v>
      </c>
      <c r="AV224" s="75">
        <v>0</v>
      </c>
      <c r="AW224" s="75">
        <v>0</v>
      </c>
      <c r="AX224" s="75">
        <v>0</v>
      </c>
      <c r="AY224" s="75">
        <v>0</v>
      </c>
      <c r="AZ224" s="75">
        <v>0</v>
      </c>
      <c r="BA224" s="75">
        <v>0</v>
      </c>
      <c r="BB224" s="75">
        <v>0</v>
      </c>
      <c r="BC224" s="75">
        <v>0</v>
      </c>
      <c r="BD224" s="75">
        <v>0</v>
      </c>
      <c r="BE224" s="75">
        <v>0</v>
      </c>
      <c r="BF224" s="75">
        <v>0</v>
      </c>
      <c r="BG224" s="75">
        <v>0</v>
      </c>
      <c r="BH224" s="141">
        <f>(20+5*(char4Refine-1))%</f>
        <v>0.2</v>
      </c>
      <c r="BI224" s="141">
        <v>0</v>
      </c>
      <c r="BJ224" s="141">
        <v>0</v>
      </c>
      <c r="BK224" s="141">
        <v>0</v>
      </c>
      <c r="BL224" s="141">
        <v>0</v>
      </c>
      <c r="BM224" s="141">
        <v>0</v>
      </c>
      <c r="BN224" s="141">
        <v>0</v>
      </c>
      <c r="BO224" s="141">
        <v>0</v>
      </c>
      <c r="BP224" s="141">
        <v>0</v>
      </c>
      <c r="BQ224" s="141">
        <v>0</v>
      </c>
      <c r="BR224" s="141">
        <v>0</v>
      </c>
      <c r="BS224" s="141">
        <v>0</v>
      </c>
      <c r="BT224" s="141">
        <v>0</v>
      </c>
      <c r="BU224" s="141">
        <v>0</v>
      </c>
      <c r="BV224" s="141">
        <v>0</v>
      </c>
      <c r="BW224" s="141">
        <v>0</v>
      </c>
      <c r="BX224" s="141">
        <v>0</v>
      </c>
      <c r="BY224" s="141">
        <v>0</v>
      </c>
      <c r="BZ224" s="141">
        <v>0</v>
      </c>
      <c r="CA224" s="146">
        <v>0</v>
      </c>
      <c r="CB224" s="72">
        <v>0</v>
      </c>
      <c r="CC224" s="73">
        <v>0</v>
      </c>
      <c r="CD224" s="73">
        <v>0</v>
      </c>
      <c r="CE224" s="73">
        <v>0</v>
      </c>
      <c r="CF224" s="73">
        <v>0</v>
      </c>
      <c r="CG224" s="146">
        <v>0</v>
      </c>
      <c r="CH224" s="73">
        <v>0</v>
      </c>
      <c r="CI224" s="146">
        <v>0</v>
      </c>
      <c r="CJ224" s="146">
        <v>0</v>
      </c>
      <c r="CK224" s="146">
        <v>0</v>
      </c>
      <c r="CL224" s="73">
        <v>0</v>
      </c>
      <c r="CM224" s="73">
        <v>0</v>
      </c>
      <c r="CN224" s="73">
        <v>0</v>
      </c>
      <c r="CO224" s="73">
        <v>0</v>
      </c>
      <c r="CP224" s="146">
        <v>0</v>
      </c>
      <c r="CQ224" s="73">
        <v>0</v>
      </c>
      <c r="CR224" s="73">
        <v>0</v>
      </c>
      <c r="CS224" s="73">
        <v>0</v>
      </c>
    </row>
    <row r="225" spans="1:97" x14ac:dyDescent="0.25">
      <c r="A225" t="s">
        <v>83</v>
      </c>
      <c r="B225" s="136">
        <v>0</v>
      </c>
      <c r="C225" s="136">
        <v>0</v>
      </c>
      <c r="D225" s="148">
        <v>0</v>
      </c>
      <c r="E225" s="136">
        <v>0</v>
      </c>
      <c r="F225" s="148">
        <v>0</v>
      </c>
      <c r="G225" s="136">
        <v>0</v>
      </c>
      <c r="H225" s="136">
        <v>0</v>
      </c>
      <c r="I225" s="136">
        <v>0</v>
      </c>
      <c r="J225" s="136">
        <v>0</v>
      </c>
      <c r="K225" s="136">
        <v>0</v>
      </c>
      <c r="L225" s="136">
        <v>0</v>
      </c>
      <c r="M225" s="136">
        <v>0</v>
      </c>
      <c r="N225" s="136">
        <v>0</v>
      </c>
      <c r="O225" s="136">
        <v>0</v>
      </c>
      <c r="P225" s="148">
        <v>0</v>
      </c>
      <c r="Q225" s="148">
        <v>0</v>
      </c>
      <c r="R225" s="148">
        <v>0</v>
      </c>
      <c r="S225" s="136">
        <v>0</v>
      </c>
      <c r="T225" s="136">
        <v>0</v>
      </c>
      <c r="U225" s="138">
        <v>0</v>
      </c>
      <c r="V225" s="138">
        <v>0</v>
      </c>
      <c r="W225" s="138">
        <v>0</v>
      </c>
      <c r="X225" s="138">
        <v>0</v>
      </c>
      <c r="Y225" s="138">
        <v>0</v>
      </c>
      <c r="Z225" s="138">
        <v>0</v>
      </c>
      <c r="AA225" s="138">
        <v>0</v>
      </c>
      <c r="AB225" s="138">
        <v>0</v>
      </c>
      <c r="AC225" s="138">
        <v>0</v>
      </c>
      <c r="AD225" s="138">
        <v>0</v>
      </c>
      <c r="AE225" s="138">
        <v>0</v>
      </c>
      <c r="AF225" s="138">
        <v>0</v>
      </c>
      <c r="AG225" s="138">
        <v>0</v>
      </c>
      <c r="AH225" s="138">
        <v>0</v>
      </c>
      <c r="AI225" s="138">
        <v>0</v>
      </c>
      <c r="AJ225" s="138">
        <v>0</v>
      </c>
      <c r="AK225" s="138">
        <v>0</v>
      </c>
      <c r="AL225" s="75">
        <v>0</v>
      </c>
      <c r="AM225" s="75">
        <v>0</v>
      </c>
      <c r="AN225" s="75">
        <v>0</v>
      </c>
      <c r="AO225" s="75">
        <v>0</v>
      </c>
      <c r="AP225" s="75">
        <v>0</v>
      </c>
      <c r="AQ225" s="75">
        <v>0</v>
      </c>
      <c r="AR225" s="75">
        <v>0</v>
      </c>
      <c r="AS225" s="75">
        <v>0</v>
      </c>
      <c r="AT225" s="75">
        <v>0</v>
      </c>
      <c r="AU225" s="75">
        <v>0</v>
      </c>
      <c r="AV225" s="75">
        <v>0</v>
      </c>
      <c r="AW225" s="75">
        <v>0</v>
      </c>
      <c r="AX225" s="75">
        <v>0</v>
      </c>
      <c r="AY225" s="75">
        <v>0</v>
      </c>
      <c r="AZ225" s="75">
        <v>0</v>
      </c>
      <c r="BA225" s="75">
        <v>0</v>
      </c>
      <c r="BB225" s="75">
        <v>0</v>
      </c>
      <c r="BC225" s="75">
        <v>0</v>
      </c>
      <c r="BD225" s="75">
        <v>0</v>
      </c>
      <c r="BE225" s="75">
        <v>0</v>
      </c>
      <c r="BF225" s="75">
        <v>0</v>
      </c>
      <c r="BG225" s="75">
        <v>0</v>
      </c>
      <c r="BH225" s="141">
        <v>0</v>
      </c>
      <c r="BI225" s="141">
        <v>0</v>
      </c>
      <c r="BJ225" s="141">
        <v>0</v>
      </c>
      <c r="BK225" s="141">
        <v>0</v>
      </c>
      <c r="BL225" s="141">
        <v>0</v>
      </c>
      <c r="BM225" s="141">
        <v>0</v>
      </c>
      <c r="BN225" s="141">
        <v>0</v>
      </c>
      <c r="BO225" s="141">
        <v>0</v>
      </c>
      <c r="BP225" s="141">
        <v>0</v>
      </c>
      <c r="BQ225" s="141">
        <v>0</v>
      </c>
      <c r="BR225" s="141">
        <v>0</v>
      </c>
      <c r="BS225" s="141">
        <v>0</v>
      </c>
      <c r="BT225" s="141">
        <v>0</v>
      </c>
      <c r="BU225" s="141">
        <v>0</v>
      </c>
      <c r="BV225" s="141">
        <v>0</v>
      </c>
      <c r="BW225" s="141">
        <v>0</v>
      </c>
      <c r="BX225" s="141">
        <v>0</v>
      </c>
      <c r="BY225" s="141">
        <v>0</v>
      </c>
      <c r="BZ225" s="141">
        <v>0</v>
      </c>
      <c r="CA225" s="146">
        <v>0</v>
      </c>
      <c r="CB225" s="72">
        <v>0</v>
      </c>
      <c r="CC225" s="73">
        <v>0</v>
      </c>
      <c r="CD225" s="73">
        <v>0</v>
      </c>
      <c r="CE225" s="73">
        <v>0</v>
      </c>
      <c r="CF225" s="73">
        <v>0</v>
      </c>
      <c r="CG225" s="146">
        <v>0</v>
      </c>
      <c r="CH225" s="73">
        <v>0</v>
      </c>
      <c r="CI225" s="146">
        <v>0</v>
      </c>
      <c r="CJ225" s="146">
        <v>0</v>
      </c>
      <c r="CK225" s="146">
        <v>0</v>
      </c>
      <c r="CL225" s="73">
        <v>0</v>
      </c>
      <c r="CM225" s="73">
        <v>0</v>
      </c>
      <c r="CN225" s="73">
        <v>0</v>
      </c>
      <c r="CO225" s="73">
        <v>0</v>
      </c>
      <c r="CP225" s="146">
        <v>0</v>
      </c>
      <c r="CQ225" s="73">
        <v>0</v>
      </c>
      <c r="CR225" s="73">
        <v>0</v>
      </c>
      <c r="CS225" s="73">
        <v>0</v>
      </c>
    </row>
    <row r="226" spans="1:97" x14ac:dyDescent="0.25">
      <c r="A226" t="s">
        <v>84</v>
      </c>
      <c r="B226" s="136">
        <v>0</v>
      </c>
      <c r="C226" s="136">
        <v>0</v>
      </c>
      <c r="D226" s="148">
        <v>0</v>
      </c>
      <c r="E226" s="136">
        <v>0</v>
      </c>
      <c r="F226" s="148">
        <v>0</v>
      </c>
      <c r="G226" s="136">
        <v>0</v>
      </c>
      <c r="H226" s="136">
        <v>0</v>
      </c>
      <c r="I226" s="136">
        <v>0</v>
      </c>
      <c r="J226" s="136">
        <v>0</v>
      </c>
      <c r="K226" s="136">
        <v>0</v>
      </c>
      <c r="L226" s="136">
        <v>0</v>
      </c>
      <c r="M226" s="136">
        <v>0</v>
      </c>
      <c r="N226" s="136">
        <v>0</v>
      </c>
      <c r="O226" s="136">
        <v>0</v>
      </c>
      <c r="P226" s="148">
        <v>0</v>
      </c>
      <c r="Q226" s="148">
        <v>0</v>
      </c>
      <c r="R226" s="148">
        <v>0</v>
      </c>
      <c r="S226" s="136">
        <v>0</v>
      </c>
      <c r="T226" s="136">
        <v>0</v>
      </c>
      <c r="U226" s="138">
        <v>0</v>
      </c>
      <c r="V226" s="138">
        <v>0</v>
      </c>
      <c r="W226" s="138">
        <v>0</v>
      </c>
      <c r="X226" s="138">
        <v>0</v>
      </c>
      <c r="Y226" s="138">
        <v>0</v>
      </c>
      <c r="Z226" s="138">
        <v>0</v>
      </c>
      <c r="AA226" s="138">
        <v>0</v>
      </c>
      <c r="AB226" s="138">
        <v>0</v>
      </c>
      <c r="AC226" s="138">
        <v>0</v>
      </c>
      <c r="AD226" s="138">
        <v>0</v>
      </c>
      <c r="AE226" s="138">
        <v>0</v>
      </c>
      <c r="AF226" s="138">
        <v>0</v>
      </c>
      <c r="AG226" s="138">
        <v>0</v>
      </c>
      <c r="AH226" s="138">
        <v>0</v>
      </c>
      <c r="AI226" s="138">
        <v>0</v>
      </c>
      <c r="AJ226" s="138">
        <v>0</v>
      </c>
      <c r="AK226" s="138">
        <v>0</v>
      </c>
      <c r="AL226" s="75">
        <v>0</v>
      </c>
      <c r="AM226" s="75">
        <v>0</v>
      </c>
      <c r="AN226" s="75">
        <v>0</v>
      </c>
      <c r="AO226" s="75">
        <v>0</v>
      </c>
      <c r="AP226" s="75">
        <v>0</v>
      </c>
      <c r="AQ226" s="75">
        <v>0</v>
      </c>
      <c r="AR226" s="75">
        <v>0</v>
      </c>
      <c r="AS226" s="75">
        <v>0</v>
      </c>
      <c r="AT226" s="75">
        <v>0</v>
      </c>
      <c r="AU226" s="75">
        <v>0</v>
      </c>
      <c r="AV226" s="75">
        <v>0</v>
      </c>
      <c r="AW226" s="75">
        <v>0</v>
      </c>
      <c r="AX226" s="75">
        <v>0</v>
      </c>
      <c r="AY226" s="75">
        <v>0</v>
      </c>
      <c r="AZ226" s="75">
        <v>0</v>
      </c>
      <c r="BA226" s="75">
        <v>0</v>
      </c>
      <c r="BB226" s="75">
        <v>0</v>
      </c>
      <c r="BC226" s="75">
        <v>0</v>
      </c>
      <c r="BD226" s="75">
        <v>0</v>
      </c>
      <c r="BE226" s="75">
        <v>0</v>
      </c>
      <c r="BF226" s="75">
        <v>0</v>
      </c>
      <c r="BG226" s="75">
        <v>0</v>
      </c>
      <c r="BH226" s="141">
        <v>0</v>
      </c>
      <c r="BI226" s="141">
        <v>0</v>
      </c>
      <c r="BJ226" s="141">
        <v>0</v>
      </c>
      <c r="BK226" s="141">
        <v>0</v>
      </c>
      <c r="BL226" s="141">
        <v>0</v>
      </c>
      <c r="BM226" s="141">
        <v>0</v>
      </c>
      <c r="BN226" s="141">
        <v>0</v>
      </c>
      <c r="BO226" s="141">
        <v>0</v>
      </c>
      <c r="BP226" s="141">
        <v>0</v>
      </c>
      <c r="BQ226" s="141">
        <v>0</v>
      </c>
      <c r="BR226" s="141">
        <v>0</v>
      </c>
      <c r="BS226" s="141">
        <v>0</v>
      </c>
      <c r="BT226" s="141">
        <v>0</v>
      </c>
      <c r="BU226" s="141">
        <v>0</v>
      </c>
      <c r="BV226" s="141">
        <v>0</v>
      </c>
      <c r="BW226" s="141">
        <v>0</v>
      </c>
      <c r="BX226" s="141">
        <v>0</v>
      </c>
      <c r="BY226" s="141">
        <v>0</v>
      </c>
      <c r="BZ226" s="141">
        <v>0</v>
      </c>
      <c r="CA226" s="146">
        <v>0</v>
      </c>
      <c r="CB226" s="72">
        <v>0</v>
      </c>
      <c r="CC226" s="73">
        <v>0</v>
      </c>
      <c r="CD226" s="73">
        <v>0</v>
      </c>
      <c r="CE226" s="73">
        <v>0</v>
      </c>
      <c r="CF226" s="73">
        <v>0</v>
      </c>
      <c r="CG226" s="146">
        <v>0</v>
      </c>
      <c r="CH226" s="73">
        <v>0</v>
      </c>
      <c r="CI226" s="146">
        <v>0</v>
      </c>
      <c r="CJ226" s="146">
        <v>0</v>
      </c>
      <c r="CK226" s="146">
        <v>0</v>
      </c>
      <c r="CL226" s="73">
        <v>0</v>
      </c>
      <c r="CM226" s="73">
        <v>0</v>
      </c>
      <c r="CN226" s="73">
        <v>0</v>
      </c>
      <c r="CO226" s="73">
        <v>0</v>
      </c>
      <c r="CP226" s="146">
        <v>0</v>
      </c>
      <c r="CQ226" s="73">
        <v>0</v>
      </c>
      <c r="CR226" s="73">
        <v>0</v>
      </c>
      <c r="CS226" s="73">
        <v>0</v>
      </c>
    </row>
    <row r="227" spans="1:97" x14ac:dyDescent="0.25">
      <c r="A227" t="s">
        <v>85</v>
      </c>
      <c r="B227" s="136">
        <v>0</v>
      </c>
      <c r="C227" s="136">
        <v>0</v>
      </c>
      <c r="D227" s="148">
        <v>0</v>
      </c>
      <c r="E227" s="136">
        <v>0</v>
      </c>
      <c r="F227" s="148">
        <v>0</v>
      </c>
      <c r="G227" s="136">
        <v>0</v>
      </c>
      <c r="H227" s="136">
        <v>0</v>
      </c>
      <c r="I227" s="136">
        <v>0</v>
      </c>
      <c r="J227" s="136">
        <v>0</v>
      </c>
      <c r="K227" s="136">
        <v>0</v>
      </c>
      <c r="L227" s="136">
        <v>0</v>
      </c>
      <c r="M227" s="136">
        <v>0</v>
      </c>
      <c r="N227" s="136">
        <v>0</v>
      </c>
      <c r="O227" s="136">
        <v>0</v>
      </c>
      <c r="P227" s="148">
        <v>0</v>
      </c>
      <c r="Q227" s="148">
        <v>0</v>
      </c>
      <c r="R227" s="148">
        <v>0</v>
      </c>
      <c r="S227" s="136">
        <v>0</v>
      </c>
      <c r="T227" s="136">
        <v>0</v>
      </c>
      <c r="U227" s="138">
        <v>0</v>
      </c>
      <c r="V227" s="138">
        <v>0</v>
      </c>
      <c r="W227" s="138">
        <v>0</v>
      </c>
      <c r="X227" s="138">
        <v>0</v>
      </c>
      <c r="Y227" s="138">
        <v>0</v>
      </c>
      <c r="Z227" s="138">
        <v>0</v>
      </c>
      <c r="AA227" s="138">
        <v>0</v>
      </c>
      <c r="AB227" s="138">
        <v>0</v>
      </c>
      <c r="AC227" s="138">
        <v>0</v>
      </c>
      <c r="AD227" s="138">
        <v>0</v>
      </c>
      <c r="AE227" s="138">
        <v>0</v>
      </c>
      <c r="AF227" s="138">
        <v>0</v>
      </c>
      <c r="AG227" s="138">
        <v>0</v>
      </c>
      <c r="AH227" s="138">
        <v>0</v>
      </c>
      <c r="AI227" s="138">
        <v>0</v>
      </c>
      <c r="AJ227" s="138">
        <v>0</v>
      </c>
      <c r="AK227" s="138">
        <v>0</v>
      </c>
      <c r="AL227" s="75">
        <v>0</v>
      </c>
      <c r="AM227" s="75">
        <v>0</v>
      </c>
      <c r="AN227" s="75">
        <v>0</v>
      </c>
      <c r="AO227" s="75">
        <v>0</v>
      </c>
      <c r="AP227" s="75">
        <v>0</v>
      </c>
      <c r="AQ227" s="75">
        <v>0</v>
      </c>
      <c r="AR227" s="75">
        <v>0</v>
      </c>
      <c r="AS227" s="75">
        <v>0</v>
      </c>
      <c r="AT227" s="75">
        <v>0</v>
      </c>
      <c r="AU227" s="75">
        <v>0</v>
      </c>
      <c r="AV227" s="75">
        <v>0</v>
      </c>
      <c r="AW227" s="75">
        <v>0</v>
      </c>
      <c r="AX227" s="75">
        <v>0</v>
      </c>
      <c r="AY227" s="75">
        <v>0</v>
      </c>
      <c r="AZ227" s="75">
        <v>0</v>
      </c>
      <c r="BA227" s="75">
        <v>0</v>
      </c>
      <c r="BB227" s="75">
        <v>0</v>
      </c>
      <c r="BC227" s="75">
        <v>0</v>
      </c>
      <c r="BD227" s="75">
        <v>0</v>
      </c>
      <c r="BE227" s="75">
        <v>0</v>
      </c>
      <c r="BF227" s="75">
        <v>0</v>
      </c>
      <c r="BG227" s="75">
        <v>0</v>
      </c>
      <c r="BH227" s="141">
        <v>0</v>
      </c>
      <c r="BI227" s="141">
        <v>0</v>
      </c>
      <c r="BJ227" s="141">
        <v>0</v>
      </c>
      <c r="BK227" s="141">
        <v>0</v>
      </c>
      <c r="BL227" s="141">
        <v>0</v>
      </c>
      <c r="BM227" s="141">
        <v>0</v>
      </c>
      <c r="BN227" s="141">
        <v>0</v>
      </c>
      <c r="BO227" s="141">
        <v>0</v>
      </c>
      <c r="BP227" s="141">
        <v>0</v>
      </c>
      <c r="BQ227" s="141">
        <v>0</v>
      </c>
      <c r="BR227" s="141">
        <v>0</v>
      </c>
      <c r="BS227" s="141">
        <v>0</v>
      </c>
      <c r="BT227" s="141">
        <v>0</v>
      </c>
      <c r="BU227" s="141">
        <v>0</v>
      </c>
      <c r="BV227" s="141">
        <v>0</v>
      </c>
      <c r="BW227" s="141">
        <v>0</v>
      </c>
      <c r="BX227" s="141">
        <v>0</v>
      </c>
      <c r="BY227" s="141">
        <v>0</v>
      </c>
      <c r="BZ227" s="141">
        <v>0</v>
      </c>
      <c r="CA227" s="146">
        <v>0</v>
      </c>
      <c r="CB227" s="72">
        <v>0</v>
      </c>
      <c r="CC227" s="73">
        <v>0</v>
      </c>
      <c r="CD227" s="73">
        <v>0</v>
      </c>
      <c r="CE227" s="73">
        <v>0</v>
      </c>
      <c r="CF227" s="73">
        <v>0</v>
      </c>
      <c r="CG227" s="146">
        <v>0</v>
      </c>
      <c r="CH227" s="73">
        <v>0</v>
      </c>
      <c r="CI227" s="146">
        <v>0</v>
      </c>
      <c r="CJ227" s="146">
        <v>0</v>
      </c>
      <c r="CK227" s="146">
        <v>0</v>
      </c>
      <c r="CL227" s="73">
        <v>0</v>
      </c>
      <c r="CM227" s="73">
        <v>0</v>
      </c>
      <c r="CN227" s="73">
        <v>0</v>
      </c>
      <c r="CO227" s="73">
        <v>0</v>
      </c>
      <c r="CP227" s="146">
        <v>0</v>
      </c>
      <c r="CQ227" s="73">
        <v>0</v>
      </c>
      <c r="CR227" s="73">
        <v>0</v>
      </c>
      <c r="CS227" s="73">
        <v>0</v>
      </c>
    </row>
    <row r="228" spans="1:97" x14ac:dyDescent="0.25">
      <c r="A228" t="s">
        <v>87</v>
      </c>
      <c r="B228" s="136">
        <v>0</v>
      </c>
      <c r="C228" s="136">
        <v>0</v>
      </c>
      <c r="D228" s="148">
        <v>0</v>
      </c>
      <c r="E228" s="136">
        <v>0</v>
      </c>
      <c r="F228" s="148">
        <v>0</v>
      </c>
      <c r="G228" s="136">
        <v>0</v>
      </c>
      <c r="H228" s="136">
        <v>0</v>
      </c>
      <c r="I228" s="136">
        <v>0</v>
      </c>
      <c r="J228" s="136">
        <v>0</v>
      </c>
      <c r="K228" s="136">
        <v>0</v>
      </c>
      <c r="L228" s="136">
        <v>0</v>
      </c>
      <c r="M228" s="136">
        <v>0</v>
      </c>
      <c r="N228" s="136">
        <v>0</v>
      </c>
      <c r="O228" s="136">
        <v>0</v>
      </c>
      <c r="P228" s="148">
        <v>0</v>
      </c>
      <c r="Q228" s="148">
        <v>0</v>
      </c>
      <c r="R228" s="148">
        <v>0</v>
      </c>
      <c r="S228" s="136">
        <v>0</v>
      </c>
      <c r="T228" s="136">
        <v>0</v>
      </c>
      <c r="U228" s="138">
        <v>0</v>
      </c>
      <c r="V228" s="138">
        <v>0</v>
      </c>
      <c r="W228" s="138">
        <v>0</v>
      </c>
      <c r="X228" s="138">
        <v>0</v>
      </c>
      <c r="Y228" s="138">
        <v>0</v>
      </c>
      <c r="Z228" s="138">
        <v>0</v>
      </c>
      <c r="AA228" s="138">
        <v>0</v>
      </c>
      <c r="AB228" s="138">
        <v>0</v>
      </c>
      <c r="AC228" s="138">
        <v>0</v>
      </c>
      <c r="AD228" s="138">
        <v>0</v>
      </c>
      <c r="AE228" s="138">
        <v>0</v>
      </c>
      <c r="AF228" s="138">
        <v>0</v>
      </c>
      <c r="AG228" s="138">
        <v>0</v>
      </c>
      <c r="AH228" s="138">
        <v>0</v>
      </c>
      <c r="AI228" s="138">
        <v>0</v>
      </c>
      <c r="AJ228" s="138">
        <v>0</v>
      </c>
      <c r="AK228" s="138">
        <v>0</v>
      </c>
      <c r="AL228" s="75">
        <v>0</v>
      </c>
      <c r="AM228" s="75">
        <v>0</v>
      </c>
      <c r="AN228" s="75">
        <v>0</v>
      </c>
      <c r="AO228" s="75">
        <v>0</v>
      </c>
      <c r="AP228" s="75">
        <v>0</v>
      </c>
      <c r="AQ228" s="75">
        <v>0</v>
      </c>
      <c r="AR228" s="75">
        <v>0</v>
      </c>
      <c r="AS228" s="75">
        <v>0</v>
      </c>
      <c r="AT228" s="75">
        <v>0</v>
      </c>
      <c r="AU228" s="75">
        <v>0</v>
      </c>
      <c r="AV228" s="75">
        <v>0</v>
      </c>
      <c r="AW228" s="75">
        <v>0</v>
      </c>
      <c r="AX228" s="75">
        <v>0</v>
      </c>
      <c r="AY228" s="75">
        <v>0</v>
      </c>
      <c r="AZ228" s="75">
        <v>0</v>
      </c>
      <c r="BA228" s="75">
        <v>0</v>
      </c>
      <c r="BB228" s="75">
        <v>0</v>
      </c>
      <c r="BC228" s="75">
        <v>0</v>
      </c>
      <c r="BD228" s="75">
        <v>0</v>
      </c>
      <c r="BE228" s="75">
        <v>0</v>
      </c>
      <c r="BF228" s="75">
        <v>0</v>
      </c>
      <c r="BG228" s="75">
        <v>0</v>
      </c>
      <c r="BH228" s="141">
        <v>0</v>
      </c>
      <c r="BI228" s="141">
        <v>0</v>
      </c>
      <c r="BJ228" s="141">
        <v>0</v>
      </c>
      <c r="BK228" s="141">
        <v>0</v>
      </c>
      <c r="BL228" s="141">
        <v>0</v>
      </c>
      <c r="BM228" s="141">
        <v>0</v>
      </c>
      <c r="BN228" s="141">
        <v>0</v>
      </c>
      <c r="BO228" s="141">
        <v>0</v>
      </c>
      <c r="BP228" s="141">
        <v>0</v>
      </c>
      <c r="BQ228" s="141">
        <v>0</v>
      </c>
      <c r="BR228" s="141">
        <v>0</v>
      </c>
      <c r="BS228" s="141">
        <v>0</v>
      </c>
      <c r="BT228" s="141">
        <v>0</v>
      </c>
      <c r="BU228" s="141">
        <v>0</v>
      </c>
      <c r="BV228" s="141">
        <v>0</v>
      </c>
      <c r="BW228" s="141">
        <v>0</v>
      </c>
      <c r="BX228" s="141">
        <v>0</v>
      </c>
      <c r="BY228" s="141">
        <v>0</v>
      </c>
      <c r="BZ228" s="141">
        <v>0</v>
      </c>
      <c r="CA228" s="146">
        <v>0</v>
      </c>
      <c r="CB228" s="72">
        <v>0</v>
      </c>
      <c r="CC228" s="73">
        <v>0</v>
      </c>
      <c r="CD228" s="73">
        <v>0</v>
      </c>
      <c r="CE228" s="73">
        <v>0</v>
      </c>
      <c r="CF228" s="73">
        <v>0</v>
      </c>
      <c r="CG228" s="146">
        <v>0</v>
      </c>
      <c r="CH228" s="73">
        <v>0</v>
      </c>
      <c r="CI228" s="146">
        <v>0</v>
      </c>
      <c r="CJ228" s="146">
        <v>0</v>
      </c>
      <c r="CK228" s="146">
        <v>0</v>
      </c>
      <c r="CL228" s="73">
        <v>0</v>
      </c>
      <c r="CM228" s="73">
        <v>0</v>
      </c>
      <c r="CN228" s="73">
        <v>0</v>
      </c>
      <c r="CO228" s="73">
        <v>0</v>
      </c>
      <c r="CP228" s="146">
        <v>0</v>
      </c>
      <c r="CQ228" s="73">
        <v>0</v>
      </c>
      <c r="CR228" s="73">
        <v>0</v>
      </c>
      <c r="CS228" s="73">
        <v>0</v>
      </c>
    </row>
    <row r="229" spans="1:97" x14ac:dyDescent="0.25">
      <c r="A229" t="s">
        <v>86</v>
      </c>
      <c r="B229" s="136">
        <v>0</v>
      </c>
      <c r="C229" s="136">
        <v>0</v>
      </c>
      <c r="D229" s="148">
        <v>0</v>
      </c>
      <c r="E229" s="136">
        <v>0</v>
      </c>
      <c r="F229" s="148">
        <v>0</v>
      </c>
      <c r="G229" s="136">
        <v>0</v>
      </c>
      <c r="H229" s="136">
        <v>0</v>
      </c>
      <c r="I229" s="136">
        <v>0</v>
      </c>
      <c r="J229" s="136">
        <v>0</v>
      </c>
      <c r="K229" s="136">
        <v>0</v>
      </c>
      <c r="L229" s="136">
        <v>0</v>
      </c>
      <c r="M229" s="136">
        <v>0</v>
      </c>
      <c r="N229" s="136">
        <v>0</v>
      </c>
      <c r="O229" s="136">
        <v>0</v>
      </c>
      <c r="P229" s="148">
        <v>0</v>
      </c>
      <c r="Q229" s="148">
        <v>0</v>
      </c>
      <c r="R229" s="148">
        <v>0</v>
      </c>
      <c r="S229" s="136">
        <v>0</v>
      </c>
      <c r="T229" s="136">
        <v>0</v>
      </c>
      <c r="U229" s="138">
        <v>0</v>
      </c>
      <c r="V229" s="138">
        <v>0</v>
      </c>
      <c r="W229" s="138">
        <v>0</v>
      </c>
      <c r="X229" s="138">
        <v>0</v>
      </c>
      <c r="Y229" s="138">
        <v>0</v>
      </c>
      <c r="Z229" s="138">
        <v>0</v>
      </c>
      <c r="AA229" s="138">
        <v>0</v>
      </c>
      <c r="AB229" s="138">
        <v>0</v>
      </c>
      <c r="AC229" s="138">
        <v>0</v>
      </c>
      <c r="AD229" s="138">
        <v>0</v>
      </c>
      <c r="AE229" s="138">
        <v>0</v>
      </c>
      <c r="AF229" s="138">
        <v>0</v>
      </c>
      <c r="AG229" s="138">
        <v>0</v>
      </c>
      <c r="AH229" s="138">
        <v>0</v>
      </c>
      <c r="AI229" s="138">
        <v>0</v>
      </c>
      <c r="AJ229" s="138">
        <v>0</v>
      </c>
      <c r="AK229" s="138">
        <v>0</v>
      </c>
      <c r="AL229" s="75">
        <v>0</v>
      </c>
      <c r="AM229" s="75">
        <v>0</v>
      </c>
      <c r="AN229" s="75">
        <v>0</v>
      </c>
      <c r="AO229" s="75">
        <v>0</v>
      </c>
      <c r="AP229" s="75">
        <v>0</v>
      </c>
      <c r="AQ229" s="75">
        <v>0</v>
      </c>
      <c r="AR229" s="75">
        <v>0</v>
      </c>
      <c r="AS229" s="75">
        <v>0</v>
      </c>
      <c r="AT229" s="75">
        <v>0</v>
      </c>
      <c r="AU229" s="75">
        <v>0</v>
      </c>
      <c r="AV229" s="75">
        <v>0</v>
      </c>
      <c r="AW229" s="75">
        <v>0</v>
      </c>
      <c r="AX229" s="75">
        <v>0</v>
      </c>
      <c r="AY229" s="75">
        <v>0</v>
      </c>
      <c r="AZ229" s="75">
        <v>0</v>
      </c>
      <c r="BA229" s="75">
        <v>0</v>
      </c>
      <c r="BB229" s="75">
        <v>0</v>
      </c>
      <c r="BC229" s="75">
        <v>0</v>
      </c>
      <c r="BD229" s="75">
        <v>0</v>
      </c>
      <c r="BE229" s="75">
        <v>0</v>
      </c>
      <c r="BF229" s="75">
        <v>0</v>
      </c>
      <c r="BG229" s="75">
        <v>0</v>
      </c>
      <c r="BH229" s="141">
        <v>0</v>
      </c>
      <c r="BI229" s="141">
        <v>0</v>
      </c>
      <c r="BJ229" s="141">
        <v>0</v>
      </c>
      <c r="BK229" s="141">
        <v>0</v>
      </c>
      <c r="BL229" s="141">
        <v>0</v>
      </c>
      <c r="BM229" s="141">
        <v>0</v>
      </c>
      <c r="BN229" s="141">
        <v>0</v>
      </c>
      <c r="BO229" s="141">
        <v>0</v>
      </c>
      <c r="BP229" s="141">
        <v>0</v>
      </c>
      <c r="BQ229" s="141">
        <v>0</v>
      </c>
      <c r="BR229" s="141">
        <v>0</v>
      </c>
      <c r="BS229" s="141">
        <v>0</v>
      </c>
      <c r="BT229" s="141">
        <v>0</v>
      </c>
      <c r="BU229" s="141">
        <v>0</v>
      </c>
      <c r="BV229" s="141">
        <v>0</v>
      </c>
      <c r="BW229" s="141">
        <v>0</v>
      </c>
      <c r="BX229" s="141">
        <v>0</v>
      </c>
      <c r="BY229" s="141">
        <v>0</v>
      </c>
      <c r="BZ229" s="141">
        <v>0</v>
      </c>
      <c r="CA229" s="146">
        <v>0</v>
      </c>
      <c r="CB229" s="72">
        <v>0</v>
      </c>
      <c r="CC229" s="73">
        <v>0</v>
      </c>
      <c r="CD229" s="73">
        <v>0</v>
      </c>
      <c r="CE229" s="73">
        <v>0</v>
      </c>
      <c r="CF229" s="73">
        <v>0</v>
      </c>
      <c r="CG229" s="146">
        <v>0</v>
      </c>
      <c r="CH229" s="73">
        <v>0</v>
      </c>
      <c r="CI229" s="146">
        <v>0</v>
      </c>
      <c r="CJ229" s="146">
        <v>0</v>
      </c>
      <c r="CK229" s="146">
        <v>0</v>
      </c>
      <c r="CL229" s="73">
        <v>0</v>
      </c>
      <c r="CM229" s="73">
        <v>0</v>
      </c>
      <c r="CN229" s="73">
        <v>0</v>
      </c>
      <c r="CO229" s="73">
        <v>0</v>
      </c>
      <c r="CP229" s="146">
        <v>0</v>
      </c>
      <c r="CQ229" s="73">
        <v>0</v>
      </c>
      <c r="CR229" s="73">
        <v>0</v>
      </c>
      <c r="CS229" s="73">
        <v>0</v>
      </c>
    </row>
    <row r="230" spans="1:97" x14ac:dyDescent="0.25">
      <c r="A230" t="s">
        <v>88</v>
      </c>
      <c r="B230" s="136">
        <v>0</v>
      </c>
      <c r="C230" s="136">
        <v>0</v>
      </c>
      <c r="D230" s="148">
        <v>0</v>
      </c>
      <c r="E230" s="136">
        <v>0</v>
      </c>
      <c r="F230" s="148">
        <v>0</v>
      </c>
      <c r="G230" s="136">
        <v>0</v>
      </c>
      <c r="H230" s="136">
        <v>0</v>
      </c>
      <c r="I230" s="136">
        <v>0</v>
      </c>
      <c r="J230" s="136">
        <v>0</v>
      </c>
      <c r="K230" s="136">
        <v>0</v>
      </c>
      <c r="L230" s="136">
        <v>0</v>
      </c>
      <c r="M230" s="136">
        <v>0</v>
      </c>
      <c r="N230" s="136">
        <v>0</v>
      </c>
      <c r="O230" s="136">
        <v>0</v>
      </c>
      <c r="P230" s="148">
        <v>0</v>
      </c>
      <c r="Q230" s="148">
        <v>0</v>
      </c>
      <c r="R230" s="148">
        <v>0</v>
      </c>
      <c r="S230" s="136">
        <v>0</v>
      </c>
      <c r="T230" s="136">
        <v>0</v>
      </c>
      <c r="U230" s="138">
        <v>0</v>
      </c>
      <c r="V230" s="138">
        <v>0</v>
      </c>
      <c r="W230" s="138">
        <v>0</v>
      </c>
      <c r="X230" s="138">
        <v>0</v>
      </c>
      <c r="Y230" s="138">
        <v>0</v>
      </c>
      <c r="Z230" s="138">
        <v>0</v>
      </c>
      <c r="AA230" s="138">
        <v>0</v>
      </c>
      <c r="AB230" s="138">
        <v>0</v>
      </c>
      <c r="AC230" s="138">
        <v>0</v>
      </c>
      <c r="AD230" s="138">
        <v>0</v>
      </c>
      <c r="AE230" s="138">
        <v>0</v>
      </c>
      <c r="AF230" s="138">
        <v>0</v>
      </c>
      <c r="AG230" s="138">
        <v>0</v>
      </c>
      <c r="AH230" s="138">
        <v>0</v>
      </c>
      <c r="AI230" s="138">
        <v>0</v>
      </c>
      <c r="AJ230" s="138">
        <v>0</v>
      </c>
      <c r="AK230" s="138">
        <v>0</v>
      </c>
      <c r="AL230" s="75">
        <v>0</v>
      </c>
      <c r="AM230" s="75">
        <v>0</v>
      </c>
      <c r="AN230" s="75">
        <v>0</v>
      </c>
      <c r="AO230" s="75">
        <v>0</v>
      </c>
      <c r="AP230" s="75">
        <v>0</v>
      </c>
      <c r="AQ230" s="75">
        <v>0</v>
      </c>
      <c r="AR230" s="75">
        <v>0</v>
      </c>
      <c r="AS230" s="75">
        <v>0</v>
      </c>
      <c r="AT230" s="75">
        <v>0</v>
      </c>
      <c r="AU230" s="75">
        <v>0</v>
      </c>
      <c r="AV230" s="75">
        <v>0</v>
      </c>
      <c r="AW230" s="75">
        <v>0</v>
      </c>
      <c r="AX230" s="75">
        <v>0</v>
      </c>
      <c r="AY230" s="75">
        <v>0</v>
      </c>
      <c r="AZ230" s="75">
        <v>0</v>
      </c>
      <c r="BA230" s="75">
        <v>0</v>
      </c>
      <c r="BB230" s="75">
        <v>0</v>
      </c>
      <c r="BC230" s="75">
        <v>0</v>
      </c>
      <c r="BD230" s="75">
        <v>0</v>
      </c>
      <c r="BE230" s="75">
        <v>0</v>
      </c>
      <c r="BF230" s="75">
        <v>0</v>
      </c>
      <c r="BG230" s="75">
        <v>0</v>
      </c>
      <c r="BH230" s="141">
        <v>0</v>
      </c>
      <c r="BI230" s="141">
        <v>0</v>
      </c>
      <c r="BJ230" s="141">
        <v>0</v>
      </c>
      <c r="BK230" s="141">
        <v>0</v>
      </c>
      <c r="BL230" s="141">
        <v>0</v>
      </c>
      <c r="BM230" s="141">
        <v>0</v>
      </c>
      <c r="BN230" s="141">
        <v>0</v>
      </c>
      <c r="BO230" s="141">
        <v>0</v>
      </c>
      <c r="BP230" s="141">
        <v>0</v>
      </c>
      <c r="BQ230" s="141">
        <v>0</v>
      </c>
      <c r="BR230" s="141">
        <v>0</v>
      </c>
      <c r="BS230" s="141">
        <v>0</v>
      </c>
      <c r="BT230" s="141">
        <v>0</v>
      </c>
      <c r="BU230" s="141">
        <v>0</v>
      </c>
      <c r="BV230" s="141">
        <v>0</v>
      </c>
      <c r="BW230" s="141">
        <v>0</v>
      </c>
      <c r="BX230" s="141">
        <v>0</v>
      </c>
      <c r="BY230" s="141">
        <v>0</v>
      </c>
      <c r="BZ230" s="141">
        <v>0</v>
      </c>
      <c r="CA230" s="146">
        <v>0</v>
      </c>
      <c r="CB230" s="72">
        <v>0</v>
      </c>
      <c r="CC230" s="73">
        <v>0</v>
      </c>
      <c r="CD230" s="73">
        <v>0</v>
      </c>
      <c r="CE230" s="73">
        <v>0</v>
      </c>
      <c r="CF230" s="73">
        <v>0</v>
      </c>
      <c r="CG230" s="146">
        <v>0</v>
      </c>
      <c r="CH230" s="73">
        <v>0</v>
      </c>
      <c r="CI230" s="146">
        <v>0</v>
      </c>
      <c r="CJ230" s="146">
        <v>0</v>
      </c>
      <c r="CK230" s="146">
        <v>0</v>
      </c>
      <c r="CL230" s="73">
        <v>0</v>
      </c>
      <c r="CM230" s="73">
        <v>0</v>
      </c>
      <c r="CN230" s="73">
        <v>0</v>
      </c>
      <c r="CO230" s="73">
        <v>0</v>
      </c>
      <c r="CP230" s="146">
        <v>0</v>
      </c>
      <c r="CQ230" s="73">
        <v>0</v>
      </c>
      <c r="CR230" s="73">
        <v>0</v>
      </c>
      <c r="CS230" s="73">
        <v>0</v>
      </c>
    </row>
    <row r="231" spans="1:97" x14ac:dyDescent="0.25">
      <c r="A231" t="s">
        <v>89</v>
      </c>
      <c r="B231" s="136">
        <v>0</v>
      </c>
      <c r="C231" s="136">
        <v>0</v>
      </c>
      <c r="D231" s="148">
        <v>0</v>
      </c>
      <c r="E231" s="136">
        <v>0</v>
      </c>
      <c r="F231" s="148">
        <v>0</v>
      </c>
      <c r="G231" s="136">
        <v>0</v>
      </c>
      <c r="H231" s="136">
        <v>0</v>
      </c>
      <c r="I231" s="136">
        <v>0</v>
      </c>
      <c r="J231" s="136">
        <v>0</v>
      </c>
      <c r="K231" s="136">
        <v>0</v>
      </c>
      <c r="L231" s="136">
        <v>0</v>
      </c>
      <c r="M231" s="136">
        <v>0</v>
      </c>
      <c r="N231" s="136">
        <v>0</v>
      </c>
      <c r="O231" s="136">
        <v>0</v>
      </c>
      <c r="P231" s="148">
        <v>0</v>
      </c>
      <c r="Q231" s="148">
        <v>0</v>
      </c>
      <c r="R231" s="148">
        <v>0</v>
      </c>
      <c r="S231" s="136">
        <v>0</v>
      </c>
      <c r="T231" s="136">
        <v>0</v>
      </c>
      <c r="U231" s="138">
        <v>0</v>
      </c>
      <c r="V231" s="138">
        <v>0</v>
      </c>
      <c r="W231" s="138">
        <v>0</v>
      </c>
      <c r="X231" s="138">
        <v>0</v>
      </c>
      <c r="Y231" s="138">
        <v>0</v>
      </c>
      <c r="Z231" s="138">
        <v>0</v>
      </c>
      <c r="AA231" s="138">
        <v>0</v>
      </c>
      <c r="AB231" s="138">
        <v>0</v>
      </c>
      <c r="AC231" s="138">
        <v>0</v>
      </c>
      <c r="AD231" s="138">
        <v>0</v>
      </c>
      <c r="AE231" s="138">
        <v>0</v>
      </c>
      <c r="AF231" s="138">
        <v>0</v>
      </c>
      <c r="AG231" s="138">
        <v>0</v>
      </c>
      <c r="AH231" s="138">
        <v>0</v>
      </c>
      <c r="AI231" s="138">
        <v>0</v>
      </c>
      <c r="AJ231" s="138">
        <v>0</v>
      </c>
      <c r="AK231" s="138">
        <v>0</v>
      </c>
      <c r="AL231" s="75">
        <v>0</v>
      </c>
      <c r="AM231" s="75">
        <v>0</v>
      </c>
      <c r="AN231" s="75">
        <v>0</v>
      </c>
      <c r="AO231" s="75">
        <v>0</v>
      </c>
      <c r="AP231" s="75">
        <v>0</v>
      </c>
      <c r="AQ231" s="75">
        <v>0</v>
      </c>
      <c r="AR231" s="75">
        <v>0</v>
      </c>
      <c r="AS231" s="75">
        <v>0</v>
      </c>
      <c r="AT231" s="75">
        <v>0</v>
      </c>
      <c r="AU231" s="75">
        <v>0</v>
      </c>
      <c r="AV231" s="75">
        <v>0</v>
      </c>
      <c r="AW231" s="75">
        <v>0</v>
      </c>
      <c r="AX231" s="75">
        <v>0</v>
      </c>
      <c r="AY231" s="75">
        <v>0</v>
      </c>
      <c r="AZ231" s="75">
        <v>0</v>
      </c>
      <c r="BA231" s="75">
        <v>0</v>
      </c>
      <c r="BB231" s="75">
        <v>0</v>
      </c>
      <c r="BC231" s="75">
        <v>0</v>
      </c>
      <c r="BD231" s="75">
        <v>0</v>
      </c>
      <c r="BE231" s="75">
        <v>0</v>
      </c>
      <c r="BF231" s="75">
        <v>0</v>
      </c>
      <c r="BG231" s="75">
        <v>0</v>
      </c>
      <c r="BH231" s="141">
        <v>0</v>
      </c>
      <c r="BI231" s="141">
        <v>0</v>
      </c>
      <c r="BJ231" s="141">
        <v>0</v>
      </c>
      <c r="BK231" s="141">
        <v>0</v>
      </c>
      <c r="BL231" s="141">
        <v>0</v>
      </c>
      <c r="BM231" s="141">
        <v>0</v>
      </c>
      <c r="BN231" s="141">
        <v>0</v>
      </c>
      <c r="BO231" s="141">
        <v>0</v>
      </c>
      <c r="BP231" s="141">
        <v>0</v>
      </c>
      <c r="BQ231" s="141">
        <v>0</v>
      </c>
      <c r="BR231" s="141">
        <v>0</v>
      </c>
      <c r="BS231" s="141">
        <v>0</v>
      </c>
      <c r="BT231" s="141">
        <v>0</v>
      </c>
      <c r="BU231" s="141">
        <v>0</v>
      </c>
      <c r="BV231" s="141">
        <v>0</v>
      </c>
      <c r="BW231" s="141">
        <v>0</v>
      </c>
      <c r="BX231" s="141">
        <v>0</v>
      </c>
      <c r="BY231" s="141">
        <v>0</v>
      </c>
      <c r="BZ231" s="141">
        <v>0</v>
      </c>
      <c r="CA231" s="146">
        <v>0</v>
      </c>
      <c r="CB231" s="72">
        <v>0</v>
      </c>
      <c r="CC231" s="73">
        <v>0</v>
      </c>
      <c r="CD231" s="73">
        <v>0</v>
      </c>
      <c r="CE231" s="73">
        <v>0</v>
      </c>
      <c r="CF231" s="73">
        <v>0</v>
      </c>
      <c r="CG231" s="146">
        <v>0</v>
      </c>
      <c r="CH231" s="73">
        <v>0</v>
      </c>
      <c r="CI231" s="146">
        <v>0</v>
      </c>
      <c r="CJ231" s="146">
        <v>0</v>
      </c>
      <c r="CK231" s="146">
        <v>0</v>
      </c>
      <c r="CL231" s="73">
        <v>0</v>
      </c>
      <c r="CM231" s="73">
        <v>0</v>
      </c>
      <c r="CN231" s="73">
        <v>0</v>
      </c>
      <c r="CO231" s="73">
        <v>0</v>
      </c>
      <c r="CP231" s="146">
        <v>0</v>
      </c>
      <c r="CQ231" s="73">
        <v>0</v>
      </c>
      <c r="CR231" s="73">
        <v>0</v>
      </c>
      <c r="CS231" s="73">
        <v>0</v>
      </c>
    </row>
    <row r="232" spans="1:97" x14ac:dyDescent="0.25">
      <c r="A232" t="s">
        <v>90</v>
      </c>
      <c r="B232" s="136">
        <v>0</v>
      </c>
      <c r="C232" s="136">
        <v>0</v>
      </c>
      <c r="D232" s="148">
        <v>0</v>
      </c>
      <c r="E232" s="136">
        <v>0</v>
      </c>
      <c r="F232" s="148">
        <v>0</v>
      </c>
      <c r="G232" s="136">
        <v>0</v>
      </c>
      <c r="H232" s="136">
        <v>0</v>
      </c>
      <c r="I232" s="136">
        <v>0</v>
      </c>
      <c r="J232" s="136">
        <v>0</v>
      </c>
      <c r="K232" s="136">
        <v>0</v>
      </c>
      <c r="L232" s="136">
        <v>0</v>
      </c>
      <c r="M232" s="136">
        <v>0</v>
      </c>
      <c r="N232" s="136">
        <v>0</v>
      </c>
      <c r="O232" s="136">
        <v>0</v>
      </c>
      <c r="P232" s="148">
        <v>0</v>
      </c>
      <c r="Q232" s="148">
        <v>0</v>
      </c>
      <c r="R232" s="148">
        <v>0</v>
      </c>
      <c r="S232" s="136">
        <v>0</v>
      </c>
      <c r="T232" s="136">
        <v>0</v>
      </c>
      <c r="U232" s="138">
        <v>0</v>
      </c>
      <c r="V232" s="138">
        <v>0</v>
      </c>
      <c r="W232" s="138">
        <v>0</v>
      </c>
      <c r="X232" s="138">
        <v>0</v>
      </c>
      <c r="Y232" s="138">
        <v>0</v>
      </c>
      <c r="Z232" s="138">
        <v>0</v>
      </c>
      <c r="AA232" s="138">
        <v>0</v>
      </c>
      <c r="AB232" s="138">
        <v>0</v>
      </c>
      <c r="AC232" s="138">
        <v>0</v>
      </c>
      <c r="AD232" s="138">
        <v>0</v>
      </c>
      <c r="AE232" s="138">
        <v>0</v>
      </c>
      <c r="AF232" s="138">
        <v>0</v>
      </c>
      <c r="AG232" s="138">
        <v>0</v>
      </c>
      <c r="AH232" s="138">
        <v>0</v>
      </c>
      <c r="AI232" s="138">
        <v>0</v>
      </c>
      <c r="AJ232" s="138">
        <v>0</v>
      </c>
      <c r="AK232" s="138">
        <v>0</v>
      </c>
      <c r="AL232" s="75">
        <v>0</v>
      </c>
      <c r="AM232" s="75">
        <v>0</v>
      </c>
      <c r="AN232" s="75">
        <v>0</v>
      </c>
      <c r="AO232" s="75">
        <v>0</v>
      </c>
      <c r="AP232" s="75">
        <v>0</v>
      </c>
      <c r="AQ232" s="75">
        <v>0</v>
      </c>
      <c r="AR232" s="75">
        <v>0</v>
      </c>
      <c r="AS232" s="75">
        <v>0</v>
      </c>
      <c r="AT232" s="75">
        <v>0</v>
      </c>
      <c r="AU232" s="75">
        <v>0</v>
      </c>
      <c r="AV232" s="75">
        <v>0</v>
      </c>
      <c r="AW232" s="75">
        <v>0</v>
      </c>
      <c r="AX232" s="75">
        <v>0</v>
      </c>
      <c r="AY232" s="75">
        <v>0</v>
      </c>
      <c r="AZ232" s="75">
        <v>0</v>
      </c>
      <c r="BA232" s="75">
        <v>0</v>
      </c>
      <c r="BB232" s="75">
        <v>0</v>
      </c>
      <c r="BC232" s="75">
        <v>0</v>
      </c>
      <c r="BD232" s="75">
        <v>0</v>
      </c>
      <c r="BE232" s="75">
        <v>0</v>
      </c>
      <c r="BF232" s="75">
        <v>0</v>
      </c>
      <c r="BG232" s="75">
        <v>0</v>
      </c>
      <c r="BH232" s="141">
        <v>0</v>
      </c>
      <c r="BI232" s="141">
        <v>0</v>
      </c>
      <c r="BJ232" s="141">
        <v>0</v>
      </c>
      <c r="BK232" s="141">
        <v>0</v>
      </c>
      <c r="BL232" s="141">
        <v>0</v>
      </c>
      <c r="BM232" s="141">
        <v>0</v>
      </c>
      <c r="BN232" s="141">
        <v>0</v>
      </c>
      <c r="BO232" s="141">
        <v>0</v>
      </c>
      <c r="BP232" s="141">
        <v>0</v>
      </c>
      <c r="BQ232" s="141">
        <v>0</v>
      </c>
      <c r="BR232" s="141">
        <v>0</v>
      </c>
      <c r="BS232" s="141">
        <v>0</v>
      </c>
      <c r="BT232" s="141">
        <v>0</v>
      </c>
      <c r="BU232" s="141">
        <v>0</v>
      </c>
      <c r="BV232" s="141">
        <v>0</v>
      </c>
      <c r="BW232" s="141">
        <v>0</v>
      </c>
      <c r="BX232" s="141">
        <v>0</v>
      </c>
      <c r="BY232" s="141">
        <v>0</v>
      </c>
      <c r="BZ232" s="141">
        <v>0</v>
      </c>
      <c r="CA232" s="146">
        <v>0</v>
      </c>
      <c r="CB232" s="72">
        <v>0</v>
      </c>
      <c r="CC232" s="73">
        <v>0</v>
      </c>
      <c r="CD232" s="73">
        <v>0</v>
      </c>
      <c r="CE232" s="73">
        <v>0</v>
      </c>
      <c r="CF232" s="73">
        <v>0</v>
      </c>
      <c r="CG232" s="146">
        <v>0</v>
      </c>
      <c r="CH232" s="73">
        <v>0</v>
      </c>
      <c r="CI232" s="146">
        <v>0</v>
      </c>
      <c r="CJ232" s="146">
        <v>0</v>
      </c>
      <c r="CK232" s="146">
        <v>0</v>
      </c>
      <c r="CL232" s="73">
        <v>0</v>
      </c>
      <c r="CM232" s="73">
        <v>0</v>
      </c>
      <c r="CN232" s="73">
        <v>0</v>
      </c>
      <c r="CO232" s="73">
        <v>0</v>
      </c>
      <c r="CP232" s="146">
        <v>0</v>
      </c>
      <c r="CQ232" s="73">
        <v>0</v>
      </c>
      <c r="CR232" s="73">
        <v>0</v>
      </c>
      <c r="CS232" s="73">
        <v>0</v>
      </c>
    </row>
    <row r="233" spans="1:97" x14ac:dyDescent="0.25">
      <c r="A233" t="s">
        <v>459</v>
      </c>
      <c r="B233" s="136">
        <v>0</v>
      </c>
      <c r="C233" s="136">
        <v>0</v>
      </c>
      <c r="D233" s="148">
        <v>0</v>
      </c>
      <c r="E233" s="136">
        <v>0</v>
      </c>
      <c r="F233" s="148">
        <v>0</v>
      </c>
      <c r="G233" s="136">
        <v>0</v>
      </c>
      <c r="H233" s="136">
        <v>0</v>
      </c>
      <c r="I233" s="136">
        <v>0</v>
      </c>
      <c r="J233" s="136">
        <v>0</v>
      </c>
      <c r="K233" s="136">
        <v>0</v>
      </c>
      <c r="L233" s="136">
        <v>0</v>
      </c>
      <c r="M233" s="136">
        <v>0</v>
      </c>
      <c r="N233" s="136">
        <v>0</v>
      </c>
      <c r="O233" s="136">
        <v>0</v>
      </c>
      <c r="P233" s="148">
        <v>0</v>
      </c>
      <c r="Q233" s="148">
        <v>0</v>
      </c>
      <c r="R233" s="148">
        <v>0</v>
      </c>
      <c r="S233" s="136">
        <v>0</v>
      </c>
      <c r="T233" s="136">
        <v>0</v>
      </c>
      <c r="U233" s="138">
        <v>0</v>
      </c>
      <c r="V233" s="138">
        <v>0</v>
      </c>
      <c r="W233" s="138">
        <v>0</v>
      </c>
      <c r="X233" s="138">
        <v>0</v>
      </c>
      <c r="Y233" s="138">
        <v>0</v>
      </c>
      <c r="Z233" s="138">
        <v>0</v>
      </c>
      <c r="AA233" s="138">
        <v>0</v>
      </c>
      <c r="AB233" s="138">
        <v>0</v>
      </c>
      <c r="AC233" s="138">
        <v>0</v>
      </c>
      <c r="AD233" s="138">
        <v>0</v>
      </c>
      <c r="AE233" s="138">
        <v>0</v>
      </c>
      <c r="AF233" s="138">
        <v>0</v>
      </c>
      <c r="AG233" s="138">
        <v>0</v>
      </c>
      <c r="AH233" s="138">
        <v>0</v>
      </c>
      <c r="AI233" s="138">
        <v>0</v>
      </c>
      <c r="AJ233" s="138">
        <v>0</v>
      </c>
      <c r="AK233" s="138">
        <v>0</v>
      </c>
      <c r="AL233" s="75">
        <v>0</v>
      </c>
      <c r="AM233" s="75">
        <v>0</v>
      </c>
      <c r="AN233" s="75">
        <v>0</v>
      </c>
      <c r="AO233" s="75">
        <v>0</v>
      </c>
      <c r="AP233" s="75">
        <v>0</v>
      </c>
      <c r="AQ233" s="75">
        <v>0</v>
      </c>
      <c r="AR233" s="75">
        <v>0</v>
      </c>
      <c r="AS233" s="75">
        <v>0</v>
      </c>
      <c r="AT233" s="75">
        <v>0</v>
      </c>
      <c r="AU233" s="75">
        <v>0</v>
      </c>
      <c r="AV233" s="75">
        <v>0</v>
      </c>
      <c r="AW233" s="75">
        <v>0</v>
      </c>
      <c r="AX233" s="75">
        <v>0</v>
      </c>
      <c r="AY233" s="75">
        <v>0</v>
      </c>
      <c r="AZ233" s="75">
        <v>0</v>
      </c>
      <c r="BA233" s="75">
        <v>0</v>
      </c>
      <c r="BB233" s="75">
        <v>0</v>
      </c>
      <c r="BC233" s="75">
        <v>0</v>
      </c>
      <c r="BD233" s="75">
        <v>0</v>
      </c>
      <c r="BE233" s="75">
        <v>0</v>
      </c>
      <c r="BF233" s="75">
        <v>0</v>
      </c>
      <c r="BG233" s="75">
        <v>0</v>
      </c>
      <c r="BH233" s="141">
        <v>0</v>
      </c>
      <c r="BI233" s="141">
        <v>0</v>
      </c>
      <c r="BJ233" s="141">
        <v>0</v>
      </c>
      <c r="BK233" s="141">
        <v>0</v>
      </c>
      <c r="BL233" s="141">
        <v>0</v>
      </c>
      <c r="BM233" s="141">
        <v>0</v>
      </c>
      <c r="BN233" s="141">
        <v>0</v>
      </c>
      <c r="BO233" s="141">
        <v>0</v>
      </c>
      <c r="BP233" s="141">
        <v>0</v>
      </c>
      <c r="BQ233" s="141">
        <v>0</v>
      </c>
      <c r="BR233" s="141">
        <v>0</v>
      </c>
      <c r="BS233" s="141">
        <v>0</v>
      </c>
      <c r="BT233" s="141">
        <v>0</v>
      </c>
      <c r="BU233" s="141">
        <v>0</v>
      </c>
      <c r="BV233" s="141">
        <v>0</v>
      </c>
      <c r="BW233" s="141">
        <v>0</v>
      </c>
      <c r="BX233" s="141">
        <v>0</v>
      </c>
      <c r="BY233" s="141">
        <v>0</v>
      </c>
      <c r="BZ233" s="141">
        <v>0</v>
      </c>
      <c r="CA233" s="146">
        <v>0</v>
      </c>
      <c r="CB233" s="72">
        <v>0</v>
      </c>
      <c r="CC233" s="73">
        <v>0</v>
      </c>
      <c r="CD233" s="73">
        <v>0</v>
      </c>
      <c r="CE233" s="73">
        <v>0</v>
      </c>
      <c r="CF233" s="73">
        <v>0</v>
      </c>
      <c r="CG233" s="146">
        <v>0</v>
      </c>
      <c r="CH233" s="73">
        <v>0</v>
      </c>
      <c r="CI233" s="146">
        <v>0</v>
      </c>
      <c r="CJ233" s="146">
        <v>0</v>
      </c>
      <c r="CK233" s="146">
        <v>0</v>
      </c>
      <c r="CL233" s="73">
        <v>0</v>
      </c>
      <c r="CM233" s="73">
        <v>0</v>
      </c>
      <c r="CN233" s="73">
        <v>0</v>
      </c>
      <c r="CO233" s="73">
        <v>0</v>
      </c>
      <c r="CP233" s="146">
        <v>0</v>
      </c>
      <c r="CQ233" s="73">
        <v>0</v>
      </c>
      <c r="CR233" s="73">
        <v>0</v>
      </c>
      <c r="CS233" s="73">
        <v>0</v>
      </c>
    </row>
    <row r="234" spans="1:97" x14ac:dyDescent="0.25">
      <c r="A234" t="s">
        <v>460</v>
      </c>
      <c r="B234" s="136">
        <v>0</v>
      </c>
      <c r="C234" s="136">
        <v>0</v>
      </c>
      <c r="D234" s="148">
        <v>0</v>
      </c>
      <c r="E234" s="136">
        <v>0</v>
      </c>
      <c r="F234" s="148">
        <v>0</v>
      </c>
      <c r="G234" s="136">
        <v>0</v>
      </c>
      <c r="H234" s="136">
        <v>0</v>
      </c>
      <c r="I234" s="136">
        <v>0</v>
      </c>
      <c r="J234" s="136">
        <v>0</v>
      </c>
      <c r="K234" s="136">
        <v>0</v>
      </c>
      <c r="L234" s="136">
        <v>0</v>
      </c>
      <c r="M234" s="136">
        <v>0</v>
      </c>
      <c r="N234" s="136">
        <v>0</v>
      </c>
      <c r="O234" s="136">
        <v>0</v>
      </c>
      <c r="P234" s="148">
        <v>0</v>
      </c>
      <c r="Q234" s="148">
        <v>0</v>
      </c>
      <c r="R234" s="148">
        <v>0</v>
      </c>
      <c r="S234" s="136">
        <v>0</v>
      </c>
      <c r="T234" s="136">
        <v>0</v>
      </c>
      <c r="U234" s="138">
        <v>0</v>
      </c>
      <c r="V234" s="138">
        <v>0</v>
      </c>
      <c r="W234" s="138">
        <v>0</v>
      </c>
      <c r="X234" s="138">
        <v>0</v>
      </c>
      <c r="Y234" s="138">
        <v>0</v>
      </c>
      <c r="Z234" s="138">
        <v>0</v>
      </c>
      <c r="AA234" s="138">
        <v>0</v>
      </c>
      <c r="AB234" s="138">
        <v>0</v>
      </c>
      <c r="AC234" s="138">
        <v>0</v>
      </c>
      <c r="AD234" s="138">
        <v>0</v>
      </c>
      <c r="AE234" s="138">
        <v>0</v>
      </c>
      <c r="AF234" s="138">
        <v>0</v>
      </c>
      <c r="AG234" s="138">
        <v>0</v>
      </c>
      <c r="AH234" s="138">
        <v>0</v>
      </c>
      <c r="AI234" s="138">
        <v>0</v>
      </c>
      <c r="AJ234" s="138">
        <v>0</v>
      </c>
      <c r="AK234" s="138">
        <v>0</v>
      </c>
      <c r="AL234" s="75">
        <v>0</v>
      </c>
      <c r="AM234" s="75">
        <v>0</v>
      </c>
      <c r="AN234" s="75">
        <v>0</v>
      </c>
      <c r="AO234" s="75">
        <v>0</v>
      </c>
      <c r="AP234" s="75">
        <v>0</v>
      </c>
      <c r="AQ234" s="75">
        <v>0</v>
      </c>
      <c r="AR234" s="75">
        <v>0</v>
      </c>
      <c r="AS234" s="75">
        <v>0</v>
      </c>
      <c r="AT234" s="75">
        <v>0</v>
      </c>
      <c r="AU234" s="75">
        <v>0</v>
      </c>
      <c r="AV234" s="75">
        <v>0</v>
      </c>
      <c r="AW234" s="75">
        <v>0</v>
      </c>
      <c r="AX234" s="75">
        <v>0</v>
      </c>
      <c r="AY234" s="75">
        <v>0</v>
      </c>
      <c r="AZ234" s="75">
        <v>0</v>
      </c>
      <c r="BA234" s="75">
        <v>0</v>
      </c>
      <c r="BB234" s="75">
        <v>0</v>
      </c>
      <c r="BC234" s="75">
        <v>0</v>
      </c>
      <c r="BD234" s="75">
        <v>0</v>
      </c>
      <c r="BE234" s="75">
        <v>0</v>
      </c>
      <c r="BF234" s="75">
        <v>0</v>
      </c>
      <c r="BG234" s="75">
        <v>0</v>
      </c>
      <c r="BH234" s="141">
        <v>0</v>
      </c>
      <c r="BI234" s="141">
        <v>0</v>
      </c>
      <c r="BJ234" s="141">
        <v>0</v>
      </c>
      <c r="BK234" s="141">
        <v>0</v>
      </c>
      <c r="BL234" s="141">
        <v>0</v>
      </c>
      <c r="BM234" s="141">
        <v>0</v>
      </c>
      <c r="BN234" s="141">
        <v>0</v>
      </c>
      <c r="BO234" s="141">
        <v>0</v>
      </c>
      <c r="BP234" s="141">
        <v>0</v>
      </c>
      <c r="BQ234" s="141">
        <v>0</v>
      </c>
      <c r="BR234" s="141">
        <v>0</v>
      </c>
      <c r="BS234" s="141">
        <v>0</v>
      </c>
      <c r="BT234" s="141">
        <v>0</v>
      </c>
      <c r="BU234" s="141">
        <v>0</v>
      </c>
      <c r="BV234" s="141">
        <v>0</v>
      </c>
      <c r="BW234" s="141">
        <v>0</v>
      </c>
      <c r="BX234" s="141">
        <v>0</v>
      </c>
      <c r="BY234" s="141">
        <v>0</v>
      </c>
      <c r="BZ234" s="141">
        <v>0</v>
      </c>
      <c r="CA234" s="146">
        <v>0</v>
      </c>
      <c r="CB234" s="72">
        <v>0</v>
      </c>
      <c r="CC234" s="73">
        <v>0</v>
      </c>
      <c r="CD234" s="73">
        <v>0</v>
      </c>
      <c r="CE234" s="73">
        <v>0</v>
      </c>
      <c r="CF234" s="73">
        <v>0</v>
      </c>
      <c r="CG234" s="146">
        <v>0</v>
      </c>
      <c r="CH234" s="73">
        <v>0</v>
      </c>
      <c r="CI234" s="146">
        <v>0</v>
      </c>
      <c r="CJ234" s="146">
        <v>0</v>
      </c>
      <c r="CK234" s="146">
        <v>0</v>
      </c>
      <c r="CL234" s="73">
        <v>0</v>
      </c>
      <c r="CM234" s="73">
        <v>0</v>
      </c>
      <c r="CN234" s="73">
        <v>0</v>
      </c>
      <c r="CO234" s="73">
        <v>0</v>
      </c>
      <c r="CP234" s="146">
        <v>0</v>
      </c>
      <c r="CQ234" s="73">
        <v>0</v>
      </c>
      <c r="CR234" s="73">
        <v>0</v>
      </c>
      <c r="CS234" s="73">
        <v>0</v>
      </c>
    </row>
    <row r="235" spans="1:97" x14ac:dyDescent="0.25">
      <c r="A235" t="s">
        <v>461</v>
      </c>
      <c r="B235" s="136">
        <v>0</v>
      </c>
      <c r="C235" s="136">
        <v>0</v>
      </c>
      <c r="D235" s="148">
        <v>0</v>
      </c>
      <c r="E235" s="136">
        <v>0</v>
      </c>
      <c r="F235" s="148">
        <v>0</v>
      </c>
      <c r="G235" s="136">
        <v>0</v>
      </c>
      <c r="H235" s="136">
        <v>0</v>
      </c>
      <c r="I235" s="136">
        <v>0</v>
      </c>
      <c r="J235" s="136">
        <v>0</v>
      </c>
      <c r="K235" s="136">
        <v>0</v>
      </c>
      <c r="L235" s="136">
        <v>0</v>
      </c>
      <c r="M235" s="136">
        <v>0</v>
      </c>
      <c r="N235" s="136">
        <v>0</v>
      </c>
      <c r="O235" s="136">
        <v>0</v>
      </c>
      <c r="P235" s="148">
        <v>0</v>
      </c>
      <c r="Q235" s="148">
        <v>0</v>
      </c>
      <c r="R235" s="148">
        <v>0</v>
      </c>
      <c r="S235" s="136">
        <v>0</v>
      </c>
      <c r="T235" s="136">
        <v>0</v>
      </c>
      <c r="U235" s="138">
        <v>0</v>
      </c>
      <c r="V235" s="138">
        <v>0</v>
      </c>
      <c r="W235" s="138">
        <v>0</v>
      </c>
      <c r="X235" s="138">
        <v>0</v>
      </c>
      <c r="Y235" s="138">
        <v>0</v>
      </c>
      <c r="Z235" s="138">
        <v>0</v>
      </c>
      <c r="AA235" s="138">
        <v>0</v>
      </c>
      <c r="AB235" s="138">
        <v>0</v>
      </c>
      <c r="AC235" s="138">
        <v>0</v>
      </c>
      <c r="AD235" s="138">
        <v>0</v>
      </c>
      <c r="AE235" s="138">
        <v>0</v>
      </c>
      <c r="AF235" s="138">
        <v>0</v>
      </c>
      <c r="AG235" s="138">
        <v>0</v>
      </c>
      <c r="AH235" s="138">
        <v>0</v>
      </c>
      <c r="AI235" s="138">
        <v>0</v>
      </c>
      <c r="AJ235" s="138">
        <v>0</v>
      </c>
      <c r="AK235" s="138">
        <v>0</v>
      </c>
      <c r="AL235" s="75">
        <v>0</v>
      </c>
      <c r="AM235" s="75">
        <v>0</v>
      </c>
      <c r="AN235" s="75">
        <v>0</v>
      </c>
      <c r="AO235" s="75">
        <v>0</v>
      </c>
      <c r="AP235" s="75">
        <v>0</v>
      </c>
      <c r="AQ235" s="75">
        <v>0</v>
      </c>
      <c r="AR235" s="75">
        <v>0</v>
      </c>
      <c r="AS235" s="75">
        <v>0</v>
      </c>
      <c r="AT235" s="75">
        <v>0</v>
      </c>
      <c r="AU235" s="75">
        <v>0</v>
      </c>
      <c r="AV235" s="75">
        <v>0</v>
      </c>
      <c r="AW235" s="75">
        <v>0</v>
      </c>
      <c r="AX235" s="75">
        <v>0</v>
      </c>
      <c r="AY235" s="75">
        <v>0</v>
      </c>
      <c r="AZ235" s="75">
        <v>0</v>
      </c>
      <c r="BA235" s="75">
        <v>0</v>
      </c>
      <c r="BB235" s="75">
        <v>0</v>
      </c>
      <c r="BC235" s="75">
        <v>0</v>
      </c>
      <c r="BD235" s="75">
        <v>0</v>
      </c>
      <c r="BE235" s="75">
        <v>0</v>
      </c>
      <c r="BF235" s="75">
        <v>0</v>
      </c>
      <c r="BG235" s="75">
        <v>0</v>
      </c>
      <c r="BH235" s="141">
        <v>0</v>
      </c>
      <c r="BI235" s="141">
        <v>0</v>
      </c>
      <c r="BJ235" s="141">
        <v>0</v>
      </c>
      <c r="BK235" s="141">
        <v>0</v>
      </c>
      <c r="BL235" s="141">
        <v>0</v>
      </c>
      <c r="BM235" s="141">
        <v>0</v>
      </c>
      <c r="BN235" s="141">
        <v>0</v>
      </c>
      <c r="BO235" s="141">
        <v>0</v>
      </c>
      <c r="BP235" s="141">
        <v>0</v>
      </c>
      <c r="BQ235" s="141">
        <v>0</v>
      </c>
      <c r="BR235" s="141">
        <v>0</v>
      </c>
      <c r="BS235" s="141">
        <v>0</v>
      </c>
      <c r="BT235" s="141">
        <v>0</v>
      </c>
      <c r="BU235" s="141">
        <v>0</v>
      </c>
      <c r="BV235" s="141">
        <v>0</v>
      </c>
      <c r="BW235" s="141">
        <v>0</v>
      </c>
      <c r="BX235" s="141">
        <v>0</v>
      </c>
      <c r="BY235" s="141">
        <v>0</v>
      </c>
      <c r="BZ235" s="141">
        <v>0</v>
      </c>
      <c r="CA235" s="146">
        <v>0</v>
      </c>
      <c r="CB235" s="72">
        <v>0</v>
      </c>
      <c r="CC235" s="73">
        <v>0</v>
      </c>
      <c r="CD235" s="73">
        <v>0</v>
      </c>
      <c r="CE235" s="73">
        <v>0</v>
      </c>
      <c r="CF235" s="73">
        <v>0</v>
      </c>
      <c r="CG235" s="146">
        <v>0</v>
      </c>
      <c r="CH235" s="73">
        <v>0</v>
      </c>
      <c r="CI235" s="146">
        <v>0</v>
      </c>
      <c r="CJ235" s="146">
        <v>0</v>
      </c>
      <c r="CK235" s="146">
        <v>0</v>
      </c>
      <c r="CL235" s="73">
        <v>0</v>
      </c>
      <c r="CM235" s="73">
        <v>0</v>
      </c>
      <c r="CN235" s="73">
        <v>0</v>
      </c>
      <c r="CO235" s="73">
        <v>0</v>
      </c>
      <c r="CP235" s="146">
        <v>0</v>
      </c>
      <c r="CQ235" s="73">
        <v>0</v>
      </c>
      <c r="CR235" s="73">
        <v>0</v>
      </c>
      <c r="CS235" s="73">
        <v>0</v>
      </c>
    </row>
    <row r="236" spans="1:97" x14ac:dyDescent="0.25">
      <c r="A236" t="s">
        <v>462</v>
      </c>
      <c r="B236" s="136">
        <v>0</v>
      </c>
      <c r="C236" s="136">
        <v>0</v>
      </c>
      <c r="D236" s="148">
        <v>0</v>
      </c>
      <c r="E236" s="136">
        <v>0</v>
      </c>
      <c r="F236" s="148">
        <v>0</v>
      </c>
      <c r="G236" s="136">
        <v>0</v>
      </c>
      <c r="H236" s="136">
        <v>0</v>
      </c>
      <c r="I236" s="136">
        <v>0</v>
      </c>
      <c r="J236" s="136">
        <v>0</v>
      </c>
      <c r="K236" s="136">
        <v>0</v>
      </c>
      <c r="L236" s="136">
        <v>0</v>
      </c>
      <c r="M236" s="136">
        <v>0</v>
      </c>
      <c r="N236" s="136">
        <v>0</v>
      </c>
      <c r="O236" s="136">
        <v>0</v>
      </c>
      <c r="P236" s="148">
        <v>0</v>
      </c>
      <c r="Q236" s="148">
        <v>0</v>
      </c>
      <c r="R236" s="148">
        <v>0</v>
      </c>
      <c r="S236" s="136">
        <v>0</v>
      </c>
      <c r="T236" s="136">
        <v>0</v>
      </c>
      <c r="U236" s="138">
        <v>0</v>
      </c>
      <c r="V236" s="138">
        <v>0</v>
      </c>
      <c r="W236" s="138">
        <v>0</v>
      </c>
      <c r="X236" s="138">
        <v>0</v>
      </c>
      <c r="Y236" s="138">
        <v>0</v>
      </c>
      <c r="Z236" s="138">
        <v>0</v>
      </c>
      <c r="AA236" s="138">
        <v>0</v>
      </c>
      <c r="AB236" s="138">
        <v>0</v>
      </c>
      <c r="AC236" s="138">
        <v>0</v>
      </c>
      <c r="AD236" s="138">
        <v>0</v>
      </c>
      <c r="AE236" s="138">
        <v>0</v>
      </c>
      <c r="AF236" s="138">
        <v>0</v>
      </c>
      <c r="AG236" s="138">
        <v>0</v>
      </c>
      <c r="AH236" s="138">
        <v>0</v>
      </c>
      <c r="AI236" s="138">
        <v>0</v>
      </c>
      <c r="AJ236" s="138">
        <v>0</v>
      </c>
      <c r="AK236" s="138">
        <v>0</v>
      </c>
      <c r="AL236" s="75">
        <v>0</v>
      </c>
      <c r="AM236" s="75">
        <v>0</v>
      </c>
      <c r="AN236" s="75">
        <v>0</v>
      </c>
      <c r="AO236" s="75">
        <v>0</v>
      </c>
      <c r="AP236" s="75">
        <v>0</v>
      </c>
      <c r="AQ236" s="75">
        <v>0</v>
      </c>
      <c r="AR236" s="75">
        <v>0</v>
      </c>
      <c r="AS236" s="75">
        <v>0</v>
      </c>
      <c r="AT236" s="75">
        <v>0</v>
      </c>
      <c r="AU236" s="75">
        <v>0</v>
      </c>
      <c r="AV236" s="75">
        <v>0</v>
      </c>
      <c r="AW236" s="75">
        <v>0</v>
      </c>
      <c r="AX236" s="75">
        <v>0</v>
      </c>
      <c r="AY236" s="75">
        <v>0</v>
      </c>
      <c r="AZ236" s="75">
        <v>0</v>
      </c>
      <c r="BA236" s="75">
        <v>0</v>
      </c>
      <c r="BB236" s="75">
        <v>0</v>
      </c>
      <c r="BC236" s="75">
        <v>0</v>
      </c>
      <c r="BD236" s="75">
        <v>0</v>
      </c>
      <c r="BE236" s="75">
        <v>0</v>
      </c>
      <c r="BF236" s="75">
        <v>0</v>
      </c>
      <c r="BG236" s="75">
        <v>0</v>
      </c>
      <c r="BH236" s="141">
        <v>0</v>
      </c>
      <c r="BI236" s="141">
        <v>0</v>
      </c>
      <c r="BJ236" s="141">
        <v>0</v>
      </c>
      <c r="BK236" s="141">
        <v>0</v>
      </c>
      <c r="BL236" s="141">
        <v>0</v>
      </c>
      <c r="BM236" s="141">
        <v>0</v>
      </c>
      <c r="BN236" s="141">
        <v>0</v>
      </c>
      <c r="BO236" s="141">
        <v>0</v>
      </c>
      <c r="BP236" s="141">
        <v>0</v>
      </c>
      <c r="BQ236" s="141">
        <v>0</v>
      </c>
      <c r="BR236" s="141">
        <v>0</v>
      </c>
      <c r="BS236" s="141">
        <v>0</v>
      </c>
      <c r="BT236" s="141">
        <v>0</v>
      </c>
      <c r="BU236" s="141">
        <v>0</v>
      </c>
      <c r="BV236" s="141">
        <v>0</v>
      </c>
      <c r="BW236" s="141">
        <v>0</v>
      </c>
      <c r="BX236" s="141">
        <v>0</v>
      </c>
      <c r="BY236" s="141">
        <v>0</v>
      </c>
      <c r="BZ236" s="141">
        <v>0</v>
      </c>
      <c r="CA236" s="146">
        <v>0</v>
      </c>
      <c r="CB236" s="72">
        <v>0</v>
      </c>
      <c r="CC236" s="73">
        <v>0</v>
      </c>
      <c r="CD236" s="73">
        <v>0</v>
      </c>
      <c r="CE236" s="73">
        <v>0</v>
      </c>
      <c r="CF236" s="73">
        <v>0</v>
      </c>
      <c r="CG236" s="146">
        <v>0</v>
      </c>
      <c r="CH236" s="73">
        <v>0</v>
      </c>
      <c r="CI236" s="146">
        <v>0</v>
      </c>
      <c r="CJ236" s="146">
        <v>0</v>
      </c>
      <c r="CK236" s="146">
        <v>0</v>
      </c>
      <c r="CL236" s="73">
        <v>0</v>
      </c>
      <c r="CM236" s="73">
        <v>0</v>
      </c>
      <c r="CN236" s="73">
        <v>0</v>
      </c>
      <c r="CO236" s="73">
        <v>0</v>
      </c>
      <c r="CP236" s="146">
        <v>0</v>
      </c>
      <c r="CQ236" s="73">
        <v>0</v>
      </c>
      <c r="CR236" s="73">
        <v>0</v>
      </c>
      <c r="CS236" s="73">
        <v>0</v>
      </c>
    </row>
    <row r="237" spans="1:97" x14ac:dyDescent="0.25">
      <c r="A237" t="s">
        <v>463</v>
      </c>
      <c r="B237" s="136">
        <v>0</v>
      </c>
      <c r="C237" s="136">
        <v>0</v>
      </c>
      <c r="D237" s="148">
        <v>0</v>
      </c>
      <c r="E237" s="136">
        <v>0</v>
      </c>
      <c r="F237" s="148">
        <v>0</v>
      </c>
      <c r="G237" s="136">
        <v>0</v>
      </c>
      <c r="H237" s="136">
        <v>0</v>
      </c>
      <c r="I237" s="136">
        <v>0</v>
      </c>
      <c r="J237" s="136">
        <v>0</v>
      </c>
      <c r="K237" s="136">
        <v>0</v>
      </c>
      <c r="L237" s="136">
        <v>0</v>
      </c>
      <c r="M237" s="136">
        <v>0</v>
      </c>
      <c r="N237" s="136">
        <v>0</v>
      </c>
      <c r="O237" s="136">
        <v>0</v>
      </c>
      <c r="P237" s="148">
        <v>0</v>
      </c>
      <c r="Q237" s="148">
        <v>0</v>
      </c>
      <c r="R237" s="148">
        <v>0</v>
      </c>
      <c r="S237" s="136">
        <v>0</v>
      </c>
      <c r="T237" s="136">
        <v>0</v>
      </c>
      <c r="U237" s="138">
        <v>0</v>
      </c>
      <c r="V237" s="138">
        <v>0</v>
      </c>
      <c r="W237" s="138">
        <v>0</v>
      </c>
      <c r="X237" s="138">
        <v>0</v>
      </c>
      <c r="Y237" s="138">
        <v>0</v>
      </c>
      <c r="Z237" s="138">
        <v>0</v>
      </c>
      <c r="AA237" s="138">
        <v>0</v>
      </c>
      <c r="AB237" s="138">
        <v>0</v>
      </c>
      <c r="AC237" s="138">
        <v>0</v>
      </c>
      <c r="AD237" s="138">
        <v>0</v>
      </c>
      <c r="AE237" s="138">
        <v>0</v>
      </c>
      <c r="AF237" s="138">
        <v>0</v>
      </c>
      <c r="AG237" s="138">
        <v>0</v>
      </c>
      <c r="AH237" s="138">
        <v>0</v>
      </c>
      <c r="AI237" s="138">
        <v>0</v>
      </c>
      <c r="AJ237" s="138">
        <v>0</v>
      </c>
      <c r="AK237" s="138">
        <v>0</v>
      </c>
      <c r="AL237" s="75">
        <v>0</v>
      </c>
      <c r="AM237" s="75">
        <v>0</v>
      </c>
      <c r="AN237" s="75">
        <v>0</v>
      </c>
      <c r="AO237" s="75">
        <v>0</v>
      </c>
      <c r="AP237" s="75">
        <v>0</v>
      </c>
      <c r="AQ237" s="75">
        <v>0</v>
      </c>
      <c r="AR237" s="75">
        <v>0</v>
      </c>
      <c r="AS237" s="75">
        <v>0</v>
      </c>
      <c r="AT237" s="75">
        <v>0</v>
      </c>
      <c r="AU237" s="75">
        <v>0</v>
      </c>
      <c r="AV237" s="75">
        <v>0</v>
      </c>
      <c r="AW237" s="75">
        <v>0</v>
      </c>
      <c r="AX237" s="75">
        <v>0</v>
      </c>
      <c r="AY237" s="75">
        <v>0</v>
      </c>
      <c r="AZ237" s="75">
        <v>0</v>
      </c>
      <c r="BA237" s="75">
        <v>0</v>
      </c>
      <c r="BB237" s="75">
        <v>0</v>
      </c>
      <c r="BC237" s="75">
        <v>0</v>
      </c>
      <c r="BD237" s="75">
        <v>0</v>
      </c>
      <c r="BE237" s="75">
        <v>0</v>
      </c>
      <c r="BF237" s="75">
        <v>0</v>
      </c>
      <c r="BG237" s="75">
        <v>0</v>
      </c>
      <c r="BH237" s="141">
        <v>0</v>
      </c>
      <c r="BI237" s="141">
        <v>0</v>
      </c>
      <c r="BJ237" s="141">
        <v>0</v>
      </c>
      <c r="BK237" s="141">
        <v>0</v>
      </c>
      <c r="BL237" s="141">
        <v>0</v>
      </c>
      <c r="BM237" s="141">
        <v>0</v>
      </c>
      <c r="BN237" s="141">
        <v>0</v>
      </c>
      <c r="BO237" s="141">
        <v>0</v>
      </c>
      <c r="BP237" s="141">
        <v>0</v>
      </c>
      <c r="BQ237" s="141">
        <v>0</v>
      </c>
      <c r="BR237" s="141">
        <v>0</v>
      </c>
      <c r="BS237" s="141">
        <v>0</v>
      </c>
      <c r="BT237" s="141">
        <v>0</v>
      </c>
      <c r="BU237" s="141">
        <v>0</v>
      </c>
      <c r="BV237" s="141">
        <v>0</v>
      </c>
      <c r="BW237" s="141">
        <v>0</v>
      </c>
      <c r="BX237" s="141">
        <v>0</v>
      </c>
      <c r="BY237" s="141">
        <v>0</v>
      </c>
      <c r="BZ237" s="141">
        <v>0</v>
      </c>
      <c r="CA237" s="146">
        <v>0</v>
      </c>
      <c r="CB237" s="72">
        <v>0</v>
      </c>
      <c r="CC237" s="73">
        <v>0</v>
      </c>
      <c r="CD237" s="73">
        <v>0</v>
      </c>
      <c r="CE237" s="73">
        <v>0</v>
      </c>
      <c r="CF237" s="73">
        <v>0</v>
      </c>
      <c r="CG237" s="146">
        <v>0</v>
      </c>
      <c r="CH237" s="73">
        <v>0</v>
      </c>
      <c r="CI237" s="146">
        <v>0</v>
      </c>
      <c r="CJ237" s="146">
        <v>0</v>
      </c>
      <c r="CK237" s="146">
        <v>0</v>
      </c>
      <c r="CL237" s="73">
        <v>0</v>
      </c>
      <c r="CM237" s="73">
        <v>0</v>
      </c>
      <c r="CN237" s="73">
        <v>0</v>
      </c>
      <c r="CO237" s="73">
        <v>0</v>
      </c>
      <c r="CP237" s="146">
        <v>0</v>
      </c>
      <c r="CQ237" s="73">
        <v>0</v>
      </c>
      <c r="CR237" s="73">
        <v>0</v>
      </c>
      <c r="CS237" s="73">
        <v>0</v>
      </c>
    </row>
    <row r="238" spans="1:97" x14ac:dyDescent="0.25">
      <c r="A238" t="s">
        <v>464</v>
      </c>
      <c r="B238" s="136">
        <v>0</v>
      </c>
      <c r="C238" s="136">
        <v>0</v>
      </c>
      <c r="D238" s="148">
        <v>0</v>
      </c>
      <c r="E238" s="136">
        <v>0</v>
      </c>
      <c r="F238" s="148">
        <v>0</v>
      </c>
      <c r="G238" s="136">
        <v>0</v>
      </c>
      <c r="H238" s="136">
        <v>0</v>
      </c>
      <c r="I238" s="136">
        <v>0</v>
      </c>
      <c r="J238" s="136">
        <v>0</v>
      </c>
      <c r="K238" s="136">
        <v>0</v>
      </c>
      <c r="L238" s="136">
        <v>0</v>
      </c>
      <c r="M238" s="136">
        <v>0</v>
      </c>
      <c r="N238" s="136">
        <v>0</v>
      </c>
      <c r="O238" s="136">
        <v>0</v>
      </c>
      <c r="P238" s="148">
        <v>0</v>
      </c>
      <c r="Q238" s="148">
        <v>0</v>
      </c>
      <c r="R238" s="148">
        <v>0</v>
      </c>
      <c r="S238" s="136">
        <v>0</v>
      </c>
      <c r="T238" s="136">
        <v>0</v>
      </c>
      <c r="U238" s="138">
        <v>0</v>
      </c>
      <c r="V238" s="138">
        <v>0</v>
      </c>
      <c r="W238" s="138">
        <v>0</v>
      </c>
      <c r="X238" s="138">
        <v>0</v>
      </c>
      <c r="Y238" s="138">
        <v>0</v>
      </c>
      <c r="Z238" s="138">
        <v>0</v>
      </c>
      <c r="AA238" s="138">
        <v>0</v>
      </c>
      <c r="AB238" s="138">
        <v>0</v>
      </c>
      <c r="AC238" s="138">
        <v>0</v>
      </c>
      <c r="AD238" s="138">
        <v>0</v>
      </c>
      <c r="AE238" s="138">
        <v>0</v>
      </c>
      <c r="AF238" s="138">
        <v>0</v>
      </c>
      <c r="AG238" s="138">
        <v>0</v>
      </c>
      <c r="AH238" s="138">
        <v>0</v>
      </c>
      <c r="AI238" s="138">
        <v>0</v>
      </c>
      <c r="AJ238" s="138">
        <v>0</v>
      </c>
      <c r="AK238" s="138">
        <v>0</v>
      </c>
      <c r="AL238" s="75">
        <v>0</v>
      </c>
      <c r="AM238" s="75">
        <v>0</v>
      </c>
      <c r="AN238" s="75">
        <v>0</v>
      </c>
      <c r="AO238" s="75">
        <v>0</v>
      </c>
      <c r="AP238" s="75">
        <v>0</v>
      </c>
      <c r="AQ238" s="75">
        <v>0</v>
      </c>
      <c r="AR238" s="75">
        <v>0</v>
      </c>
      <c r="AS238" s="75">
        <v>0</v>
      </c>
      <c r="AT238" s="75">
        <v>0</v>
      </c>
      <c r="AU238" s="75">
        <v>0</v>
      </c>
      <c r="AV238" s="75">
        <v>0</v>
      </c>
      <c r="AW238" s="75">
        <v>0</v>
      </c>
      <c r="AX238" s="75">
        <v>0</v>
      </c>
      <c r="AY238" s="75">
        <v>0</v>
      </c>
      <c r="AZ238" s="75">
        <v>0</v>
      </c>
      <c r="BA238" s="75">
        <v>0</v>
      </c>
      <c r="BB238" s="75">
        <v>0</v>
      </c>
      <c r="BC238" s="75">
        <v>0</v>
      </c>
      <c r="BD238" s="75">
        <v>0</v>
      </c>
      <c r="BE238" s="75">
        <v>0</v>
      </c>
      <c r="BF238" s="75">
        <v>0</v>
      </c>
      <c r="BG238" s="75">
        <v>0</v>
      </c>
      <c r="BH238" s="141">
        <v>0</v>
      </c>
      <c r="BI238" s="141">
        <v>0</v>
      </c>
      <c r="BJ238" s="141">
        <v>0</v>
      </c>
      <c r="BK238" s="141">
        <v>0</v>
      </c>
      <c r="BL238" s="141">
        <v>0</v>
      </c>
      <c r="BM238" s="141">
        <v>0</v>
      </c>
      <c r="BN238" s="141">
        <v>0</v>
      </c>
      <c r="BO238" s="141">
        <v>0</v>
      </c>
      <c r="BP238" s="141">
        <v>0</v>
      </c>
      <c r="BQ238" s="141">
        <v>0</v>
      </c>
      <c r="BR238" s="141">
        <v>0</v>
      </c>
      <c r="BS238" s="141">
        <v>0</v>
      </c>
      <c r="BT238" s="141">
        <v>0</v>
      </c>
      <c r="BU238" s="141">
        <v>0</v>
      </c>
      <c r="BV238" s="141">
        <v>0</v>
      </c>
      <c r="BW238" s="141">
        <v>0</v>
      </c>
      <c r="BX238" s="141">
        <v>0</v>
      </c>
      <c r="BY238" s="141">
        <v>0</v>
      </c>
      <c r="BZ238" s="141">
        <v>0</v>
      </c>
      <c r="CA238" s="146">
        <v>0</v>
      </c>
      <c r="CB238" s="72">
        <v>0</v>
      </c>
      <c r="CC238" s="73">
        <v>0</v>
      </c>
      <c r="CD238" s="73">
        <v>0</v>
      </c>
      <c r="CE238" s="73">
        <v>0</v>
      </c>
      <c r="CF238" s="73">
        <v>0</v>
      </c>
      <c r="CG238" s="146">
        <v>0</v>
      </c>
      <c r="CH238" s="73">
        <v>0</v>
      </c>
      <c r="CI238" s="146">
        <v>0</v>
      </c>
      <c r="CJ238" s="146">
        <v>0</v>
      </c>
      <c r="CK238" s="146">
        <v>0</v>
      </c>
      <c r="CL238" s="73">
        <v>0</v>
      </c>
      <c r="CM238" s="73">
        <v>0</v>
      </c>
      <c r="CN238" s="73">
        <v>0</v>
      </c>
      <c r="CO238" s="73">
        <v>0</v>
      </c>
      <c r="CP238" s="146">
        <v>0</v>
      </c>
      <c r="CQ238" s="73">
        <v>0</v>
      </c>
      <c r="CR238" s="73">
        <v>0</v>
      </c>
      <c r="CS238" s="73">
        <v>0</v>
      </c>
    </row>
    <row r="239" spans="1:97" x14ac:dyDescent="0.25">
      <c r="A239" t="s">
        <v>465</v>
      </c>
      <c r="B239" s="136">
        <v>0</v>
      </c>
      <c r="C239" s="136">
        <v>0</v>
      </c>
      <c r="D239" s="148">
        <v>0</v>
      </c>
      <c r="E239" s="136">
        <v>0</v>
      </c>
      <c r="F239" s="148">
        <v>0</v>
      </c>
      <c r="G239" s="136">
        <v>0</v>
      </c>
      <c r="H239" s="136">
        <v>0</v>
      </c>
      <c r="I239" s="136">
        <v>0</v>
      </c>
      <c r="J239" s="136">
        <v>0</v>
      </c>
      <c r="K239" s="136">
        <v>0</v>
      </c>
      <c r="L239" s="136">
        <v>0</v>
      </c>
      <c r="M239" s="136">
        <v>0</v>
      </c>
      <c r="N239" s="136">
        <v>0</v>
      </c>
      <c r="O239" s="136">
        <v>0</v>
      </c>
      <c r="P239" s="148">
        <v>0</v>
      </c>
      <c r="Q239" s="148">
        <v>0</v>
      </c>
      <c r="R239" s="148">
        <v>0</v>
      </c>
      <c r="S239" s="136">
        <v>0</v>
      </c>
      <c r="T239" s="136">
        <v>0</v>
      </c>
      <c r="U239" s="138">
        <v>0</v>
      </c>
      <c r="V239" s="138">
        <v>0</v>
      </c>
      <c r="W239" s="138">
        <v>0</v>
      </c>
      <c r="X239" s="138">
        <v>0</v>
      </c>
      <c r="Y239" s="138">
        <v>0</v>
      </c>
      <c r="Z239" s="138">
        <v>0</v>
      </c>
      <c r="AA239" s="138">
        <v>0</v>
      </c>
      <c r="AB239" s="138">
        <v>0</v>
      </c>
      <c r="AC239" s="138">
        <v>0</v>
      </c>
      <c r="AD239" s="138">
        <v>0</v>
      </c>
      <c r="AE239" s="138">
        <v>0</v>
      </c>
      <c r="AF239" s="138">
        <v>0</v>
      </c>
      <c r="AG239" s="138">
        <v>0</v>
      </c>
      <c r="AH239" s="138">
        <v>0</v>
      </c>
      <c r="AI239" s="138">
        <v>0</v>
      </c>
      <c r="AJ239" s="138">
        <v>0</v>
      </c>
      <c r="AK239" s="138">
        <v>0</v>
      </c>
      <c r="AL239" s="75">
        <v>0</v>
      </c>
      <c r="AM239" s="75">
        <v>0</v>
      </c>
      <c r="AN239" s="75">
        <v>0</v>
      </c>
      <c r="AO239" s="75">
        <v>0</v>
      </c>
      <c r="AP239" s="75">
        <v>0</v>
      </c>
      <c r="AQ239" s="75">
        <v>0</v>
      </c>
      <c r="AR239" s="75">
        <v>0</v>
      </c>
      <c r="AS239" s="75">
        <v>0</v>
      </c>
      <c r="AT239" s="75">
        <v>0</v>
      </c>
      <c r="AU239" s="75">
        <v>0</v>
      </c>
      <c r="AV239" s="75">
        <v>0</v>
      </c>
      <c r="AW239" s="75">
        <v>0</v>
      </c>
      <c r="AX239" s="75">
        <v>0</v>
      </c>
      <c r="AY239" s="75">
        <v>0</v>
      </c>
      <c r="AZ239" s="75">
        <v>0</v>
      </c>
      <c r="BA239" s="75">
        <v>0</v>
      </c>
      <c r="BB239" s="75">
        <v>0</v>
      </c>
      <c r="BC239" s="75">
        <v>0</v>
      </c>
      <c r="BD239" s="75">
        <v>0</v>
      </c>
      <c r="BE239" s="75">
        <v>0</v>
      </c>
      <c r="BF239" s="75">
        <v>0</v>
      </c>
      <c r="BG239" s="75">
        <v>0</v>
      </c>
      <c r="BH239" s="141">
        <v>0</v>
      </c>
      <c r="BI239" s="141">
        <v>0</v>
      </c>
      <c r="BJ239" s="141">
        <v>0</v>
      </c>
      <c r="BK239" s="141">
        <v>0</v>
      </c>
      <c r="BL239" s="141">
        <v>0</v>
      </c>
      <c r="BM239" s="141">
        <v>0</v>
      </c>
      <c r="BN239" s="141">
        <v>0</v>
      </c>
      <c r="BO239" s="141">
        <v>0</v>
      </c>
      <c r="BP239" s="141">
        <v>0</v>
      </c>
      <c r="BQ239" s="141">
        <v>0</v>
      </c>
      <c r="BR239" s="141">
        <v>0</v>
      </c>
      <c r="BS239" s="141">
        <v>0</v>
      </c>
      <c r="BT239" s="141">
        <v>0</v>
      </c>
      <c r="BU239" s="141">
        <v>0</v>
      </c>
      <c r="BV239" s="141">
        <v>0</v>
      </c>
      <c r="BW239" s="141">
        <v>0</v>
      </c>
      <c r="BX239" s="141">
        <v>0</v>
      </c>
      <c r="BY239" s="141">
        <v>0</v>
      </c>
      <c r="BZ239" s="141">
        <v>0</v>
      </c>
      <c r="CA239" s="146">
        <v>0</v>
      </c>
      <c r="CB239" s="72">
        <v>0</v>
      </c>
      <c r="CC239" s="73">
        <v>0</v>
      </c>
      <c r="CD239" s="73">
        <v>0</v>
      </c>
      <c r="CE239" s="73">
        <v>0</v>
      </c>
      <c r="CF239" s="73">
        <v>0</v>
      </c>
      <c r="CG239" s="146">
        <v>0</v>
      </c>
      <c r="CH239" s="73">
        <v>0</v>
      </c>
      <c r="CI239" s="146">
        <v>0</v>
      </c>
      <c r="CJ239" s="146">
        <v>0</v>
      </c>
      <c r="CK239" s="146">
        <v>0</v>
      </c>
      <c r="CL239" s="73">
        <v>0</v>
      </c>
      <c r="CM239" s="73">
        <v>0</v>
      </c>
      <c r="CN239" s="73">
        <v>0</v>
      </c>
      <c r="CO239" s="73">
        <v>0</v>
      </c>
      <c r="CP239" s="146">
        <v>0</v>
      </c>
      <c r="CQ239" s="73">
        <v>0</v>
      </c>
      <c r="CR239" s="73">
        <v>0</v>
      </c>
      <c r="CS239" s="73">
        <v>0</v>
      </c>
    </row>
    <row r="240" spans="1:97" x14ac:dyDescent="0.25">
      <c r="A240" t="s">
        <v>425</v>
      </c>
      <c r="B240" s="51">
        <v>0</v>
      </c>
      <c r="C240" s="51">
        <v>0</v>
      </c>
      <c r="D240" s="51">
        <v>0</v>
      </c>
      <c r="E240" s="51">
        <v>0</v>
      </c>
      <c r="F240" s="51">
        <v>0</v>
      </c>
      <c r="G240" s="51">
        <v>0</v>
      </c>
      <c r="H240" s="51">
        <v>0</v>
      </c>
      <c r="I240" s="51">
        <v>0</v>
      </c>
      <c r="J240" s="51">
        <v>0</v>
      </c>
      <c r="K240" s="51">
        <v>0</v>
      </c>
      <c r="L240" s="51">
        <v>0</v>
      </c>
      <c r="M240" s="51">
        <v>0</v>
      </c>
      <c r="N240" s="51">
        <v>0</v>
      </c>
      <c r="O240" s="51">
        <v>0</v>
      </c>
      <c r="P240" s="51">
        <v>0</v>
      </c>
      <c r="Q240" s="51">
        <v>0</v>
      </c>
      <c r="R240" s="51">
        <v>0</v>
      </c>
      <c r="S240" s="51">
        <v>0</v>
      </c>
      <c r="T240" s="51">
        <v>0</v>
      </c>
      <c r="U240" s="67">
        <v>0</v>
      </c>
      <c r="V240" s="67">
        <v>0</v>
      </c>
      <c r="W240" s="67">
        <v>0</v>
      </c>
      <c r="X240" s="67">
        <v>0</v>
      </c>
      <c r="Y240" s="67">
        <v>0</v>
      </c>
      <c r="Z240" s="67">
        <v>0</v>
      </c>
      <c r="AA240" s="67">
        <v>0</v>
      </c>
      <c r="AB240" s="67">
        <v>0</v>
      </c>
      <c r="AC240" s="67">
        <v>0</v>
      </c>
      <c r="AD240" s="67">
        <v>0</v>
      </c>
      <c r="AE240" s="67">
        <v>0</v>
      </c>
      <c r="AF240" s="67">
        <v>0</v>
      </c>
      <c r="AG240" s="67">
        <v>0</v>
      </c>
      <c r="AH240" s="67">
        <v>0</v>
      </c>
      <c r="AI240" s="67">
        <v>0</v>
      </c>
      <c r="AJ240" s="67">
        <v>0</v>
      </c>
      <c r="AK240" s="67">
        <v>0</v>
      </c>
      <c r="AL240" s="68">
        <v>0</v>
      </c>
      <c r="AM240" s="68">
        <v>0</v>
      </c>
      <c r="AN240" s="68">
        <v>0</v>
      </c>
      <c r="AO240" s="68">
        <v>0</v>
      </c>
      <c r="AP240" s="68">
        <v>0</v>
      </c>
      <c r="AQ240" s="68">
        <v>0</v>
      </c>
      <c r="AR240" s="68">
        <f>6%+(char4Refine-1)*2%</f>
        <v>0.06</v>
      </c>
      <c r="AS240" s="68">
        <v>0</v>
      </c>
      <c r="AT240" s="68">
        <v>0</v>
      </c>
      <c r="AU240" s="68">
        <v>0</v>
      </c>
      <c r="AV240" s="68">
        <v>0</v>
      </c>
      <c r="AW240" s="68">
        <v>0</v>
      </c>
      <c r="AX240" s="68">
        <v>0</v>
      </c>
      <c r="AY240" s="68">
        <v>0</v>
      </c>
      <c r="AZ240" s="68">
        <v>0</v>
      </c>
      <c r="BA240" s="68">
        <v>0</v>
      </c>
      <c r="BB240" s="68">
        <v>0</v>
      </c>
      <c r="BC240" s="68">
        <v>0</v>
      </c>
      <c r="BD240" s="68">
        <v>0</v>
      </c>
      <c r="BE240" s="68">
        <v>0</v>
      </c>
      <c r="BF240" s="68">
        <v>0</v>
      </c>
      <c r="BG240" s="68">
        <v>0</v>
      </c>
      <c r="BH240" s="70">
        <v>0</v>
      </c>
      <c r="BI240" s="70">
        <v>0</v>
      </c>
      <c r="BJ240" s="70">
        <v>0</v>
      </c>
      <c r="BK240" s="70">
        <v>0</v>
      </c>
      <c r="BL240" s="70">
        <v>0</v>
      </c>
      <c r="BM240" s="70">
        <v>0</v>
      </c>
      <c r="BN240" s="70">
        <v>0</v>
      </c>
      <c r="BO240" s="70">
        <v>0</v>
      </c>
      <c r="BP240" s="70">
        <v>0</v>
      </c>
      <c r="BQ240" s="70">
        <v>0</v>
      </c>
      <c r="BR240" s="70">
        <v>0</v>
      </c>
      <c r="BS240" s="70">
        <v>0</v>
      </c>
      <c r="BT240" s="70">
        <v>0</v>
      </c>
      <c r="BU240" s="70">
        <v>0</v>
      </c>
      <c r="BV240" s="70">
        <v>0</v>
      </c>
      <c r="BW240" s="70">
        <v>0</v>
      </c>
      <c r="BX240" s="70">
        <v>0</v>
      </c>
      <c r="BY240" s="70">
        <v>0</v>
      </c>
      <c r="BZ240" s="70">
        <v>0</v>
      </c>
      <c r="CA240" s="74">
        <v>0</v>
      </c>
      <c r="CB240" s="74">
        <v>0</v>
      </c>
      <c r="CC240" s="74">
        <v>0</v>
      </c>
      <c r="CD240" s="74">
        <v>0</v>
      </c>
      <c r="CE240" s="74">
        <v>0</v>
      </c>
      <c r="CF240" s="74">
        <v>0</v>
      </c>
      <c r="CG240" s="74">
        <v>0</v>
      </c>
      <c r="CH240" s="74">
        <v>0</v>
      </c>
      <c r="CI240" s="74">
        <v>0</v>
      </c>
      <c r="CJ240" s="74">
        <v>0</v>
      </c>
      <c r="CK240" s="74">
        <v>0</v>
      </c>
      <c r="CL240" s="74">
        <v>0</v>
      </c>
      <c r="CM240" s="74">
        <v>0</v>
      </c>
      <c r="CN240" s="74">
        <v>0</v>
      </c>
      <c r="CO240" s="74">
        <v>0</v>
      </c>
      <c r="CP240" s="74">
        <v>0</v>
      </c>
      <c r="CQ240" s="74">
        <v>0</v>
      </c>
      <c r="CR240" s="74">
        <v>0</v>
      </c>
      <c r="CS240" s="74">
        <v>0</v>
      </c>
    </row>
    <row r="241" spans="1:97" x14ac:dyDescent="0.25">
      <c r="A241" t="s">
        <v>424</v>
      </c>
      <c r="B241" s="51">
        <v>0</v>
      </c>
      <c r="C241" s="51">
        <v>0</v>
      </c>
      <c r="D241" s="51">
        <v>0</v>
      </c>
      <c r="E241" s="51">
        <v>0</v>
      </c>
      <c r="F241" s="51">
        <v>0</v>
      </c>
      <c r="G241" s="51">
        <v>0</v>
      </c>
      <c r="H241" s="51">
        <v>0</v>
      </c>
      <c r="I241" s="51">
        <v>0</v>
      </c>
      <c r="J241" s="51">
        <v>0</v>
      </c>
      <c r="K241" s="51">
        <v>0</v>
      </c>
      <c r="L241" s="51">
        <v>0</v>
      </c>
      <c r="M241" s="51">
        <v>0</v>
      </c>
      <c r="N241" s="51">
        <v>0</v>
      </c>
      <c r="O241" s="51">
        <v>0</v>
      </c>
      <c r="P241" s="51">
        <v>0</v>
      </c>
      <c r="Q241" s="51">
        <v>0</v>
      </c>
      <c r="R241" s="51">
        <v>0</v>
      </c>
      <c r="S241" s="51">
        <v>0</v>
      </c>
      <c r="T241" s="51">
        <v>0</v>
      </c>
      <c r="U241" s="67">
        <v>0</v>
      </c>
      <c r="V241" s="67">
        <v>0</v>
      </c>
      <c r="W241" s="67">
        <v>0</v>
      </c>
      <c r="X241" s="67">
        <v>0</v>
      </c>
      <c r="Y241" s="67">
        <v>0</v>
      </c>
      <c r="Z241" s="67">
        <f>6%+(char4Refine-1)*1.5%</f>
        <v>0.06</v>
      </c>
      <c r="AA241" s="67">
        <v>0</v>
      </c>
      <c r="AB241" s="67">
        <v>0</v>
      </c>
      <c r="AC241" s="67">
        <v>0</v>
      </c>
      <c r="AD241" s="67">
        <v>0</v>
      </c>
      <c r="AE241" s="67">
        <v>0</v>
      </c>
      <c r="AF241" s="67">
        <v>0</v>
      </c>
      <c r="AG241" s="67">
        <v>0</v>
      </c>
      <c r="AH241" s="67">
        <v>0</v>
      </c>
      <c r="AI241" s="67">
        <v>0</v>
      </c>
      <c r="AJ241" s="67">
        <v>0</v>
      </c>
      <c r="AK241" s="67">
        <v>0</v>
      </c>
      <c r="AL241" s="68">
        <v>0</v>
      </c>
      <c r="AM241" s="68">
        <v>0</v>
      </c>
      <c r="AN241" s="68">
        <v>0</v>
      </c>
      <c r="AO241" s="68">
        <v>0</v>
      </c>
      <c r="AP241" s="68">
        <v>0</v>
      </c>
      <c r="AQ241" s="68">
        <v>0</v>
      </c>
      <c r="AR241" s="68">
        <v>0</v>
      </c>
      <c r="AS241" s="68">
        <v>0</v>
      </c>
      <c r="AT241" s="68">
        <v>0</v>
      </c>
      <c r="AU241" s="68">
        <v>0</v>
      </c>
      <c r="AV241" s="68">
        <v>0</v>
      </c>
      <c r="AW241" s="68">
        <v>0</v>
      </c>
      <c r="AX241" s="68">
        <v>0</v>
      </c>
      <c r="AY241" s="68">
        <v>0</v>
      </c>
      <c r="AZ241" s="68">
        <v>0</v>
      </c>
      <c r="BA241" s="68">
        <v>0</v>
      </c>
      <c r="BB241" s="68">
        <v>0</v>
      </c>
      <c r="BC241" s="68">
        <v>0</v>
      </c>
      <c r="BD241" s="68">
        <v>0</v>
      </c>
      <c r="BE241" s="68">
        <v>0</v>
      </c>
      <c r="BF241" s="68">
        <v>0</v>
      </c>
      <c r="BG241" s="68">
        <v>0</v>
      </c>
      <c r="BH241" s="70">
        <v>0</v>
      </c>
      <c r="BI241" s="70">
        <v>0</v>
      </c>
      <c r="BJ241" s="70">
        <v>0</v>
      </c>
      <c r="BK241" s="70">
        <v>0</v>
      </c>
      <c r="BL241" s="70">
        <v>0</v>
      </c>
      <c r="BM241" s="70">
        <v>0</v>
      </c>
      <c r="BN241" s="70">
        <v>0</v>
      </c>
      <c r="BO241" s="70">
        <v>0</v>
      </c>
      <c r="BP241" s="70">
        <v>0</v>
      </c>
      <c r="BQ241" s="70">
        <v>0</v>
      </c>
      <c r="BR241" s="70">
        <v>0</v>
      </c>
      <c r="BS241" s="70">
        <v>0</v>
      </c>
      <c r="BT241" s="70">
        <v>0</v>
      </c>
      <c r="BU241" s="70">
        <v>0</v>
      </c>
      <c r="BV241" s="70">
        <v>0</v>
      </c>
      <c r="BW241" s="70">
        <v>0</v>
      </c>
      <c r="BX241" s="70">
        <v>0</v>
      </c>
      <c r="BY241" s="70">
        <v>0</v>
      </c>
      <c r="BZ241" s="70">
        <v>0</v>
      </c>
      <c r="CA241" s="74">
        <v>0</v>
      </c>
      <c r="CB241" s="74">
        <v>0</v>
      </c>
      <c r="CC241" s="74">
        <v>0</v>
      </c>
      <c r="CD241" s="74">
        <v>0</v>
      </c>
      <c r="CE241" s="74">
        <v>0</v>
      </c>
      <c r="CF241" s="74">
        <v>0</v>
      </c>
      <c r="CG241" s="74">
        <v>0</v>
      </c>
      <c r="CH241" s="74">
        <v>0</v>
      </c>
      <c r="CI241" s="74">
        <v>0</v>
      </c>
      <c r="CJ241" s="74">
        <v>0</v>
      </c>
      <c r="CK241" s="74">
        <v>0</v>
      </c>
      <c r="CL241" s="74">
        <v>0</v>
      </c>
      <c r="CM241" s="74">
        <v>0</v>
      </c>
      <c r="CN241" s="74">
        <v>0</v>
      </c>
      <c r="CO241" s="74">
        <v>0</v>
      </c>
      <c r="CP241" s="74">
        <v>0</v>
      </c>
      <c r="CQ241" s="74">
        <v>0</v>
      </c>
      <c r="CR241" s="74">
        <v>0</v>
      </c>
      <c r="CS241" s="74">
        <v>0</v>
      </c>
    </row>
    <row r="242" spans="1:97" x14ac:dyDescent="0.25">
      <c r="A242" t="s">
        <v>426</v>
      </c>
      <c r="B242" s="51">
        <v>0</v>
      </c>
      <c r="C242" s="51">
        <v>0</v>
      </c>
      <c r="D242" s="51">
        <v>0</v>
      </c>
      <c r="E242" s="51">
        <v>0</v>
      </c>
      <c r="F242" s="51">
        <v>0</v>
      </c>
      <c r="G242" s="51">
        <v>0</v>
      </c>
      <c r="H242" s="51">
        <v>0</v>
      </c>
      <c r="I242" s="51">
        <v>0</v>
      </c>
      <c r="J242" s="51">
        <v>0</v>
      </c>
      <c r="K242" s="51">
        <v>0</v>
      </c>
      <c r="L242" s="51">
        <v>0</v>
      </c>
      <c r="M242" s="51">
        <v>0</v>
      </c>
      <c r="N242" s="51">
        <v>0</v>
      </c>
      <c r="O242" s="51">
        <v>0</v>
      </c>
      <c r="P242" s="51">
        <v>0</v>
      </c>
      <c r="Q242" s="51">
        <v>0</v>
      </c>
      <c r="R242" s="51">
        <v>0</v>
      </c>
      <c r="S242" s="51">
        <v>0</v>
      </c>
      <c r="T242" s="51">
        <v>0</v>
      </c>
      <c r="U242" s="67">
        <v>0</v>
      </c>
      <c r="V242" s="67">
        <v>0</v>
      </c>
      <c r="W242" s="67">
        <v>0</v>
      </c>
      <c r="X242" s="67">
        <v>0</v>
      </c>
      <c r="Y242" s="67">
        <v>0</v>
      </c>
      <c r="Z242" s="67">
        <v>0</v>
      </c>
      <c r="AA242" s="67">
        <v>0</v>
      </c>
      <c r="AB242" s="67">
        <v>0</v>
      </c>
      <c r="AC242" s="67">
        <v>0</v>
      </c>
      <c r="AD242" s="67">
        <v>0</v>
      </c>
      <c r="AE242" s="67">
        <v>0</v>
      </c>
      <c r="AF242" s="67">
        <v>0</v>
      </c>
      <c r="AG242" s="67">
        <v>0</v>
      </c>
      <c r="AH242" s="67">
        <v>0</v>
      </c>
      <c r="AI242" s="67">
        <v>0</v>
      </c>
      <c r="AJ242" s="67">
        <v>0</v>
      </c>
      <c r="AK242" s="67">
        <v>0</v>
      </c>
      <c r="AL242" s="68">
        <v>0</v>
      </c>
      <c r="AM242" s="68">
        <v>0</v>
      </c>
      <c r="AN242" s="68">
        <v>0</v>
      </c>
      <c r="AO242" s="68">
        <v>0</v>
      </c>
      <c r="AP242" s="68">
        <v>0</v>
      </c>
      <c r="AQ242" s="68">
        <v>0</v>
      </c>
      <c r="AR242" s="68">
        <v>0</v>
      </c>
      <c r="AS242" s="68">
        <v>0</v>
      </c>
      <c r="AT242" s="68">
        <v>0</v>
      </c>
      <c r="AU242" s="68">
        <v>0</v>
      </c>
      <c r="AV242" s="68">
        <v>0</v>
      </c>
      <c r="AW242" s="68">
        <v>0</v>
      </c>
      <c r="AX242" s="68">
        <v>0</v>
      </c>
      <c r="AY242" s="68">
        <v>0</v>
      </c>
      <c r="AZ242" s="68">
        <v>0</v>
      </c>
      <c r="BA242" s="68">
        <v>0</v>
      </c>
      <c r="BB242" s="68">
        <v>0</v>
      </c>
      <c r="BC242" s="68">
        <v>0</v>
      </c>
      <c r="BD242" s="68">
        <v>0</v>
      </c>
      <c r="BE242" s="68">
        <v>0</v>
      </c>
      <c r="BF242" s="68">
        <v>0</v>
      </c>
      <c r="BG242" s="68">
        <v>0</v>
      </c>
      <c r="BH242" s="70">
        <v>0</v>
      </c>
      <c r="BI242" s="70">
        <v>0</v>
      </c>
      <c r="BJ242" s="70">
        <v>0</v>
      </c>
      <c r="BK242" s="70">
        <v>0</v>
      </c>
      <c r="BL242" s="70">
        <v>0</v>
      </c>
      <c r="BM242" s="70">
        <v>0</v>
      </c>
      <c r="BN242" s="70">
        <v>0</v>
      </c>
      <c r="BO242" s="70">
        <v>0</v>
      </c>
      <c r="BP242" s="70">
        <v>0</v>
      </c>
      <c r="BQ242" s="70">
        <v>0</v>
      </c>
      <c r="BR242" s="70">
        <v>0</v>
      </c>
      <c r="BS242" s="70">
        <v>0</v>
      </c>
      <c r="BT242" s="70">
        <v>0</v>
      </c>
      <c r="BU242" s="70">
        <v>0</v>
      </c>
      <c r="BV242" s="70">
        <v>0</v>
      </c>
      <c r="BW242" s="70">
        <v>0</v>
      </c>
      <c r="BX242" s="70">
        <v>0</v>
      </c>
      <c r="BY242" s="70">
        <v>0</v>
      </c>
      <c r="BZ242" s="70">
        <v>0</v>
      </c>
      <c r="CA242" s="74">
        <v>0</v>
      </c>
      <c r="CB242" s="74">
        <v>0</v>
      </c>
      <c r="CC242" s="74">
        <v>0</v>
      </c>
      <c r="CD242" s="74">
        <v>0</v>
      </c>
      <c r="CE242" s="74">
        <v>0</v>
      </c>
      <c r="CF242" s="74">
        <v>0</v>
      </c>
      <c r="CG242" s="74">
        <v>0</v>
      </c>
      <c r="CH242" s="74">
        <v>0</v>
      </c>
      <c r="CI242" s="74">
        <v>0</v>
      </c>
      <c r="CJ242" s="74">
        <v>0</v>
      </c>
      <c r="CK242" s="74">
        <v>0</v>
      </c>
      <c r="CL242" s="74">
        <v>0</v>
      </c>
      <c r="CM242" s="74">
        <v>0</v>
      </c>
      <c r="CN242" s="74">
        <v>0</v>
      </c>
      <c r="CO242" s="74">
        <v>0</v>
      </c>
      <c r="CP242" s="74">
        <v>0</v>
      </c>
      <c r="CQ242" s="74">
        <v>0</v>
      </c>
      <c r="CR242" s="74">
        <v>0</v>
      </c>
      <c r="CS242" s="74">
        <v>0</v>
      </c>
    </row>
    <row r="243" spans="1:97" x14ac:dyDescent="0.25">
      <c r="A243" t="s">
        <v>438</v>
      </c>
      <c r="B243" s="51">
        <v>0</v>
      </c>
      <c r="C243" s="51">
        <v>0</v>
      </c>
      <c r="D243" s="51">
        <v>0</v>
      </c>
      <c r="E243" s="51">
        <v>0</v>
      </c>
      <c r="F243" s="51">
        <v>0</v>
      </c>
      <c r="G243" s="51">
        <v>0</v>
      </c>
      <c r="H243" s="51">
        <v>0</v>
      </c>
      <c r="I243" s="51">
        <v>0</v>
      </c>
      <c r="J243" s="51">
        <v>0</v>
      </c>
      <c r="K243" s="51">
        <v>0</v>
      </c>
      <c r="L243" s="51">
        <v>0</v>
      </c>
      <c r="M243" s="51">
        <v>0</v>
      </c>
      <c r="N243" s="51">
        <v>0</v>
      </c>
      <c r="O243" s="51">
        <v>0</v>
      </c>
      <c r="P243" s="51">
        <v>0</v>
      </c>
      <c r="Q243" s="51">
        <v>0</v>
      </c>
      <c r="R243" s="51">
        <v>0</v>
      </c>
      <c r="S243" s="51">
        <v>0</v>
      </c>
      <c r="T243" s="51">
        <v>0</v>
      </c>
      <c r="U243" s="67">
        <v>0</v>
      </c>
      <c r="V243" s="67">
        <v>0</v>
      </c>
      <c r="W243" s="67">
        <v>0</v>
      </c>
      <c r="X243" s="67">
        <v>0</v>
      </c>
      <c r="Y243" s="67">
        <v>0</v>
      </c>
      <c r="Z243" s="67">
        <v>0</v>
      </c>
      <c r="AA243" s="67">
        <v>0</v>
      </c>
      <c r="AB243" s="67">
        <v>0</v>
      </c>
      <c r="AC243" s="67">
        <v>0</v>
      </c>
      <c r="AD243" s="67">
        <v>0</v>
      </c>
      <c r="AE243" s="67">
        <v>0</v>
      </c>
      <c r="AF243" s="67">
        <v>0</v>
      </c>
      <c r="AG243" s="67">
        <v>0</v>
      </c>
      <c r="AH243" s="67">
        <v>0</v>
      </c>
      <c r="AI243" s="67">
        <v>0</v>
      </c>
      <c r="AJ243" s="67">
        <v>0</v>
      </c>
      <c r="AK243" s="67">
        <v>0</v>
      </c>
      <c r="AL243" s="68">
        <v>0</v>
      </c>
      <c r="AM243" s="68">
        <v>0</v>
      </c>
      <c r="AN243" s="68">
        <v>0</v>
      </c>
      <c r="AO243" s="68">
        <v>0</v>
      </c>
      <c r="AP243" s="68">
        <v>0</v>
      </c>
      <c r="AQ243" s="68">
        <v>0</v>
      </c>
      <c r="AR243" s="68">
        <v>0</v>
      </c>
      <c r="AS243" s="68">
        <v>0</v>
      </c>
      <c r="AT243" s="68">
        <v>0</v>
      </c>
      <c r="AU243" s="68">
        <v>0</v>
      </c>
      <c r="AV243" s="68">
        <v>0</v>
      </c>
      <c r="AW243" s="68">
        <v>0</v>
      </c>
      <c r="AX243" s="68">
        <v>0</v>
      </c>
      <c r="AY243" s="68">
        <v>0</v>
      </c>
      <c r="AZ243" s="68">
        <v>0</v>
      </c>
      <c r="BA243" s="68">
        <v>0</v>
      </c>
      <c r="BB243" s="68">
        <v>0</v>
      </c>
      <c r="BC243" s="68">
        <v>0</v>
      </c>
      <c r="BD243" s="68">
        <v>0</v>
      </c>
      <c r="BE243" s="68">
        <v>0</v>
      </c>
      <c r="BF243" s="68">
        <v>0</v>
      </c>
      <c r="BG243" s="68">
        <v>0</v>
      </c>
      <c r="BH243" s="70">
        <v>0</v>
      </c>
      <c r="BI243" s="70">
        <v>0</v>
      </c>
      <c r="BJ243" s="70">
        <v>0</v>
      </c>
      <c r="BK243" s="70">
        <v>0</v>
      </c>
      <c r="BL243" s="70">
        <v>0</v>
      </c>
      <c r="BM243" s="70">
        <v>0</v>
      </c>
      <c r="BN243" s="70">
        <v>0</v>
      </c>
      <c r="BO243" s="70">
        <v>0</v>
      </c>
      <c r="BP243" s="70">
        <v>0</v>
      </c>
      <c r="BQ243" s="70">
        <v>0</v>
      </c>
      <c r="BR243" s="70">
        <v>0</v>
      </c>
      <c r="BS243" s="70">
        <v>0</v>
      </c>
      <c r="BT243" s="70">
        <v>0</v>
      </c>
      <c r="BU243" s="70">
        <v>0</v>
      </c>
      <c r="BV243" s="70">
        <v>0</v>
      </c>
      <c r="BW243" s="70">
        <v>0</v>
      </c>
      <c r="BX243" s="70">
        <v>0</v>
      </c>
      <c r="BY243" s="70">
        <v>0</v>
      </c>
      <c r="BZ243" s="70">
        <v>0</v>
      </c>
      <c r="CA243" s="74">
        <v>0</v>
      </c>
      <c r="CB243" s="74">
        <v>0</v>
      </c>
      <c r="CC243" s="74">
        <v>0</v>
      </c>
      <c r="CD243" s="74">
        <v>0</v>
      </c>
      <c r="CE243" s="74">
        <v>0</v>
      </c>
      <c r="CF243" s="74">
        <v>0</v>
      </c>
      <c r="CG243" s="74">
        <v>0</v>
      </c>
      <c r="CH243" s="74">
        <v>0</v>
      </c>
      <c r="CI243" s="74">
        <v>0</v>
      </c>
      <c r="CJ243" s="74">
        <v>0</v>
      </c>
      <c r="CK243" s="74">
        <v>0</v>
      </c>
      <c r="CL243" s="74">
        <v>0</v>
      </c>
      <c r="CM243" s="74">
        <v>0</v>
      </c>
      <c r="CN243" s="74">
        <v>0</v>
      </c>
      <c r="CO243" s="74">
        <v>0</v>
      </c>
      <c r="CP243" s="74">
        <v>0</v>
      </c>
      <c r="CQ243" s="74">
        <v>0</v>
      </c>
      <c r="CR243" s="74">
        <v>0</v>
      </c>
      <c r="CS243" s="74">
        <v>0</v>
      </c>
    </row>
    <row r="244" spans="1:97" x14ac:dyDescent="0.25">
      <c r="A244" s="46" t="s">
        <v>62</v>
      </c>
      <c r="B244" s="134">
        <v>0</v>
      </c>
      <c r="C244" s="134">
        <v>0</v>
      </c>
      <c r="D244" s="203">
        <v>0</v>
      </c>
      <c r="E244" s="134">
        <v>0</v>
      </c>
      <c r="F244" s="203">
        <v>0</v>
      </c>
      <c r="G244" s="134">
        <v>0</v>
      </c>
      <c r="H244" s="134">
        <v>0</v>
      </c>
      <c r="I244" s="134">
        <v>0</v>
      </c>
      <c r="J244" s="134">
        <v>0</v>
      </c>
      <c r="K244" s="134">
        <v>0</v>
      </c>
      <c r="L244" s="134">
        <v>0</v>
      </c>
      <c r="M244" s="134">
        <v>0</v>
      </c>
      <c r="N244" s="134">
        <v>0</v>
      </c>
      <c r="O244" s="134">
        <v>0</v>
      </c>
      <c r="P244" s="203">
        <v>0</v>
      </c>
      <c r="Q244" s="203">
        <v>0</v>
      </c>
      <c r="R244" s="203">
        <v>0</v>
      </c>
      <c r="S244" s="134">
        <v>0</v>
      </c>
      <c r="T244" s="134">
        <v>0</v>
      </c>
      <c r="U244" s="139">
        <v>0</v>
      </c>
      <c r="V244" s="139">
        <v>0</v>
      </c>
      <c r="W244" s="139">
        <v>0</v>
      </c>
      <c r="X244" s="139">
        <v>0</v>
      </c>
      <c r="Y244" s="139">
        <f>IF(char4WeapToggle,(char4FinalHP*(0.008+(char4Refine-1)*0.002))+(char4FinalHP*(0.01+(char4Refine-1)*0.002)),(char4FinalHP*(0.008+(char4Refine-1)*0.002)))</f>
        <v>283.42203839999996</v>
      </c>
      <c r="Z244" s="139">
        <v>0</v>
      </c>
      <c r="AA244" s="139">
        <v>0</v>
      </c>
      <c r="AB244" s="139">
        <v>0</v>
      </c>
      <c r="AC244" s="139">
        <v>0</v>
      </c>
      <c r="AD244" s="139">
        <v>0</v>
      </c>
      <c r="AE244" s="139">
        <v>0</v>
      </c>
      <c r="AF244" s="139">
        <v>0</v>
      </c>
      <c r="AG244" s="139">
        <v>0</v>
      </c>
      <c r="AH244" s="139">
        <v>0</v>
      </c>
      <c r="AI244" s="139">
        <v>0</v>
      </c>
      <c r="AJ244" s="139">
        <v>0</v>
      </c>
      <c r="AK244" s="139">
        <v>0</v>
      </c>
      <c r="AL244" s="140">
        <f>((1.2+(char4Refine-1)*0.3)/100)*char4FinalHP</f>
        <v>188.94802559999999</v>
      </c>
      <c r="AM244" s="140">
        <v>0</v>
      </c>
      <c r="AN244" s="140">
        <v>0</v>
      </c>
      <c r="AO244" s="140">
        <v>0</v>
      </c>
      <c r="AP244" s="140">
        <v>0</v>
      </c>
      <c r="AQ244" s="140">
        <v>0</v>
      </c>
      <c r="AR244" s="140">
        <v>0</v>
      </c>
      <c r="AS244" s="140">
        <v>0</v>
      </c>
      <c r="AT244" s="140">
        <v>0</v>
      </c>
      <c r="AU244" s="140">
        <v>0</v>
      </c>
      <c r="AV244" s="140">
        <v>0</v>
      </c>
      <c r="AW244" s="140">
        <v>0</v>
      </c>
      <c r="AX244" s="140">
        <v>0</v>
      </c>
      <c r="AY244" s="140">
        <v>0</v>
      </c>
      <c r="AZ244" s="140">
        <v>0</v>
      </c>
      <c r="BA244" s="140">
        <v>0</v>
      </c>
      <c r="BB244" s="140">
        <v>0</v>
      </c>
      <c r="BC244" s="140">
        <v>0</v>
      </c>
      <c r="BD244" s="140">
        <v>0</v>
      </c>
      <c r="BE244" s="140">
        <v>0</v>
      </c>
      <c r="BF244" s="140">
        <v>0</v>
      </c>
      <c r="BG244" s="140">
        <v>0</v>
      </c>
      <c r="BH244" s="142">
        <v>0</v>
      </c>
      <c r="BI244" s="142">
        <v>0</v>
      </c>
      <c r="BJ244" s="142">
        <v>0</v>
      </c>
      <c r="BK244" s="142">
        <v>0</v>
      </c>
      <c r="BL244" s="142">
        <v>0</v>
      </c>
      <c r="BM244" s="142">
        <v>0</v>
      </c>
      <c r="BN244" s="142">
        <v>0</v>
      </c>
      <c r="BO244" s="142">
        <v>0</v>
      </c>
      <c r="BP244" s="142">
        <v>0</v>
      </c>
      <c r="BQ244" s="142">
        <v>0</v>
      </c>
      <c r="BR244" s="142">
        <v>0</v>
      </c>
      <c r="BS244" s="142">
        <v>0</v>
      </c>
      <c r="BT244" s="142">
        <v>0</v>
      </c>
      <c r="BU244" s="142">
        <v>0</v>
      </c>
      <c r="BV244" s="142">
        <v>0</v>
      </c>
      <c r="BW244" s="142">
        <v>0</v>
      </c>
      <c r="BX244" s="142">
        <v>0</v>
      </c>
      <c r="BY244" s="142">
        <v>0</v>
      </c>
      <c r="BZ244" s="142">
        <v>0</v>
      </c>
      <c r="CA244" s="144">
        <v>0</v>
      </c>
      <c r="CB244" s="79">
        <v>0</v>
      </c>
      <c r="CC244" s="144">
        <v>0</v>
      </c>
      <c r="CD244" s="144">
        <v>0</v>
      </c>
      <c r="CE244" s="144">
        <v>0</v>
      </c>
      <c r="CF244" s="144">
        <v>0</v>
      </c>
      <c r="CG244" s="144">
        <v>0</v>
      </c>
      <c r="CH244" s="154">
        <v>0</v>
      </c>
      <c r="CI244" s="144">
        <v>0</v>
      </c>
      <c r="CJ244" s="144">
        <v>0</v>
      </c>
      <c r="CK244" s="144">
        <v>0</v>
      </c>
      <c r="CL244" s="144">
        <v>0</v>
      </c>
      <c r="CM244" s="144">
        <v>0</v>
      </c>
      <c r="CN244" s="154">
        <v>0</v>
      </c>
      <c r="CO244" s="144">
        <v>0</v>
      </c>
      <c r="CP244" s="144">
        <v>0</v>
      </c>
      <c r="CQ244" s="144">
        <v>0</v>
      </c>
      <c r="CR244" s="144">
        <v>0</v>
      </c>
      <c r="CS244" s="154">
        <v>0</v>
      </c>
    </row>
    <row r="245" spans="1:97" x14ac:dyDescent="0.25">
      <c r="A245" s="46" t="s">
        <v>64</v>
      </c>
      <c r="B245" s="134">
        <v>0</v>
      </c>
      <c r="C245" s="134">
        <v>0</v>
      </c>
      <c r="D245" s="203">
        <v>0</v>
      </c>
      <c r="E245" s="134">
        <v>0</v>
      </c>
      <c r="F245" s="203">
        <v>0</v>
      </c>
      <c r="G245" s="134">
        <v>0</v>
      </c>
      <c r="H245" s="134">
        <v>0</v>
      </c>
      <c r="I245" s="134">
        <v>0</v>
      </c>
      <c r="J245" s="134">
        <v>0</v>
      </c>
      <c r="K245" s="134">
        <v>0</v>
      </c>
      <c r="L245" s="134">
        <v>0</v>
      </c>
      <c r="M245" s="134">
        <v>0</v>
      </c>
      <c r="N245" s="134">
        <v>0</v>
      </c>
      <c r="O245" s="134">
        <v>0</v>
      </c>
      <c r="P245" s="203">
        <v>0</v>
      </c>
      <c r="Q245" s="203">
        <v>0</v>
      </c>
      <c r="R245" s="203">
        <v>0</v>
      </c>
      <c r="S245" s="134">
        <v>0</v>
      </c>
      <c r="T245" s="134">
        <v>0</v>
      </c>
      <c r="U245" s="139">
        <v>0</v>
      </c>
      <c r="V245" s="139">
        <v>0</v>
      </c>
      <c r="W245" s="139">
        <v>0</v>
      </c>
      <c r="X245" s="139">
        <v>0</v>
      </c>
      <c r="Y245" s="139">
        <v>0</v>
      </c>
      <c r="Z245" s="139">
        <v>0</v>
      </c>
      <c r="AA245" s="139">
        <v>0</v>
      </c>
      <c r="AB245" s="139">
        <v>0</v>
      </c>
      <c r="AC245" s="139">
        <v>0</v>
      </c>
      <c r="AD245" s="139">
        <v>0</v>
      </c>
      <c r="AE245" s="139">
        <v>0</v>
      </c>
      <c r="AF245" s="139">
        <v>0</v>
      </c>
      <c r="AG245" s="139">
        <v>0</v>
      </c>
      <c r="AH245" s="139">
        <v>0</v>
      </c>
      <c r="AI245" s="139">
        <v>0</v>
      </c>
      <c r="AJ245" s="139">
        <v>0</v>
      </c>
      <c r="AK245" s="139">
        <v>0</v>
      </c>
      <c r="AL245" s="140">
        <v>0</v>
      </c>
      <c r="AM245" s="140">
        <v>0</v>
      </c>
      <c r="AN245" s="140">
        <v>0</v>
      </c>
      <c r="AO245" s="140">
        <v>0</v>
      </c>
      <c r="AP245" s="140">
        <v>0</v>
      </c>
      <c r="AQ245" s="140">
        <v>0</v>
      </c>
      <c r="AR245" s="140">
        <v>0</v>
      </c>
      <c r="AS245" s="140">
        <v>0</v>
      </c>
      <c r="AT245" s="140">
        <v>0</v>
      </c>
      <c r="AU245" s="140">
        <v>0</v>
      </c>
      <c r="AV245" s="140">
        <v>0</v>
      </c>
      <c r="AW245" s="140">
        <v>0</v>
      </c>
      <c r="AX245" s="140">
        <v>0</v>
      </c>
      <c r="AY245" s="140">
        <v>0</v>
      </c>
      <c r="AZ245" s="140">
        <v>0</v>
      </c>
      <c r="BA245" s="140">
        <v>0</v>
      </c>
      <c r="BB245" s="140">
        <v>0</v>
      </c>
      <c r="BC245" s="140">
        <v>0</v>
      </c>
      <c r="BD245" s="140">
        <v>0</v>
      </c>
      <c r="BE245" s="140">
        <v>0</v>
      </c>
      <c r="BF245" s="140">
        <v>0</v>
      </c>
      <c r="BG245" s="140">
        <v>0</v>
      </c>
      <c r="BH245" s="142">
        <v>0</v>
      </c>
      <c r="BI245" s="142">
        <v>0</v>
      </c>
      <c r="BJ245" s="142">
        <v>0</v>
      </c>
      <c r="BK245" s="142">
        <v>0</v>
      </c>
      <c r="BL245" s="142">
        <v>0</v>
      </c>
      <c r="BM245" s="142">
        <v>0</v>
      </c>
      <c r="BN245" s="142">
        <v>0</v>
      </c>
      <c r="BO245" s="142">
        <v>0</v>
      </c>
      <c r="BP245" s="142">
        <v>0</v>
      </c>
      <c r="BQ245" s="142">
        <v>0</v>
      </c>
      <c r="BR245" s="142">
        <v>0</v>
      </c>
      <c r="BS245" s="142">
        <v>0</v>
      </c>
      <c r="BT245" s="142">
        <v>0</v>
      </c>
      <c r="BU245" s="142">
        <v>0</v>
      </c>
      <c r="BV245" s="142">
        <v>0</v>
      </c>
      <c r="BW245" s="142">
        <v>0</v>
      </c>
      <c r="BX245" s="142">
        <v>0</v>
      </c>
      <c r="BY245" s="142">
        <v>0</v>
      </c>
      <c r="BZ245" s="142">
        <v>0</v>
      </c>
      <c r="CA245" s="144">
        <v>0</v>
      </c>
      <c r="CB245" s="79">
        <v>0</v>
      </c>
      <c r="CC245" s="144">
        <v>0</v>
      </c>
      <c r="CD245" s="144">
        <v>0</v>
      </c>
      <c r="CE245" s="144">
        <v>0</v>
      </c>
      <c r="CF245" s="144">
        <v>0</v>
      </c>
      <c r="CG245" s="144">
        <v>0</v>
      </c>
      <c r="CH245" s="154">
        <v>0</v>
      </c>
      <c r="CI245" s="144">
        <v>0</v>
      </c>
      <c r="CJ245" s="144">
        <v>0</v>
      </c>
      <c r="CK245" s="144">
        <v>0</v>
      </c>
      <c r="CL245" s="144">
        <v>0</v>
      </c>
      <c r="CM245" s="144">
        <v>0</v>
      </c>
      <c r="CN245" s="154">
        <v>0</v>
      </c>
      <c r="CO245" s="144">
        <v>0</v>
      </c>
      <c r="CP245" s="144">
        <v>0</v>
      </c>
      <c r="CQ245" s="144">
        <v>0</v>
      </c>
      <c r="CR245" s="144">
        <v>0</v>
      </c>
      <c r="CS245" s="154">
        <v>0</v>
      </c>
    </row>
    <row r="246" spans="1:97" x14ac:dyDescent="0.25">
      <c r="A246" s="46" t="s">
        <v>63</v>
      </c>
      <c r="B246" s="134">
        <v>0</v>
      </c>
      <c r="C246" s="134">
        <v>0</v>
      </c>
      <c r="D246" s="203">
        <v>0</v>
      </c>
      <c r="E246" s="134">
        <v>0</v>
      </c>
      <c r="F246" s="203">
        <v>0</v>
      </c>
      <c r="G246" s="134">
        <v>0</v>
      </c>
      <c r="H246" s="134">
        <v>0</v>
      </c>
      <c r="I246" s="134">
        <v>0</v>
      </c>
      <c r="J246" s="134">
        <v>0</v>
      </c>
      <c r="K246" s="134">
        <v>0</v>
      </c>
      <c r="L246" s="134">
        <v>0</v>
      </c>
      <c r="M246" s="134">
        <v>0</v>
      </c>
      <c r="N246" s="134">
        <v>0</v>
      </c>
      <c r="O246" s="134">
        <v>0</v>
      </c>
      <c r="P246" s="203">
        <v>0</v>
      </c>
      <c r="Q246" s="203">
        <v>0</v>
      </c>
      <c r="R246" s="203">
        <v>0</v>
      </c>
      <c r="S246" s="134">
        <v>0</v>
      </c>
      <c r="T246" s="134">
        <v>0</v>
      </c>
      <c r="U246" s="139">
        <v>0</v>
      </c>
      <c r="V246" s="139">
        <v>0</v>
      </c>
      <c r="W246" s="139">
        <v>0</v>
      </c>
      <c r="X246" s="139">
        <v>0</v>
      </c>
      <c r="Y246" s="139">
        <v>0</v>
      </c>
      <c r="Z246" s="139">
        <v>0</v>
      </c>
      <c r="AA246" s="139">
        <v>0</v>
      </c>
      <c r="AB246" s="139">
        <v>0</v>
      </c>
      <c r="AC246" s="139">
        <v>0</v>
      </c>
      <c r="AD246" s="139">
        <v>0</v>
      </c>
      <c r="AE246" s="139">
        <v>0</v>
      </c>
      <c r="AF246" s="139">
        <v>0</v>
      </c>
      <c r="AG246" s="139">
        <v>0</v>
      </c>
      <c r="AH246" s="139">
        <v>0</v>
      </c>
      <c r="AI246" s="139">
        <v>0</v>
      </c>
      <c r="AJ246" s="139">
        <v>0</v>
      </c>
      <c r="AK246" s="139">
        <v>0</v>
      </c>
      <c r="AL246" s="140">
        <v>0</v>
      </c>
      <c r="AM246" s="140">
        <v>0</v>
      </c>
      <c r="AN246" s="140">
        <v>0</v>
      </c>
      <c r="AO246" s="140">
        <v>0</v>
      </c>
      <c r="AP246" s="140">
        <v>0</v>
      </c>
      <c r="AQ246" s="140">
        <v>0</v>
      </c>
      <c r="AR246" s="140">
        <v>0</v>
      </c>
      <c r="AS246" s="140">
        <v>0</v>
      </c>
      <c r="AT246" s="140">
        <v>0</v>
      </c>
      <c r="AU246" s="140">
        <v>0</v>
      </c>
      <c r="AV246" s="140">
        <v>0</v>
      </c>
      <c r="AW246" s="140">
        <v>0</v>
      </c>
      <c r="AX246" s="140">
        <v>0</v>
      </c>
      <c r="AY246" s="140">
        <v>0</v>
      </c>
      <c r="AZ246" s="140">
        <v>0</v>
      </c>
      <c r="BA246" s="140">
        <v>0</v>
      </c>
      <c r="BB246" s="140">
        <v>0</v>
      </c>
      <c r="BC246" s="140">
        <v>0</v>
      </c>
      <c r="BD246" s="140">
        <v>0</v>
      </c>
      <c r="BE246" s="140">
        <v>0</v>
      </c>
      <c r="BF246" s="140">
        <v>0</v>
      </c>
      <c r="BG246" s="140">
        <v>0</v>
      </c>
      <c r="BH246" s="142">
        <v>0</v>
      </c>
      <c r="BI246" s="142">
        <v>0</v>
      </c>
      <c r="BJ246" s="142">
        <v>0</v>
      </c>
      <c r="BK246" s="142">
        <v>0</v>
      </c>
      <c r="BL246" s="142">
        <v>0</v>
      </c>
      <c r="BM246" s="142">
        <v>0</v>
      </c>
      <c r="BN246" s="142">
        <v>0</v>
      </c>
      <c r="BO246" s="142">
        <v>0</v>
      </c>
      <c r="BP246" s="142">
        <v>0</v>
      </c>
      <c r="BQ246" s="142">
        <v>0</v>
      </c>
      <c r="BR246" s="142">
        <v>0</v>
      </c>
      <c r="BS246" s="142">
        <v>0</v>
      </c>
      <c r="BT246" s="142">
        <v>0</v>
      </c>
      <c r="BU246" s="142">
        <v>0</v>
      </c>
      <c r="BV246" s="142">
        <v>0</v>
      </c>
      <c r="BW246" s="142">
        <v>0</v>
      </c>
      <c r="BX246" s="142">
        <v>0</v>
      </c>
      <c r="BY246" s="142">
        <v>0</v>
      </c>
      <c r="BZ246" s="142">
        <v>0</v>
      </c>
      <c r="CA246" s="144">
        <v>0</v>
      </c>
      <c r="CB246" s="79">
        <v>0</v>
      </c>
      <c r="CC246" s="144">
        <v>0</v>
      </c>
      <c r="CD246" s="144">
        <v>0</v>
      </c>
      <c r="CE246" s="144">
        <v>0</v>
      </c>
      <c r="CF246" s="144">
        <v>0</v>
      </c>
      <c r="CG246" s="144">
        <v>0</v>
      </c>
      <c r="CH246" s="154">
        <v>0</v>
      </c>
      <c r="CI246" s="144">
        <v>0</v>
      </c>
      <c r="CJ246" s="144">
        <v>0</v>
      </c>
      <c r="CK246" s="144">
        <v>0</v>
      </c>
      <c r="CL246" s="144">
        <v>0</v>
      </c>
      <c r="CM246" s="144">
        <v>0</v>
      </c>
      <c r="CN246" s="154">
        <v>0</v>
      </c>
      <c r="CO246" s="144">
        <v>0</v>
      </c>
      <c r="CP246" s="144">
        <v>0</v>
      </c>
      <c r="CQ246" s="144">
        <v>0</v>
      </c>
      <c r="CR246" s="144">
        <v>0</v>
      </c>
      <c r="CS246" s="154">
        <v>0</v>
      </c>
    </row>
    <row r="247" spans="1:97" x14ac:dyDescent="0.25">
      <c r="A247" s="46" t="s">
        <v>727</v>
      </c>
      <c r="B247" s="134" t="b">
        <v>1</v>
      </c>
      <c r="C247" s="134" t="b">
        <v>0</v>
      </c>
      <c r="D247" s="134" t="b">
        <v>1</v>
      </c>
      <c r="E247" s="134" t="b">
        <v>0</v>
      </c>
      <c r="F247" s="134" t="b">
        <v>0</v>
      </c>
      <c r="G247" s="134" t="b">
        <v>0</v>
      </c>
      <c r="H247" s="134" t="b">
        <v>0</v>
      </c>
      <c r="I247" s="134" t="b">
        <v>0</v>
      </c>
      <c r="J247" s="134" t="b">
        <v>0</v>
      </c>
      <c r="K247" s="134" t="b">
        <v>0</v>
      </c>
      <c r="L247" s="134" t="b">
        <v>1</v>
      </c>
      <c r="M247" s="134" t="b">
        <v>0</v>
      </c>
      <c r="N247" s="134" t="b">
        <v>0</v>
      </c>
      <c r="O247" s="134" t="b">
        <v>1</v>
      </c>
      <c r="P247" s="134" t="b">
        <v>1</v>
      </c>
      <c r="Q247" s="134" t="b">
        <v>0</v>
      </c>
      <c r="R247" s="134" t="b">
        <v>0</v>
      </c>
      <c r="S247" s="134" t="b">
        <v>0</v>
      </c>
      <c r="T247" s="134" t="b">
        <v>0</v>
      </c>
      <c r="U247" s="139" t="b">
        <v>1</v>
      </c>
      <c r="V247" s="139" t="b">
        <v>0</v>
      </c>
      <c r="W247" s="139" t="b">
        <v>0</v>
      </c>
      <c r="X247" s="139" t="b">
        <v>0</v>
      </c>
      <c r="Y247" s="139" t="b">
        <v>0</v>
      </c>
      <c r="Z247" s="139" t="b">
        <v>0</v>
      </c>
      <c r="AA247" s="139" t="b">
        <v>0</v>
      </c>
      <c r="AB247" s="139" t="b">
        <v>1</v>
      </c>
      <c r="AC247" s="139" t="b">
        <v>0</v>
      </c>
      <c r="AD247" s="139" t="b">
        <v>0</v>
      </c>
      <c r="AE247" s="139" t="b">
        <v>0</v>
      </c>
      <c r="AF247" s="139" t="b">
        <v>0</v>
      </c>
      <c r="AG247" s="139" t="b">
        <v>0</v>
      </c>
      <c r="AH247" s="139" t="b">
        <v>1</v>
      </c>
      <c r="AI247" s="139" t="b">
        <v>0</v>
      </c>
      <c r="AJ247" s="139" t="b">
        <v>0</v>
      </c>
      <c r="AK247" s="139" t="b">
        <v>0</v>
      </c>
      <c r="AL247" s="140" t="b">
        <v>0</v>
      </c>
      <c r="AM247" s="140" t="b">
        <v>0</v>
      </c>
      <c r="AN247" s="140" t="b">
        <v>0</v>
      </c>
      <c r="AO247" s="140" t="b">
        <v>0</v>
      </c>
      <c r="AP247" s="140" t="b">
        <v>1</v>
      </c>
      <c r="AQ247" s="140" t="b">
        <v>1</v>
      </c>
      <c r="AR247" s="140" t="b">
        <v>0</v>
      </c>
      <c r="AS247" s="140" t="b">
        <v>1</v>
      </c>
      <c r="AT247" s="140" t="b">
        <v>0</v>
      </c>
      <c r="AU247" s="140" t="b">
        <v>0</v>
      </c>
      <c r="AV247" s="140" t="b">
        <v>0</v>
      </c>
      <c r="AW247" s="140" t="b">
        <v>0</v>
      </c>
      <c r="AX247" s="140" t="b">
        <v>0</v>
      </c>
      <c r="AY247" s="140" t="b">
        <v>0</v>
      </c>
      <c r="AZ247" s="140" t="b">
        <v>0</v>
      </c>
      <c r="BA247" s="140" t="b">
        <v>0</v>
      </c>
      <c r="BB247" s="140" t="b">
        <v>0</v>
      </c>
      <c r="BC247" s="140" t="b">
        <v>0</v>
      </c>
      <c r="BD247" s="140" t="b">
        <v>1</v>
      </c>
      <c r="BE247" s="140" t="b">
        <v>0</v>
      </c>
      <c r="BF247" s="140" t="b">
        <v>0</v>
      </c>
      <c r="BG247" s="140" t="b">
        <v>0</v>
      </c>
      <c r="BH247" s="142" t="b">
        <v>0</v>
      </c>
      <c r="BI247" s="142" t="b">
        <v>1</v>
      </c>
      <c r="BJ247" s="142" t="b">
        <v>0</v>
      </c>
      <c r="BK247" s="142" t="b">
        <v>1</v>
      </c>
      <c r="BL247" s="142" t="b">
        <v>1</v>
      </c>
      <c r="BM247" s="142" t="b">
        <v>1</v>
      </c>
      <c r="BN247" s="142" t="b">
        <v>0</v>
      </c>
      <c r="BO247" s="142" t="b">
        <v>0</v>
      </c>
      <c r="BP247" s="142" t="b">
        <v>0</v>
      </c>
      <c r="BQ247" s="142" t="b">
        <v>0</v>
      </c>
      <c r="BR247" s="142" t="b">
        <v>0</v>
      </c>
      <c r="BS247" s="142" t="b">
        <v>0</v>
      </c>
      <c r="BT247" s="142" t="b">
        <v>0</v>
      </c>
      <c r="BU247" s="142" t="b">
        <v>0</v>
      </c>
      <c r="BV247" s="142" t="b">
        <v>0</v>
      </c>
      <c r="BW247" s="142" t="b">
        <v>0</v>
      </c>
      <c r="BX247" s="142" t="b">
        <v>0</v>
      </c>
      <c r="BY247" s="142" t="b">
        <v>0</v>
      </c>
      <c r="BZ247" s="142" t="b">
        <v>0</v>
      </c>
      <c r="CA247" s="144" t="b">
        <v>0</v>
      </c>
      <c r="CB247" s="78" t="b">
        <v>0</v>
      </c>
      <c r="CC247" s="144" t="b">
        <v>1</v>
      </c>
      <c r="CD247" s="144" t="b">
        <v>0</v>
      </c>
      <c r="CE247" s="144" t="b">
        <v>0</v>
      </c>
      <c r="CF247" s="144" t="b">
        <v>1</v>
      </c>
      <c r="CG247" s="144" t="b">
        <v>0</v>
      </c>
      <c r="CH247" s="144" t="b">
        <v>0</v>
      </c>
      <c r="CI247" s="144" t="b">
        <v>0</v>
      </c>
      <c r="CJ247" s="144" t="b">
        <v>0</v>
      </c>
      <c r="CK247" s="144" t="b">
        <v>0</v>
      </c>
      <c r="CL247" s="144" t="b">
        <v>0</v>
      </c>
      <c r="CM247" s="144" t="b">
        <v>0</v>
      </c>
      <c r="CN247" s="144" t="b">
        <v>0</v>
      </c>
      <c r="CO247" s="144" t="b">
        <v>0</v>
      </c>
      <c r="CP247" s="144" t="b">
        <v>0</v>
      </c>
      <c r="CQ247" s="144" t="b">
        <v>0</v>
      </c>
      <c r="CR247" s="144" t="b">
        <v>0</v>
      </c>
      <c r="CS247" s="144" t="b">
        <v>0</v>
      </c>
    </row>
    <row r="248" spans="1:97" x14ac:dyDescent="0.25">
      <c r="A248" s="46" t="s">
        <v>728</v>
      </c>
      <c r="B248" s="134" t="b">
        <v>0</v>
      </c>
      <c r="C248" s="134" t="b">
        <v>0</v>
      </c>
      <c r="D248" s="134" t="b">
        <v>1</v>
      </c>
      <c r="E248" s="134" t="b">
        <v>0</v>
      </c>
      <c r="F248" s="134" t="b">
        <v>0</v>
      </c>
      <c r="G248" s="134" t="b">
        <v>0</v>
      </c>
      <c r="H248" s="134" t="b">
        <v>0</v>
      </c>
      <c r="I248" s="134" t="b">
        <v>0</v>
      </c>
      <c r="J248" s="134" t="b">
        <v>0</v>
      </c>
      <c r="K248" s="134" t="b">
        <v>0</v>
      </c>
      <c r="L248" s="134" t="b">
        <v>1</v>
      </c>
      <c r="M248" s="134" t="b">
        <v>0</v>
      </c>
      <c r="N248" s="134" t="b">
        <v>0</v>
      </c>
      <c r="O248" s="134" t="b">
        <v>0</v>
      </c>
      <c r="P248" s="134" t="b">
        <v>0</v>
      </c>
      <c r="Q248" s="134" t="b">
        <v>0</v>
      </c>
      <c r="R248" s="134" t="b">
        <v>0</v>
      </c>
      <c r="S248" s="134" t="b">
        <v>0</v>
      </c>
      <c r="T248" s="134" t="b">
        <v>0</v>
      </c>
      <c r="U248" s="139" t="b">
        <v>0</v>
      </c>
      <c r="V248" s="139" t="b">
        <v>0</v>
      </c>
      <c r="W248" s="139" t="b">
        <v>0</v>
      </c>
      <c r="X248" s="139" t="b">
        <v>0</v>
      </c>
      <c r="Y248" s="139" t="b">
        <v>0</v>
      </c>
      <c r="Z248" s="139" t="b">
        <v>0</v>
      </c>
      <c r="AA248" s="139" t="b">
        <v>0</v>
      </c>
      <c r="AB248" s="139" t="b">
        <v>1</v>
      </c>
      <c r="AC248" s="139" t="b">
        <v>0</v>
      </c>
      <c r="AD248" s="139" t="b">
        <v>0</v>
      </c>
      <c r="AE248" s="139" t="b">
        <v>0</v>
      </c>
      <c r="AF248" s="139" t="b">
        <v>0</v>
      </c>
      <c r="AG248" s="139" t="b">
        <v>0</v>
      </c>
      <c r="AH248" s="139" t="b">
        <v>0</v>
      </c>
      <c r="AI248" s="139" t="b">
        <v>0</v>
      </c>
      <c r="AJ248" s="139" t="b">
        <v>0</v>
      </c>
      <c r="AK248" s="139" t="b">
        <v>0</v>
      </c>
      <c r="AL248" s="140" t="b">
        <v>0</v>
      </c>
      <c r="AM248" s="140" t="b">
        <v>0</v>
      </c>
      <c r="AN248" s="140" t="b">
        <v>0</v>
      </c>
      <c r="AO248" s="140" t="b">
        <v>0</v>
      </c>
      <c r="AP248" s="140" t="b">
        <v>0</v>
      </c>
      <c r="AQ248" s="140" t="b">
        <v>0</v>
      </c>
      <c r="AR248" s="140" t="b">
        <v>0</v>
      </c>
      <c r="AS248" s="140" t="b">
        <v>0</v>
      </c>
      <c r="AT248" s="140" t="b">
        <v>0</v>
      </c>
      <c r="AU248" s="140" t="b">
        <v>0</v>
      </c>
      <c r="AV248" s="140" t="b">
        <v>0</v>
      </c>
      <c r="AW248" s="140" t="b">
        <v>0</v>
      </c>
      <c r="AX248" s="140" t="b">
        <v>0</v>
      </c>
      <c r="AY248" s="140" t="b">
        <v>0</v>
      </c>
      <c r="AZ248" s="140" t="b">
        <v>0</v>
      </c>
      <c r="BA248" s="140" t="b">
        <v>0</v>
      </c>
      <c r="BB248" s="140" t="b">
        <v>0</v>
      </c>
      <c r="BC248" s="140" t="b">
        <v>0</v>
      </c>
      <c r="BD248" s="140" t="b">
        <v>0</v>
      </c>
      <c r="BE248" s="140" t="b">
        <v>0</v>
      </c>
      <c r="BF248" s="140" t="b">
        <v>0</v>
      </c>
      <c r="BG248" s="140" t="b">
        <v>0</v>
      </c>
      <c r="BH248" s="142" t="b">
        <v>0</v>
      </c>
      <c r="BI248" s="142" t="b">
        <v>0</v>
      </c>
      <c r="BJ248" s="142" t="b">
        <v>0</v>
      </c>
      <c r="BK248" s="142" t="b">
        <v>0</v>
      </c>
      <c r="BL248" s="142" t="b">
        <v>1</v>
      </c>
      <c r="BM248" s="142" t="b">
        <v>0</v>
      </c>
      <c r="BN248" s="142" t="b">
        <v>0</v>
      </c>
      <c r="BO248" s="142" t="b">
        <v>0</v>
      </c>
      <c r="BP248" s="142" t="b">
        <v>0</v>
      </c>
      <c r="BQ248" s="142" t="b">
        <v>0</v>
      </c>
      <c r="BR248" s="142" t="b">
        <v>0</v>
      </c>
      <c r="BS248" s="142" t="b">
        <v>0</v>
      </c>
      <c r="BT248" s="142" t="b">
        <v>0</v>
      </c>
      <c r="BU248" s="142" t="b">
        <v>0</v>
      </c>
      <c r="BV248" s="142" t="b">
        <v>0</v>
      </c>
      <c r="BW248" s="142" t="b">
        <v>0</v>
      </c>
      <c r="BX248" s="142" t="b">
        <v>0</v>
      </c>
      <c r="BY248" s="142" t="b">
        <v>0</v>
      </c>
      <c r="BZ248" s="142" t="b">
        <v>0</v>
      </c>
      <c r="CA248" s="144" t="b">
        <v>0</v>
      </c>
      <c r="CB248" s="78" t="b">
        <v>0</v>
      </c>
      <c r="CC248" s="144" t="b">
        <v>0</v>
      </c>
      <c r="CD248" s="144" t="b">
        <v>0</v>
      </c>
      <c r="CE248" s="144" t="b">
        <v>0</v>
      </c>
      <c r="CF248" s="144" t="b">
        <v>0</v>
      </c>
      <c r="CG248" s="144" t="b">
        <v>0</v>
      </c>
      <c r="CH248" s="144" t="b">
        <v>0</v>
      </c>
      <c r="CI248" s="144" t="b">
        <v>0</v>
      </c>
      <c r="CJ248" s="144" t="b">
        <v>0</v>
      </c>
      <c r="CK248" s="144" t="b">
        <v>0</v>
      </c>
      <c r="CL248" s="144" t="b">
        <v>0</v>
      </c>
      <c r="CM248" s="144" t="b">
        <v>0</v>
      </c>
      <c r="CN248" s="144" t="b">
        <v>0</v>
      </c>
      <c r="CO248" s="144" t="b">
        <v>0</v>
      </c>
      <c r="CP248" s="144" t="b">
        <v>0</v>
      </c>
      <c r="CQ248" s="144" t="b">
        <v>0</v>
      </c>
      <c r="CR248" s="144" t="b">
        <v>0</v>
      </c>
      <c r="CS248" s="144" t="b">
        <v>0</v>
      </c>
    </row>
    <row r="249" spans="1:97" x14ac:dyDescent="0.25">
      <c r="A249" s="46" t="s">
        <v>729</v>
      </c>
      <c r="B249" s="134" t="b">
        <v>0</v>
      </c>
      <c r="C249" s="134" t="b">
        <v>0</v>
      </c>
      <c r="D249" s="134" t="b">
        <v>0</v>
      </c>
      <c r="E249" s="134" t="b">
        <v>0</v>
      </c>
      <c r="F249" s="134" t="b">
        <v>0</v>
      </c>
      <c r="G249" s="134" t="b">
        <v>0</v>
      </c>
      <c r="H249" s="134" t="b">
        <v>0</v>
      </c>
      <c r="I249" s="134" t="b">
        <v>0</v>
      </c>
      <c r="J249" s="134" t="b">
        <v>0</v>
      </c>
      <c r="K249" s="134" t="b">
        <v>0</v>
      </c>
      <c r="L249" s="134" t="b">
        <v>0</v>
      </c>
      <c r="M249" s="134" t="b">
        <v>0</v>
      </c>
      <c r="N249" s="134" t="b">
        <v>0</v>
      </c>
      <c r="O249" s="134" t="b">
        <v>0</v>
      </c>
      <c r="P249" s="134" t="b">
        <v>0</v>
      </c>
      <c r="Q249" s="134" t="b">
        <v>0</v>
      </c>
      <c r="R249" s="134" t="b">
        <v>0</v>
      </c>
      <c r="S249" s="134" t="b">
        <v>0</v>
      </c>
      <c r="T249" s="134" t="b">
        <v>0</v>
      </c>
      <c r="U249" s="139" t="b">
        <v>0</v>
      </c>
      <c r="V249" s="139" t="b">
        <v>0</v>
      </c>
      <c r="W249" s="139" t="b">
        <v>0</v>
      </c>
      <c r="X249" s="139" t="b">
        <v>0</v>
      </c>
      <c r="Y249" s="139" t="b">
        <v>0</v>
      </c>
      <c r="Z249" s="139" t="b">
        <v>0</v>
      </c>
      <c r="AA249" s="139" t="b">
        <v>0</v>
      </c>
      <c r="AB249" s="139" t="b">
        <v>0</v>
      </c>
      <c r="AC249" s="139" t="b">
        <v>0</v>
      </c>
      <c r="AD249" s="139" t="b">
        <v>0</v>
      </c>
      <c r="AE249" s="139" t="b">
        <v>0</v>
      </c>
      <c r="AF249" s="139" t="b">
        <v>0</v>
      </c>
      <c r="AG249" s="139" t="b">
        <v>0</v>
      </c>
      <c r="AH249" s="139" t="b">
        <v>0</v>
      </c>
      <c r="AI249" s="139" t="b">
        <v>0</v>
      </c>
      <c r="AJ249" s="139" t="b">
        <v>0</v>
      </c>
      <c r="AK249" s="139" t="b">
        <v>0</v>
      </c>
      <c r="AL249" s="140" t="b">
        <v>0</v>
      </c>
      <c r="AM249" s="140" t="b">
        <v>0</v>
      </c>
      <c r="AN249" s="140" t="b">
        <v>0</v>
      </c>
      <c r="AO249" s="140" t="b">
        <v>0</v>
      </c>
      <c r="AP249" s="140" t="b">
        <v>0</v>
      </c>
      <c r="AQ249" s="140" t="b">
        <v>0</v>
      </c>
      <c r="AR249" s="140" t="b">
        <v>0</v>
      </c>
      <c r="AS249" s="140" t="b">
        <v>0</v>
      </c>
      <c r="AT249" s="140" t="b">
        <v>0</v>
      </c>
      <c r="AU249" s="140" t="b">
        <v>0</v>
      </c>
      <c r="AV249" s="140" t="b">
        <v>0</v>
      </c>
      <c r="AW249" s="140" t="b">
        <v>0</v>
      </c>
      <c r="AX249" s="140" t="b">
        <v>0</v>
      </c>
      <c r="AY249" s="140" t="b">
        <v>0</v>
      </c>
      <c r="AZ249" s="140" t="b">
        <v>0</v>
      </c>
      <c r="BA249" s="140" t="b">
        <v>0</v>
      </c>
      <c r="BB249" s="140" t="b">
        <v>0</v>
      </c>
      <c r="BC249" s="140" t="b">
        <v>0</v>
      </c>
      <c r="BD249" s="140" t="b">
        <v>0</v>
      </c>
      <c r="BE249" s="140" t="b">
        <v>0</v>
      </c>
      <c r="BF249" s="140" t="b">
        <v>0</v>
      </c>
      <c r="BG249" s="140" t="b">
        <v>0</v>
      </c>
      <c r="BH249" s="142" t="b">
        <v>0</v>
      </c>
      <c r="BI249" s="142" t="b">
        <v>0</v>
      </c>
      <c r="BJ249" s="142" t="b">
        <v>0</v>
      </c>
      <c r="BK249" s="142" t="b">
        <v>0</v>
      </c>
      <c r="BL249" s="142" t="b">
        <v>0</v>
      </c>
      <c r="BM249" s="142" t="b">
        <v>0</v>
      </c>
      <c r="BN249" s="142" t="b">
        <v>0</v>
      </c>
      <c r="BO249" s="142" t="b">
        <v>0</v>
      </c>
      <c r="BP249" s="142" t="b">
        <v>0</v>
      </c>
      <c r="BQ249" s="142" t="b">
        <v>0</v>
      </c>
      <c r="BR249" s="142" t="b">
        <v>0</v>
      </c>
      <c r="BS249" s="142" t="b">
        <v>0</v>
      </c>
      <c r="BT249" s="142" t="b">
        <v>0</v>
      </c>
      <c r="BU249" s="142" t="b">
        <v>0</v>
      </c>
      <c r="BV249" s="142" t="b">
        <v>0</v>
      </c>
      <c r="BW249" s="142" t="b">
        <v>0</v>
      </c>
      <c r="BX249" s="142" t="b">
        <v>0</v>
      </c>
      <c r="BY249" s="142" t="b">
        <v>0</v>
      </c>
      <c r="BZ249" s="142" t="b">
        <v>0</v>
      </c>
      <c r="CA249" s="144" t="b">
        <v>0</v>
      </c>
      <c r="CB249" s="78" t="b">
        <v>0</v>
      </c>
      <c r="CC249" s="144" t="b">
        <v>0</v>
      </c>
      <c r="CD249" s="144" t="b">
        <v>0</v>
      </c>
      <c r="CE249" s="144" t="b">
        <v>0</v>
      </c>
      <c r="CF249" s="144" t="b">
        <v>0</v>
      </c>
      <c r="CG249" s="144" t="b">
        <v>0</v>
      </c>
      <c r="CH249" s="144" t="b">
        <v>0</v>
      </c>
      <c r="CI249" s="144" t="b">
        <v>0</v>
      </c>
      <c r="CJ249" s="144" t="b">
        <v>0</v>
      </c>
      <c r="CK249" s="144" t="b">
        <v>0</v>
      </c>
      <c r="CL249" s="144" t="b">
        <v>0</v>
      </c>
      <c r="CM249" s="144" t="b">
        <v>0</v>
      </c>
      <c r="CN249" s="144" t="b">
        <v>0</v>
      </c>
      <c r="CO249" s="144" t="b">
        <v>0</v>
      </c>
      <c r="CP249" s="144" t="b">
        <v>0</v>
      </c>
      <c r="CQ249" s="144" t="b">
        <v>0</v>
      </c>
      <c r="CR249" s="144" t="b">
        <v>0</v>
      </c>
      <c r="CS249" s="144" t="b">
        <v>0</v>
      </c>
    </row>
    <row r="250" spans="1:97" x14ac:dyDescent="0.25">
      <c r="A250" s="46" t="s">
        <v>730</v>
      </c>
      <c r="B250" s="134" t="s">
        <v>705</v>
      </c>
      <c r="C250" s="134"/>
      <c r="D250" s="134" t="s">
        <v>706</v>
      </c>
      <c r="E250" s="134"/>
      <c r="F250" s="135"/>
      <c r="G250" s="134"/>
      <c r="H250" s="134"/>
      <c r="I250" s="136"/>
      <c r="J250" s="134"/>
      <c r="K250" s="137"/>
      <c r="L250" s="134" t="s">
        <v>707</v>
      </c>
      <c r="M250" s="134"/>
      <c r="N250" s="137"/>
      <c r="O250" s="137" t="s">
        <v>708</v>
      </c>
      <c r="P250" s="134" t="s">
        <v>709</v>
      </c>
      <c r="Q250" s="135"/>
      <c r="R250" s="135"/>
      <c r="S250" s="135"/>
      <c r="T250" s="137"/>
      <c r="U250" s="138" t="s">
        <v>710</v>
      </c>
      <c r="V250" s="139"/>
      <c r="W250" s="138"/>
      <c r="X250" s="138"/>
      <c r="Y250" s="138"/>
      <c r="Z250" s="139"/>
      <c r="AA250" s="139"/>
      <c r="AB250" s="138" t="s">
        <v>711</v>
      </c>
      <c r="AC250" s="138"/>
      <c r="AD250" s="138"/>
      <c r="AE250" s="138"/>
      <c r="AF250" s="138"/>
      <c r="AG250" s="138"/>
      <c r="AH250" s="138" t="s">
        <v>712</v>
      </c>
      <c r="AI250" s="138"/>
      <c r="AJ250" s="138"/>
      <c r="AK250" s="138"/>
      <c r="AL250" s="75"/>
      <c r="AM250" s="140"/>
      <c r="AN250" s="140"/>
      <c r="AO250" s="75"/>
      <c r="AP250" s="75" t="s">
        <v>713</v>
      </c>
      <c r="AQ250" s="75" t="s">
        <v>714</v>
      </c>
      <c r="AR250" s="75"/>
      <c r="AS250" s="75" t="s">
        <v>715</v>
      </c>
      <c r="AT250" s="75"/>
      <c r="AU250" s="75"/>
      <c r="AV250" s="75"/>
      <c r="AW250" s="75"/>
      <c r="AX250" s="75"/>
      <c r="AY250" s="75"/>
      <c r="AZ250" s="75"/>
      <c r="BA250" s="75"/>
      <c r="BB250" s="75"/>
      <c r="BC250" s="140"/>
      <c r="BD250" s="75" t="s">
        <v>716</v>
      </c>
      <c r="BE250" s="75"/>
      <c r="BF250" s="140"/>
      <c r="BG250" s="75"/>
      <c r="BH250" s="141"/>
      <c r="BI250" s="141" t="s">
        <v>717</v>
      </c>
      <c r="BJ250" s="141"/>
      <c r="BK250" s="142" t="s">
        <v>718</v>
      </c>
      <c r="BL250" s="141" t="s">
        <v>719</v>
      </c>
      <c r="BM250" s="141" t="s">
        <v>720</v>
      </c>
      <c r="BN250" s="141"/>
      <c r="BO250" s="141"/>
      <c r="BP250" s="141"/>
      <c r="BQ250" s="141"/>
      <c r="BR250" s="141"/>
      <c r="BS250" s="141"/>
      <c r="BT250" s="141"/>
      <c r="BU250" s="141"/>
      <c r="BV250" s="141"/>
      <c r="BW250" s="142"/>
      <c r="BX250" s="142"/>
      <c r="BY250" s="142"/>
      <c r="BZ250" s="141"/>
      <c r="CA250" s="143"/>
      <c r="CB250" s="78"/>
      <c r="CC250" s="143" t="s">
        <v>721</v>
      </c>
      <c r="CD250" s="143"/>
      <c r="CE250" s="143"/>
      <c r="CF250" s="143" t="s">
        <v>722</v>
      </c>
      <c r="CG250" s="143"/>
      <c r="CH250" s="143"/>
      <c r="CI250" s="143"/>
      <c r="CJ250" s="143"/>
      <c r="CK250" s="143"/>
      <c r="CL250" s="143"/>
      <c r="CM250" s="143"/>
      <c r="CN250" s="143"/>
      <c r="CO250" s="143"/>
      <c r="CP250" s="143"/>
      <c r="CQ250" s="143"/>
      <c r="CR250" s="143"/>
      <c r="CS250" s="143"/>
    </row>
    <row r="251" spans="1:97" x14ac:dyDescent="0.25">
      <c r="A251" s="46" t="s">
        <v>731</v>
      </c>
      <c r="B251" s="134" t="s">
        <v>249</v>
      </c>
      <c r="C251" s="134"/>
      <c r="D251" s="134" t="s">
        <v>6</v>
      </c>
      <c r="E251" s="134"/>
      <c r="F251" s="135"/>
      <c r="G251" s="134"/>
      <c r="H251" s="134"/>
      <c r="I251" s="136"/>
      <c r="J251" s="134"/>
      <c r="K251" s="137"/>
      <c r="L251" s="134" t="s">
        <v>249</v>
      </c>
      <c r="M251" s="134"/>
      <c r="N251" s="137"/>
      <c r="O251" s="137" t="s">
        <v>249</v>
      </c>
      <c r="P251" s="134" t="s">
        <v>249</v>
      </c>
      <c r="Q251" s="135"/>
      <c r="R251" s="135"/>
      <c r="S251" s="135"/>
      <c r="T251" s="137"/>
      <c r="U251" s="138" t="s">
        <v>249</v>
      </c>
      <c r="V251" s="139"/>
      <c r="W251" s="138"/>
      <c r="X251" s="138"/>
      <c r="Y251" s="138"/>
      <c r="Z251" s="139"/>
      <c r="AA251" s="139"/>
      <c r="AB251" s="138" t="s">
        <v>249</v>
      </c>
      <c r="AC251" s="138"/>
      <c r="AD251" s="138"/>
      <c r="AE251" s="138"/>
      <c r="AF251" s="138"/>
      <c r="AG251" s="138"/>
      <c r="AH251" s="138" t="s">
        <v>249</v>
      </c>
      <c r="AI251" s="138"/>
      <c r="AJ251" s="138"/>
      <c r="AK251" s="138"/>
      <c r="AL251" s="75"/>
      <c r="AM251" s="140"/>
      <c r="AN251" s="140"/>
      <c r="AO251" s="75"/>
      <c r="AP251" s="75" t="s">
        <v>249</v>
      </c>
      <c r="AQ251" s="75" t="s">
        <v>249</v>
      </c>
      <c r="AR251" s="75"/>
      <c r="AS251" s="75" t="s">
        <v>249</v>
      </c>
      <c r="AT251" s="75"/>
      <c r="AU251" s="75"/>
      <c r="AV251" s="75"/>
      <c r="AW251" s="75"/>
      <c r="AX251" s="75"/>
      <c r="AY251" s="75"/>
      <c r="AZ251" s="75"/>
      <c r="BA251" s="75"/>
      <c r="BB251" s="75"/>
      <c r="BC251" s="140"/>
      <c r="BD251" s="75" t="s">
        <v>19</v>
      </c>
      <c r="BE251" s="75"/>
      <c r="BF251" s="140"/>
      <c r="BG251" s="75"/>
      <c r="BH251" s="141"/>
      <c r="BI251" s="141" t="s">
        <v>249</v>
      </c>
      <c r="BJ251" s="141"/>
      <c r="BK251" s="142" t="s">
        <v>6</v>
      </c>
      <c r="BL251" s="141" t="s">
        <v>249</v>
      </c>
      <c r="BM251" s="141" t="s">
        <v>249</v>
      </c>
      <c r="BN251" s="141"/>
      <c r="BO251" s="141"/>
      <c r="BP251" s="141"/>
      <c r="BQ251" s="141"/>
      <c r="BR251" s="141"/>
      <c r="BS251" s="141"/>
      <c r="BT251" s="141"/>
      <c r="BU251" s="141"/>
      <c r="BV251" s="141"/>
      <c r="BW251" s="142"/>
      <c r="BX251" s="142"/>
      <c r="BY251" s="142"/>
      <c r="BZ251" s="141"/>
      <c r="CA251" s="143"/>
      <c r="CB251" s="78"/>
      <c r="CC251" s="143" t="s">
        <v>249</v>
      </c>
      <c r="CD251" s="143"/>
      <c r="CE251" s="143"/>
      <c r="CF251" s="143" t="s">
        <v>249</v>
      </c>
      <c r="CG251" s="143"/>
      <c r="CH251" s="143"/>
      <c r="CI251" s="143"/>
      <c r="CJ251" s="143"/>
      <c r="CK251" s="143"/>
      <c r="CL251" s="143"/>
      <c r="CM251" s="143"/>
      <c r="CN251" s="143"/>
      <c r="CO251" s="143"/>
      <c r="CP251" s="143"/>
      <c r="CQ251" s="143"/>
      <c r="CR251" s="143"/>
      <c r="CS251" s="143"/>
    </row>
    <row r="252" spans="1:97" x14ac:dyDescent="0.25">
      <c r="A252" s="46" t="s">
        <v>732</v>
      </c>
      <c r="B252" s="134" t="s">
        <v>127</v>
      </c>
      <c r="C252" s="134"/>
      <c r="D252" s="134" t="s">
        <v>130</v>
      </c>
      <c r="E252" s="134"/>
      <c r="F252" s="135"/>
      <c r="G252" s="134"/>
      <c r="H252" s="134"/>
      <c r="I252" s="136"/>
      <c r="J252" s="134"/>
      <c r="K252" s="137"/>
      <c r="L252" s="134" t="s">
        <v>127</v>
      </c>
      <c r="M252" s="134"/>
      <c r="N252" s="137"/>
      <c r="O252" s="137" t="s">
        <v>127</v>
      </c>
      <c r="P252" s="134" t="s">
        <v>127</v>
      </c>
      <c r="Q252" s="135"/>
      <c r="R252" s="135"/>
      <c r="S252" s="135"/>
      <c r="T252" s="137"/>
      <c r="U252" s="138" t="s">
        <v>127</v>
      </c>
      <c r="V252" s="139"/>
      <c r="W252" s="138"/>
      <c r="X252" s="138"/>
      <c r="Y252" s="138"/>
      <c r="Z252" s="139"/>
      <c r="AA252" s="139"/>
      <c r="AB252" s="138" t="s">
        <v>127</v>
      </c>
      <c r="AC252" s="138"/>
      <c r="AD252" s="138"/>
      <c r="AE252" s="138"/>
      <c r="AF252" s="138"/>
      <c r="AG252" s="138"/>
      <c r="AH252" s="138" t="s">
        <v>127</v>
      </c>
      <c r="AI252" s="138"/>
      <c r="AJ252" s="138"/>
      <c r="AK252" s="138"/>
      <c r="AL252" s="75"/>
      <c r="AM252" s="140"/>
      <c r="AN252" s="140"/>
      <c r="AO252" s="75"/>
      <c r="AP252" s="75" t="s">
        <v>127</v>
      </c>
      <c r="AQ252" s="75" t="s">
        <v>127</v>
      </c>
      <c r="AR252" s="75"/>
      <c r="AS252" s="75" t="s">
        <v>127</v>
      </c>
      <c r="AT252" s="75"/>
      <c r="AU252" s="75"/>
      <c r="AV252" s="75"/>
      <c r="AW252" s="75"/>
      <c r="AX252" s="75"/>
      <c r="AY252" s="75"/>
      <c r="AZ252" s="75"/>
      <c r="BA252" s="75"/>
      <c r="BB252" s="75"/>
      <c r="BC252" s="140"/>
      <c r="BD252" s="75" t="s">
        <v>130</v>
      </c>
      <c r="BE252" s="75"/>
      <c r="BF252" s="140"/>
      <c r="BG252" s="75"/>
      <c r="BH252" s="141"/>
      <c r="BI252" s="141" t="s">
        <v>127</v>
      </c>
      <c r="BJ252" s="141"/>
      <c r="BK252" s="142" t="s">
        <v>226</v>
      </c>
      <c r="BL252" s="141" t="s">
        <v>127</v>
      </c>
      <c r="BM252" s="141" t="s">
        <v>127</v>
      </c>
      <c r="BN252" s="141"/>
      <c r="BO252" s="141"/>
      <c r="BP252" s="141"/>
      <c r="BQ252" s="141"/>
      <c r="BR252" s="141"/>
      <c r="BS252" s="141"/>
      <c r="BT252" s="141"/>
      <c r="BU252" s="141"/>
      <c r="BV252" s="141"/>
      <c r="BW252" s="142"/>
      <c r="BX252" s="142"/>
      <c r="BY252" s="142"/>
      <c r="BZ252" s="141"/>
      <c r="CA252" s="143"/>
      <c r="CB252" s="78"/>
      <c r="CC252" s="143" t="s">
        <v>127</v>
      </c>
      <c r="CD252" s="143"/>
      <c r="CE252" s="143"/>
      <c r="CF252" s="143" t="s">
        <v>127</v>
      </c>
      <c r="CG252" s="143"/>
      <c r="CH252" s="143"/>
      <c r="CI252" s="143"/>
      <c r="CJ252" s="143"/>
      <c r="CK252" s="143"/>
      <c r="CL252" s="143"/>
      <c r="CM252" s="143"/>
      <c r="CN252" s="143"/>
      <c r="CO252" s="143"/>
      <c r="CP252" s="143"/>
      <c r="CQ252" s="143"/>
      <c r="CR252" s="143"/>
      <c r="CS252" s="143"/>
    </row>
    <row r="253" spans="1:97" x14ac:dyDescent="0.25">
      <c r="A253" s="46" t="s">
        <v>733</v>
      </c>
      <c r="B253" s="136">
        <f>80%+(char4Refine-1)*20%</f>
        <v>0.8</v>
      </c>
      <c r="C253" s="134"/>
      <c r="D253" s="145">
        <f>40%+(char4Refine-1)*10%</f>
        <v>0.4</v>
      </c>
      <c r="E253" s="134"/>
      <c r="F253" s="135"/>
      <c r="G253" s="134"/>
      <c r="H253" s="134"/>
      <c r="I253" s="136"/>
      <c r="J253" s="134"/>
      <c r="K253" s="137"/>
      <c r="L253" s="145">
        <f>80%+(char4Refine-1)*15%</f>
        <v>0.8</v>
      </c>
      <c r="M253" s="134"/>
      <c r="N253" s="137"/>
      <c r="O253" s="145">
        <f>240%+(char4Refine-1)*60%</f>
        <v>2.4</v>
      </c>
      <c r="P253" s="136">
        <f>100%+(char4Refine-1)*25%</f>
        <v>1</v>
      </c>
      <c r="Q253" s="135"/>
      <c r="R253" s="135"/>
      <c r="S253" s="135"/>
      <c r="T253" s="137"/>
      <c r="U253" s="138">
        <f>40%+(char4Refine-1)*15%</f>
        <v>0.4</v>
      </c>
      <c r="V253" s="139"/>
      <c r="W253" s="138"/>
      <c r="X253" s="138"/>
      <c r="Y253" s="138"/>
      <c r="Z253" s="139"/>
      <c r="AA253" s="139"/>
      <c r="AB253" s="138">
        <f>60%+(char4Refine-1)*15%</f>
        <v>0.6</v>
      </c>
      <c r="AC253" s="138"/>
      <c r="AD253" s="138"/>
      <c r="AE253" s="138"/>
      <c r="AF253" s="138"/>
      <c r="AG253" s="138"/>
      <c r="AH253" s="138">
        <f>20%+(char4Refine-1)*5%</f>
        <v>0.2</v>
      </c>
      <c r="AI253" s="138"/>
      <c r="AJ253" s="138"/>
      <c r="AK253" s="138"/>
      <c r="AL253" s="75"/>
      <c r="AM253" s="140"/>
      <c r="AN253" s="140"/>
      <c r="AO253" s="75"/>
      <c r="AP253" s="75">
        <f>20%+(char4Refine-1)*5%</f>
        <v>0.2</v>
      </c>
      <c r="AQ253" s="75">
        <f>200%+(char4Refine-1)*30%</f>
        <v>2</v>
      </c>
      <c r="AR253" s="75"/>
      <c r="AS253" s="75">
        <f>100%+(char4Refine-1)*25%</f>
        <v>1</v>
      </c>
      <c r="AT253" s="75"/>
      <c r="AU253" s="75"/>
      <c r="AV253" s="75"/>
      <c r="AW253" s="75"/>
      <c r="AX253" s="75"/>
      <c r="AY253" s="75"/>
      <c r="AZ253" s="75"/>
      <c r="BA253" s="75"/>
      <c r="BB253" s="75"/>
      <c r="BC253" s="140"/>
      <c r="BD253" s="75">
        <f>40%+(char4Refine-1)*10%</f>
        <v>0.4</v>
      </c>
      <c r="BE253" s="75"/>
      <c r="BF253" s="140"/>
      <c r="BG253" s="75"/>
      <c r="BH253" s="141"/>
      <c r="BI253" s="141">
        <f>160%+(char4Refine-1)*40%</f>
        <v>1.6</v>
      </c>
      <c r="BJ253" s="141"/>
      <c r="BK253" s="141">
        <f>1%+(char4Refine-1)*0.5%</f>
        <v>0.01</v>
      </c>
      <c r="BL253" s="141">
        <f>60%+(char4Refine-1)*15%</f>
        <v>0.6</v>
      </c>
      <c r="BM253" s="141">
        <f>240%+(char4Refine-1)*30%</f>
        <v>2.4</v>
      </c>
      <c r="BN253" s="141"/>
      <c r="BO253" s="141"/>
      <c r="BP253" s="141"/>
      <c r="BQ253" s="141"/>
      <c r="BR253" s="141"/>
      <c r="BS253" s="141"/>
      <c r="BT253" s="141"/>
      <c r="BU253" s="141"/>
      <c r="BV253" s="141"/>
      <c r="BW253" s="142"/>
      <c r="BX253" s="142"/>
      <c r="BY253" s="142"/>
      <c r="BZ253" s="141"/>
      <c r="CA253" s="143"/>
      <c r="CB253" s="78"/>
      <c r="CC253" s="146">
        <v>1.25</v>
      </c>
      <c r="CD253" s="143"/>
      <c r="CE253" s="143"/>
      <c r="CF253" s="147">
        <f>40%+(char4Refine-1)*10%</f>
        <v>0.4</v>
      </c>
      <c r="CG253" s="143"/>
      <c r="CH253" s="143"/>
      <c r="CI253" s="143"/>
      <c r="CJ253" s="143"/>
      <c r="CK253" s="143"/>
      <c r="CL253" s="143"/>
      <c r="CM253" s="143"/>
      <c r="CN253" s="143"/>
      <c r="CO253" s="143"/>
      <c r="CP253" s="143"/>
      <c r="CQ253" s="143"/>
      <c r="CR253" s="143"/>
      <c r="CS253" s="143"/>
    </row>
    <row r="254" spans="1:97" x14ac:dyDescent="0.25">
      <c r="A254" s="46" t="s">
        <v>734</v>
      </c>
      <c r="B254" s="134" t="s">
        <v>723</v>
      </c>
      <c r="C254" s="134"/>
      <c r="D254" s="134" t="str">
        <f>char4NAElement</f>
        <v>Phys</v>
      </c>
      <c r="E254" s="134"/>
      <c r="F254" s="135"/>
      <c r="G254" s="134"/>
      <c r="H254" s="134"/>
      <c r="I254" s="136"/>
      <c r="J254" s="134"/>
      <c r="K254" s="137"/>
      <c r="L254" s="134" t="s">
        <v>723</v>
      </c>
      <c r="M254" s="134"/>
      <c r="N254" s="137"/>
      <c r="O254" s="137" t="s">
        <v>723</v>
      </c>
      <c r="P254" s="134" t="s">
        <v>723</v>
      </c>
      <c r="Q254" s="135"/>
      <c r="R254" s="135"/>
      <c r="S254" s="135"/>
      <c r="T254" s="137"/>
      <c r="U254" s="138" t="s">
        <v>723</v>
      </c>
      <c r="V254" s="139"/>
      <c r="W254" s="138"/>
      <c r="X254" s="138"/>
      <c r="Y254" s="138"/>
      <c r="Z254" s="139"/>
      <c r="AA254" s="139"/>
      <c r="AB254" s="138" t="s">
        <v>723</v>
      </c>
      <c r="AC254" s="138"/>
      <c r="AD254" s="138"/>
      <c r="AE254" s="138"/>
      <c r="AF254" s="138"/>
      <c r="AG254" s="138"/>
      <c r="AH254" s="138"/>
      <c r="AI254" s="138"/>
      <c r="AJ254" s="138"/>
      <c r="AK254" s="138"/>
      <c r="AL254" s="75"/>
      <c r="AM254" s="140"/>
      <c r="AN254" s="140"/>
      <c r="AO254" s="75"/>
      <c r="AP254" s="75" t="s">
        <v>723</v>
      </c>
      <c r="AQ254" s="75" t="s">
        <v>723</v>
      </c>
      <c r="AR254" s="75"/>
      <c r="AS254" s="75" t="s">
        <v>723</v>
      </c>
      <c r="AT254" s="75"/>
      <c r="AU254" s="75"/>
      <c r="AV254" s="75"/>
      <c r="AW254" s="75"/>
      <c r="AX254" s="75"/>
      <c r="AY254" s="75"/>
      <c r="AZ254" s="75"/>
      <c r="BA254" s="75"/>
      <c r="BB254" s="75"/>
      <c r="BC254" s="140"/>
      <c r="BD254" s="75" t="str">
        <f>char4SkillElement</f>
        <v>Hydro</v>
      </c>
      <c r="BE254" s="75"/>
      <c r="BF254" s="140"/>
      <c r="BG254" s="75"/>
      <c r="BH254" s="141"/>
      <c r="BI254" s="141" t="s">
        <v>723</v>
      </c>
      <c r="BJ254" s="141"/>
      <c r="BK254" s="142" t="str">
        <f>char4NAElement</f>
        <v>Phys</v>
      </c>
      <c r="BL254" s="141" t="s">
        <v>723</v>
      </c>
      <c r="BM254" s="141" t="s">
        <v>723</v>
      </c>
      <c r="BN254" s="141"/>
      <c r="BO254" s="141"/>
      <c r="BP254" s="141"/>
      <c r="BQ254" s="141"/>
      <c r="BR254" s="141"/>
      <c r="BS254" s="141"/>
      <c r="BT254" s="141"/>
      <c r="BU254" s="141"/>
      <c r="BV254" s="141"/>
      <c r="BW254" s="142"/>
      <c r="BX254" s="142"/>
      <c r="BY254" s="142"/>
      <c r="BZ254" s="141"/>
      <c r="CA254" s="143"/>
      <c r="CB254" s="78"/>
      <c r="CC254" s="143" t="s">
        <v>723</v>
      </c>
      <c r="CD254" s="143"/>
      <c r="CE254" s="143"/>
      <c r="CF254" s="143" t="s">
        <v>723</v>
      </c>
      <c r="CG254" s="143"/>
      <c r="CH254" s="143"/>
      <c r="CI254" s="143"/>
      <c r="CJ254" s="143"/>
      <c r="CK254" s="143"/>
      <c r="CL254" s="143"/>
      <c r="CM254" s="143"/>
      <c r="CN254" s="143"/>
      <c r="CO254" s="143"/>
      <c r="CP254" s="143"/>
      <c r="CQ254" s="143"/>
      <c r="CR254" s="143"/>
      <c r="CS254" s="143"/>
    </row>
    <row r="255" spans="1:97" x14ac:dyDescent="0.25">
      <c r="A255" s="46" t="s">
        <v>735</v>
      </c>
      <c r="B255" s="134"/>
      <c r="C255" s="134"/>
      <c r="D255" s="134" t="s">
        <v>724</v>
      </c>
      <c r="E255" s="134"/>
      <c r="F255" s="135"/>
      <c r="G255" s="134"/>
      <c r="H255" s="134"/>
      <c r="I255" s="136"/>
      <c r="J255" s="134"/>
      <c r="K255" s="137"/>
      <c r="L255" s="134" t="s">
        <v>725</v>
      </c>
      <c r="M255" s="134"/>
      <c r="N255" s="137"/>
      <c r="O255" s="137"/>
      <c r="P255" s="134"/>
      <c r="Q255" s="135"/>
      <c r="R255" s="135"/>
      <c r="S255" s="135"/>
      <c r="T255" s="137"/>
      <c r="U255" s="138"/>
      <c r="V255" s="139"/>
      <c r="W255" s="138"/>
      <c r="X255" s="138"/>
      <c r="Y255" s="138"/>
      <c r="Z255" s="139"/>
      <c r="AA255" s="139"/>
      <c r="AB255" s="138" t="s">
        <v>726</v>
      </c>
      <c r="AC255" s="138"/>
      <c r="AD255" s="138"/>
      <c r="AE255" s="138"/>
      <c r="AF255" s="138"/>
      <c r="AG255" s="138"/>
      <c r="AH255" s="138"/>
      <c r="AI255" s="138"/>
      <c r="AJ255" s="138"/>
      <c r="AK255" s="138"/>
      <c r="AL255" s="75"/>
      <c r="AM255" s="140"/>
      <c r="AN255" s="140"/>
      <c r="AO255" s="75"/>
      <c r="AP255" s="75"/>
      <c r="AQ255" s="75"/>
      <c r="AR255" s="75"/>
      <c r="AS255" s="75"/>
      <c r="AT255" s="75"/>
      <c r="AU255" s="75"/>
      <c r="AV255" s="75"/>
      <c r="AW255" s="75"/>
      <c r="AX255" s="75"/>
      <c r="AY255" s="75"/>
      <c r="AZ255" s="75"/>
      <c r="BA255" s="75"/>
      <c r="BB255" s="75"/>
      <c r="BC255" s="140"/>
      <c r="BD255" s="75"/>
      <c r="BE255" s="75"/>
      <c r="BF255" s="140"/>
      <c r="BG255" s="75"/>
      <c r="BH255" s="141"/>
      <c r="BI255" s="141"/>
      <c r="BJ255" s="141"/>
      <c r="BK255" s="142"/>
      <c r="BL255" s="141" t="s">
        <v>726</v>
      </c>
      <c r="BM255" s="141"/>
      <c r="BN255" s="141"/>
      <c r="BO255" s="141"/>
      <c r="BP255" s="141"/>
      <c r="BQ255" s="141"/>
      <c r="BR255" s="141"/>
      <c r="BS255" s="141"/>
      <c r="BT255" s="141"/>
      <c r="BU255" s="141"/>
      <c r="BV255" s="141"/>
      <c r="BW255" s="142"/>
      <c r="BX255" s="142"/>
      <c r="BY255" s="142"/>
      <c r="BZ255" s="141"/>
      <c r="CA255" s="143"/>
      <c r="CB255" s="78"/>
      <c r="CC255" s="143"/>
      <c r="CD255" s="143"/>
      <c r="CE255" s="143"/>
      <c r="CF255" s="143"/>
      <c r="CG255" s="143"/>
      <c r="CH255" s="143"/>
      <c r="CI255" s="143"/>
      <c r="CJ255" s="143"/>
      <c r="CK255" s="143"/>
      <c r="CL255" s="143"/>
      <c r="CM255" s="143"/>
      <c r="CN255" s="143"/>
      <c r="CO255" s="143"/>
      <c r="CP255" s="143"/>
      <c r="CQ255" s="143"/>
      <c r="CR255" s="143"/>
      <c r="CS255" s="143"/>
    </row>
    <row r="256" spans="1:97" x14ac:dyDescent="0.25">
      <c r="A256" s="46" t="s">
        <v>736</v>
      </c>
      <c r="B256" s="134"/>
      <c r="C256" s="134"/>
      <c r="D256" s="134" t="s">
        <v>5</v>
      </c>
      <c r="E256" s="134"/>
      <c r="F256" s="135"/>
      <c r="G256" s="134"/>
      <c r="H256" s="134"/>
      <c r="I256" s="136"/>
      <c r="J256" s="134"/>
      <c r="K256" s="137"/>
      <c r="L256" s="134" t="s">
        <v>249</v>
      </c>
      <c r="M256" s="134"/>
      <c r="N256" s="137"/>
      <c r="O256" s="137"/>
      <c r="P256" s="134"/>
      <c r="Q256" s="135"/>
      <c r="R256" s="135"/>
      <c r="S256" s="135"/>
      <c r="T256" s="137"/>
      <c r="U256" s="138"/>
      <c r="V256" s="139"/>
      <c r="W256" s="138"/>
      <c r="X256" s="138"/>
      <c r="Y256" s="138"/>
      <c r="Z256" s="139"/>
      <c r="AA256" s="139"/>
      <c r="AB256" s="138" t="s">
        <v>249</v>
      </c>
      <c r="AC256" s="138"/>
      <c r="AD256" s="138"/>
      <c r="AE256" s="138"/>
      <c r="AF256" s="138"/>
      <c r="AG256" s="138"/>
      <c r="AH256" s="138"/>
      <c r="AI256" s="138"/>
      <c r="AJ256" s="138"/>
      <c r="AK256" s="138"/>
      <c r="AL256" s="75"/>
      <c r="AM256" s="140"/>
      <c r="AN256" s="140"/>
      <c r="AO256" s="75"/>
      <c r="AP256" s="75"/>
      <c r="AQ256" s="75"/>
      <c r="AR256" s="75"/>
      <c r="AS256" s="75"/>
      <c r="AT256" s="75"/>
      <c r="AU256" s="75"/>
      <c r="AV256" s="75"/>
      <c r="AW256" s="75"/>
      <c r="AX256" s="75"/>
      <c r="AY256" s="75"/>
      <c r="AZ256" s="75"/>
      <c r="BA256" s="75"/>
      <c r="BB256" s="75"/>
      <c r="BC256" s="140"/>
      <c r="BD256" s="75"/>
      <c r="BE256" s="75"/>
      <c r="BF256" s="140"/>
      <c r="BG256" s="75"/>
      <c r="BH256" s="141"/>
      <c r="BI256" s="141"/>
      <c r="BJ256" s="141"/>
      <c r="BK256" s="142"/>
      <c r="BL256" s="141" t="s">
        <v>249</v>
      </c>
      <c r="BM256" s="141"/>
      <c r="BN256" s="141"/>
      <c r="BO256" s="141"/>
      <c r="BP256" s="141"/>
      <c r="BQ256" s="141"/>
      <c r="BR256" s="141"/>
      <c r="BS256" s="141"/>
      <c r="BT256" s="141"/>
      <c r="BU256" s="141"/>
      <c r="BV256" s="141"/>
      <c r="BW256" s="142"/>
      <c r="BX256" s="142"/>
      <c r="BY256" s="142"/>
      <c r="BZ256" s="141"/>
      <c r="CA256" s="143"/>
      <c r="CB256" s="78"/>
      <c r="CC256" s="143"/>
      <c r="CD256" s="143"/>
      <c r="CE256" s="143"/>
      <c r="CF256" s="143"/>
      <c r="CG256" s="143"/>
      <c r="CH256" s="143"/>
      <c r="CI256" s="143"/>
      <c r="CJ256" s="143"/>
      <c r="CK256" s="143"/>
      <c r="CL256" s="143"/>
      <c r="CM256" s="143"/>
      <c r="CN256" s="143"/>
      <c r="CO256" s="143"/>
      <c r="CP256" s="143"/>
      <c r="CQ256" s="143"/>
      <c r="CR256" s="143"/>
      <c r="CS256" s="143"/>
    </row>
    <row r="257" spans="1:97" x14ac:dyDescent="0.25">
      <c r="A257" s="46" t="s">
        <v>737</v>
      </c>
      <c r="B257" s="134"/>
      <c r="C257" s="134"/>
      <c r="D257" s="134" t="s">
        <v>130</v>
      </c>
      <c r="E257" s="134"/>
      <c r="F257" s="135"/>
      <c r="G257" s="134"/>
      <c r="H257" s="134"/>
      <c r="I257" s="136"/>
      <c r="J257" s="134"/>
      <c r="K257" s="137"/>
      <c r="L257" s="134" t="s">
        <v>127</v>
      </c>
      <c r="M257" s="134"/>
      <c r="N257" s="137"/>
      <c r="O257" s="137"/>
      <c r="P257" s="134"/>
      <c r="Q257" s="135"/>
      <c r="R257" s="135"/>
      <c r="S257" s="135"/>
      <c r="T257" s="137"/>
      <c r="U257" s="138"/>
      <c r="V257" s="139"/>
      <c r="W257" s="138"/>
      <c r="X257" s="138"/>
      <c r="Y257" s="138"/>
      <c r="Z257" s="139"/>
      <c r="AA257" s="139"/>
      <c r="AB257" s="138" t="s">
        <v>127</v>
      </c>
      <c r="AC257" s="138"/>
      <c r="AD257" s="138"/>
      <c r="AE257" s="138"/>
      <c r="AF257" s="138"/>
      <c r="AG257" s="138"/>
      <c r="AH257" s="138"/>
      <c r="AI257" s="138"/>
      <c r="AJ257" s="138"/>
      <c r="AK257" s="138"/>
      <c r="AL257" s="75"/>
      <c r="AM257" s="140"/>
      <c r="AN257" s="140"/>
      <c r="AO257" s="75"/>
      <c r="AP257" s="75"/>
      <c r="AQ257" s="75"/>
      <c r="AR257" s="75"/>
      <c r="AS257" s="75"/>
      <c r="AT257" s="75"/>
      <c r="AU257" s="75"/>
      <c r="AV257" s="75"/>
      <c r="AW257" s="75"/>
      <c r="AX257" s="75"/>
      <c r="AY257" s="75"/>
      <c r="AZ257" s="75"/>
      <c r="BA257" s="75"/>
      <c r="BB257" s="75"/>
      <c r="BC257" s="140"/>
      <c r="BD257" s="75"/>
      <c r="BE257" s="75"/>
      <c r="BF257" s="140"/>
      <c r="BG257" s="75"/>
      <c r="BH257" s="141"/>
      <c r="BI257" s="141"/>
      <c r="BJ257" s="141"/>
      <c r="BK257" s="142"/>
      <c r="BL257" s="141" t="s">
        <v>127</v>
      </c>
      <c r="BM257" s="141"/>
      <c r="BN257" s="141"/>
      <c r="BO257" s="141"/>
      <c r="BP257" s="141"/>
      <c r="BQ257" s="141"/>
      <c r="BR257" s="141"/>
      <c r="BS257" s="141"/>
      <c r="BT257" s="141"/>
      <c r="BU257" s="141"/>
      <c r="BV257" s="141"/>
      <c r="BW257" s="142"/>
      <c r="BX257" s="142"/>
      <c r="BY257" s="142"/>
      <c r="BZ257" s="141"/>
      <c r="CA257" s="143"/>
      <c r="CB257" s="78"/>
      <c r="CC257" s="143"/>
      <c r="CD257" s="143"/>
      <c r="CE257" s="143"/>
      <c r="CF257" s="143"/>
      <c r="CG257" s="143"/>
      <c r="CH257" s="143"/>
      <c r="CI257" s="143"/>
      <c r="CJ257" s="143"/>
      <c r="CK257" s="143"/>
      <c r="CL257" s="143"/>
      <c r="CM257" s="143"/>
      <c r="CN257" s="143"/>
      <c r="CO257" s="143"/>
      <c r="CP257" s="143"/>
      <c r="CQ257" s="143"/>
      <c r="CR257" s="143"/>
      <c r="CS257" s="143"/>
    </row>
    <row r="258" spans="1:97" x14ac:dyDescent="0.25">
      <c r="A258" s="46" t="s">
        <v>738</v>
      </c>
      <c r="B258" s="134"/>
      <c r="C258" s="134"/>
      <c r="D258" s="148">
        <f>0.4+(char4Refine-1)*0.1</f>
        <v>0.4</v>
      </c>
      <c r="E258" s="134"/>
      <c r="F258" s="135"/>
      <c r="G258" s="134"/>
      <c r="H258" s="134"/>
      <c r="I258" s="136"/>
      <c r="J258" s="134"/>
      <c r="K258" s="137"/>
      <c r="L258" s="145">
        <f>200%+(char4Refine-1)*40%</f>
        <v>2</v>
      </c>
      <c r="M258" s="134"/>
      <c r="N258" s="137"/>
      <c r="O258" s="137"/>
      <c r="P258" s="134"/>
      <c r="Q258" s="135"/>
      <c r="R258" s="135"/>
      <c r="S258" s="135"/>
      <c r="T258" s="137"/>
      <c r="U258" s="138"/>
      <c r="V258" s="139"/>
      <c r="W258" s="138"/>
      <c r="X258" s="138"/>
      <c r="Y258" s="138"/>
      <c r="Z258" s="139"/>
      <c r="AA258" s="139"/>
      <c r="AB258" s="138">
        <f>200%+(char4Refine-1)*40%</f>
        <v>2</v>
      </c>
      <c r="AC258" s="138"/>
      <c r="AD258" s="138"/>
      <c r="AE258" s="138"/>
      <c r="AF258" s="138"/>
      <c r="AG258" s="138"/>
      <c r="AH258" s="138"/>
      <c r="AI258" s="138"/>
      <c r="AJ258" s="138"/>
      <c r="AK258" s="138"/>
      <c r="AL258" s="75"/>
      <c r="AM258" s="140"/>
      <c r="AN258" s="140"/>
      <c r="AO258" s="75"/>
      <c r="AP258" s="75"/>
      <c r="AQ258" s="75"/>
      <c r="AR258" s="75"/>
      <c r="AS258" s="75"/>
      <c r="AT258" s="75"/>
      <c r="AU258" s="75"/>
      <c r="AV258" s="75"/>
      <c r="AW258" s="75"/>
      <c r="AX258" s="75"/>
      <c r="AY258" s="75"/>
      <c r="AZ258" s="75"/>
      <c r="BA258" s="75"/>
      <c r="BB258" s="75"/>
      <c r="BC258" s="140"/>
      <c r="BD258" s="75"/>
      <c r="BE258" s="75"/>
      <c r="BF258" s="140"/>
      <c r="BG258" s="75"/>
      <c r="BH258" s="141"/>
      <c r="BI258" s="141"/>
      <c r="BJ258" s="141"/>
      <c r="BK258" s="142"/>
      <c r="BL258" s="141">
        <f>200%+(char4Refine-1)*40%</f>
        <v>2</v>
      </c>
      <c r="BM258" s="141"/>
      <c r="BN258" s="141"/>
      <c r="BO258" s="141"/>
      <c r="BP258" s="141"/>
      <c r="BQ258" s="141"/>
      <c r="BR258" s="141"/>
      <c r="BS258" s="141"/>
      <c r="BT258" s="141"/>
      <c r="BU258" s="141"/>
      <c r="BV258" s="141"/>
      <c r="BW258" s="142"/>
      <c r="BX258" s="142"/>
      <c r="BY258" s="142"/>
      <c r="BZ258" s="141"/>
      <c r="CA258" s="143"/>
      <c r="CB258" s="78"/>
      <c r="CC258" s="143"/>
      <c r="CD258" s="143"/>
      <c r="CE258" s="143"/>
      <c r="CF258" s="143"/>
      <c r="CG258" s="143"/>
      <c r="CH258" s="143"/>
      <c r="CI258" s="143"/>
      <c r="CJ258" s="143"/>
      <c r="CK258" s="143"/>
      <c r="CL258" s="143"/>
      <c r="CM258" s="143"/>
      <c r="CN258" s="143"/>
      <c r="CO258" s="143"/>
      <c r="CP258" s="143"/>
      <c r="CQ258" s="143"/>
      <c r="CR258" s="143"/>
      <c r="CS258" s="143"/>
    </row>
    <row r="259" spans="1:97" x14ac:dyDescent="0.25">
      <c r="A259" s="46" t="s">
        <v>739</v>
      </c>
      <c r="B259" s="134"/>
      <c r="C259" s="134"/>
      <c r="D259" s="148" t="str">
        <f>char4CAElement</f>
        <v>Phys</v>
      </c>
      <c r="E259" s="134"/>
      <c r="F259" s="135"/>
      <c r="G259" s="134"/>
      <c r="H259" s="134"/>
      <c r="I259" s="136"/>
      <c r="J259" s="134"/>
      <c r="K259" s="137"/>
      <c r="L259" s="134" t="s">
        <v>723</v>
      </c>
      <c r="M259" s="134"/>
      <c r="N259" s="137"/>
      <c r="O259" s="137"/>
      <c r="P259" s="134"/>
      <c r="Q259" s="135"/>
      <c r="R259" s="135"/>
      <c r="S259" s="135"/>
      <c r="T259" s="137"/>
      <c r="U259" s="138"/>
      <c r="V259" s="139"/>
      <c r="W259" s="138"/>
      <c r="X259" s="138"/>
      <c r="Y259" s="138"/>
      <c r="Z259" s="139"/>
      <c r="AA259" s="139"/>
      <c r="AB259" s="138" t="s">
        <v>723</v>
      </c>
      <c r="AC259" s="138"/>
      <c r="AD259" s="138"/>
      <c r="AE259" s="138"/>
      <c r="AF259" s="138"/>
      <c r="AG259" s="138"/>
      <c r="AH259" s="138"/>
      <c r="AI259" s="138"/>
      <c r="AJ259" s="138"/>
      <c r="AK259" s="138"/>
      <c r="AL259" s="75"/>
      <c r="AM259" s="140"/>
      <c r="AN259" s="140"/>
      <c r="AO259" s="75"/>
      <c r="AP259" s="75"/>
      <c r="AQ259" s="75"/>
      <c r="AR259" s="75"/>
      <c r="AS259" s="75"/>
      <c r="AT259" s="75"/>
      <c r="AU259" s="75"/>
      <c r="AV259" s="75"/>
      <c r="AW259" s="75"/>
      <c r="AX259" s="75"/>
      <c r="AY259" s="75"/>
      <c r="AZ259" s="75"/>
      <c r="BA259" s="75"/>
      <c r="BB259" s="75"/>
      <c r="BC259" s="140"/>
      <c r="BD259" s="75"/>
      <c r="BE259" s="75"/>
      <c r="BF259" s="140"/>
      <c r="BG259" s="75"/>
      <c r="BH259" s="141"/>
      <c r="BI259" s="141"/>
      <c r="BJ259" s="141"/>
      <c r="BK259" s="142"/>
      <c r="BL259" s="141" t="s">
        <v>723</v>
      </c>
      <c r="BM259" s="141"/>
      <c r="BN259" s="141"/>
      <c r="BO259" s="141"/>
      <c r="BP259" s="141"/>
      <c r="BQ259" s="141"/>
      <c r="BR259" s="141"/>
      <c r="BS259" s="141"/>
      <c r="BT259" s="141"/>
      <c r="BU259" s="141"/>
      <c r="BV259" s="141"/>
      <c r="BW259" s="142"/>
      <c r="BX259" s="142"/>
      <c r="BY259" s="142"/>
      <c r="BZ259" s="141"/>
      <c r="CA259" s="143"/>
      <c r="CB259" s="78"/>
      <c r="CC259" s="143"/>
      <c r="CD259" s="143"/>
      <c r="CE259" s="143"/>
      <c r="CF259" s="143"/>
      <c r="CG259" s="143"/>
      <c r="CH259" s="143"/>
      <c r="CI259" s="143"/>
      <c r="CJ259" s="143"/>
      <c r="CK259" s="143"/>
      <c r="CL259" s="143"/>
      <c r="CM259" s="143"/>
      <c r="CN259" s="143"/>
      <c r="CO259" s="143"/>
      <c r="CP259" s="143"/>
      <c r="CQ259" s="143"/>
      <c r="CR259" s="143"/>
      <c r="CS259" s="143"/>
    </row>
    <row r="260" spans="1:97" x14ac:dyDescent="0.25">
      <c r="A260" s="46" t="s">
        <v>740</v>
      </c>
      <c r="B260" s="134"/>
      <c r="C260" s="134"/>
      <c r="D260" s="134"/>
      <c r="E260" s="134"/>
      <c r="F260" s="135"/>
      <c r="G260" s="134"/>
      <c r="H260" s="134"/>
      <c r="I260" s="136"/>
      <c r="J260" s="134"/>
      <c r="K260" s="137"/>
      <c r="L260" s="134"/>
      <c r="M260" s="134"/>
      <c r="N260" s="137"/>
      <c r="O260" s="137"/>
      <c r="P260" s="134"/>
      <c r="Q260" s="135"/>
      <c r="R260" s="135"/>
      <c r="S260" s="135"/>
      <c r="T260" s="137"/>
      <c r="U260" s="138"/>
      <c r="V260" s="139"/>
      <c r="W260" s="138"/>
      <c r="X260" s="138"/>
      <c r="Y260" s="138"/>
      <c r="Z260" s="139"/>
      <c r="AA260" s="139"/>
      <c r="AB260" s="138"/>
      <c r="AC260" s="138"/>
      <c r="AD260" s="138"/>
      <c r="AE260" s="138"/>
      <c r="AF260" s="138"/>
      <c r="AG260" s="138"/>
      <c r="AH260" s="138"/>
      <c r="AI260" s="138"/>
      <c r="AJ260" s="138"/>
      <c r="AK260" s="138"/>
      <c r="AL260" s="75"/>
      <c r="AM260" s="140"/>
      <c r="AN260" s="140"/>
      <c r="AO260" s="75"/>
      <c r="AP260" s="75"/>
      <c r="AQ260" s="75"/>
      <c r="AR260" s="75"/>
      <c r="AS260" s="75"/>
      <c r="AT260" s="75"/>
      <c r="AU260" s="75"/>
      <c r="AV260" s="75"/>
      <c r="AW260" s="75"/>
      <c r="AX260" s="75"/>
      <c r="AY260" s="75"/>
      <c r="AZ260" s="75"/>
      <c r="BA260" s="75"/>
      <c r="BB260" s="75"/>
      <c r="BC260" s="140"/>
      <c r="BD260" s="75"/>
      <c r="BE260" s="75"/>
      <c r="BF260" s="140"/>
      <c r="BG260" s="75"/>
      <c r="BH260" s="141"/>
      <c r="BI260" s="141"/>
      <c r="BJ260" s="141"/>
      <c r="BK260" s="142"/>
      <c r="BL260" s="141"/>
      <c r="BM260" s="141"/>
      <c r="BN260" s="141"/>
      <c r="BO260" s="141"/>
      <c r="BP260" s="141"/>
      <c r="BQ260" s="141"/>
      <c r="BR260" s="141"/>
      <c r="BS260" s="141"/>
      <c r="BT260" s="141"/>
      <c r="BU260" s="141"/>
      <c r="BV260" s="141"/>
      <c r="BW260" s="142"/>
      <c r="BX260" s="142"/>
      <c r="BY260" s="142"/>
      <c r="BZ260" s="141"/>
      <c r="CA260" s="143"/>
      <c r="CB260" s="78"/>
      <c r="CC260" s="143"/>
      <c r="CD260" s="143"/>
      <c r="CE260" s="143"/>
      <c r="CF260" s="143"/>
      <c r="CG260" s="143"/>
      <c r="CH260" s="143"/>
      <c r="CI260" s="143"/>
      <c r="CJ260" s="143"/>
      <c r="CK260" s="143"/>
      <c r="CL260" s="143"/>
      <c r="CM260" s="143"/>
      <c r="CN260" s="143"/>
      <c r="CO260" s="143"/>
      <c r="CP260" s="143"/>
      <c r="CQ260" s="143"/>
      <c r="CR260" s="143"/>
      <c r="CS260" s="143"/>
    </row>
    <row r="261" spans="1:97" x14ac:dyDescent="0.25">
      <c r="A261" s="46" t="s">
        <v>741</v>
      </c>
      <c r="B261" s="134"/>
      <c r="C261" s="134"/>
      <c r="D261" s="134"/>
      <c r="E261" s="134"/>
      <c r="F261" s="135"/>
      <c r="G261" s="134"/>
      <c r="H261" s="134"/>
      <c r="I261" s="136"/>
      <c r="J261" s="134"/>
      <c r="K261" s="137"/>
      <c r="L261" s="134"/>
      <c r="M261" s="134"/>
      <c r="N261" s="137"/>
      <c r="O261" s="137"/>
      <c r="P261" s="134"/>
      <c r="Q261" s="135"/>
      <c r="R261" s="135"/>
      <c r="S261" s="135"/>
      <c r="T261" s="137"/>
      <c r="U261" s="138"/>
      <c r="V261" s="139"/>
      <c r="W261" s="138"/>
      <c r="X261" s="138"/>
      <c r="Y261" s="138"/>
      <c r="Z261" s="139"/>
      <c r="AA261" s="139"/>
      <c r="AB261" s="138"/>
      <c r="AC261" s="138"/>
      <c r="AD261" s="138"/>
      <c r="AE261" s="138"/>
      <c r="AF261" s="138"/>
      <c r="AG261" s="138"/>
      <c r="AH261" s="138"/>
      <c r="AI261" s="138"/>
      <c r="AJ261" s="138"/>
      <c r="AK261" s="138"/>
      <c r="AL261" s="75"/>
      <c r="AM261" s="140"/>
      <c r="AN261" s="140"/>
      <c r="AO261" s="75"/>
      <c r="AP261" s="75"/>
      <c r="AQ261" s="75"/>
      <c r="AR261" s="75"/>
      <c r="AS261" s="75"/>
      <c r="AT261" s="75"/>
      <c r="AU261" s="75"/>
      <c r="AV261" s="75"/>
      <c r="AW261" s="75"/>
      <c r="AX261" s="75"/>
      <c r="AY261" s="75"/>
      <c r="AZ261" s="75"/>
      <c r="BA261" s="75"/>
      <c r="BB261" s="75"/>
      <c r="BC261" s="140"/>
      <c r="BD261" s="75"/>
      <c r="BE261" s="75"/>
      <c r="BF261" s="140"/>
      <c r="BG261" s="75"/>
      <c r="BH261" s="141"/>
      <c r="BI261" s="141"/>
      <c r="BJ261" s="141"/>
      <c r="BK261" s="142"/>
      <c r="BL261" s="141"/>
      <c r="BM261" s="141"/>
      <c r="BN261" s="141"/>
      <c r="BO261" s="141"/>
      <c r="BP261" s="141"/>
      <c r="BQ261" s="141"/>
      <c r="BR261" s="141"/>
      <c r="BS261" s="141"/>
      <c r="BT261" s="141"/>
      <c r="BU261" s="141"/>
      <c r="BV261" s="141"/>
      <c r="BW261" s="142"/>
      <c r="BX261" s="142"/>
      <c r="BY261" s="142"/>
      <c r="BZ261" s="141"/>
      <c r="CA261" s="143"/>
      <c r="CB261" s="78"/>
      <c r="CC261" s="143"/>
      <c r="CD261" s="143"/>
      <c r="CE261" s="143"/>
      <c r="CF261" s="143"/>
      <c r="CG261" s="143"/>
      <c r="CH261" s="143"/>
      <c r="CI261" s="143"/>
      <c r="CJ261" s="143"/>
      <c r="CK261" s="143"/>
      <c r="CL261" s="143"/>
      <c r="CM261" s="143"/>
      <c r="CN261" s="143"/>
      <c r="CO261" s="143"/>
      <c r="CP261" s="143"/>
      <c r="CQ261" s="143"/>
      <c r="CR261" s="143"/>
      <c r="CS261" s="143"/>
    </row>
    <row r="262" spans="1:97" x14ac:dyDescent="0.25">
      <c r="A262" s="46" t="s">
        <v>742</v>
      </c>
      <c r="B262" s="134"/>
      <c r="C262" s="134"/>
      <c r="D262" s="134"/>
      <c r="E262" s="134"/>
      <c r="F262" s="135"/>
      <c r="G262" s="134"/>
      <c r="H262" s="134"/>
      <c r="I262" s="136"/>
      <c r="J262" s="134"/>
      <c r="K262" s="137"/>
      <c r="L262" s="134"/>
      <c r="M262" s="134"/>
      <c r="N262" s="137"/>
      <c r="O262" s="137"/>
      <c r="P262" s="134"/>
      <c r="Q262" s="135"/>
      <c r="R262" s="135"/>
      <c r="S262" s="135"/>
      <c r="T262" s="137"/>
      <c r="U262" s="138"/>
      <c r="V262" s="139"/>
      <c r="W262" s="138"/>
      <c r="X262" s="138"/>
      <c r="Y262" s="138"/>
      <c r="Z262" s="139"/>
      <c r="AA262" s="139"/>
      <c r="AB262" s="138"/>
      <c r="AC262" s="138"/>
      <c r="AD262" s="138"/>
      <c r="AE262" s="138"/>
      <c r="AF262" s="138"/>
      <c r="AG262" s="138"/>
      <c r="AH262" s="138"/>
      <c r="AI262" s="138"/>
      <c r="AJ262" s="138"/>
      <c r="AK262" s="138"/>
      <c r="AL262" s="75"/>
      <c r="AM262" s="140"/>
      <c r="AN262" s="140"/>
      <c r="AO262" s="75"/>
      <c r="AP262" s="75"/>
      <c r="AQ262" s="75"/>
      <c r="AR262" s="75"/>
      <c r="AS262" s="75"/>
      <c r="AT262" s="75"/>
      <c r="AU262" s="75"/>
      <c r="AV262" s="75"/>
      <c r="AW262" s="75"/>
      <c r="AX262" s="75"/>
      <c r="AY262" s="75"/>
      <c r="AZ262" s="75"/>
      <c r="BA262" s="75"/>
      <c r="BB262" s="75"/>
      <c r="BC262" s="140"/>
      <c r="BD262" s="75"/>
      <c r="BE262" s="75"/>
      <c r="BF262" s="140"/>
      <c r="BG262" s="75"/>
      <c r="BH262" s="141"/>
      <c r="BI262" s="141"/>
      <c r="BJ262" s="141"/>
      <c r="BK262" s="142"/>
      <c r="BL262" s="141"/>
      <c r="BM262" s="141"/>
      <c r="BN262" s="141"/>
      <c r="BO262" s="141"/>
      <c r="BP262" s="141"/>
      <c r="BQ262" s="141"/>
      <c r="BR262" s="141"/>
      <c r="BS262" s="141"/>
      <c r="BT262" s="141"/>
      <c r="BU262" s="141"/>
      <c r="BV262" s="141"/>
      <c r="BW262" s="142"/>
      <c r="BX262" s="142"/>
      <c r="BY262" s="142"/>
      <c r="BZ262" s="141"/>
      <c r="CA262" s="143"/>
      <c r="CB262" s="78"/>
      <c r="CC262" s="143"/>
      <c r="CD262" s="143"/>
      <c r="CE262" s="143"/>
      <c r="CF262" s="143"/>
      <c r="CG262" s="143"/>
      <c r="CH262" s="143"/>
      <c r="CI262" s="143"/>
      <c r="CJ262" s="143"/>
      <c r="CK262" s="143"/>
      <c r="CL262" s="143"/>
      <c r="CM262" s="143"/>
      <c r="CN262" s="143"/>
      <c r="CO262" s="143"/>
      <c r="CP262" s="143"/>
      <c r="CQ262" s="143"/>
      <c r="CR262" s="143"/>
      <c r="CS262" s="143"/>
    </row>
    <row r="263" spans="1:97" x14ac:dyDescent="0.25">
      <c r="A263" s="46" t="s">
        <v>743</v>
      </c>
      <c r="B263" s="134"/>
      <c r="C263" s="134"/>
      <c r="D263" s="134"/>
      <c r="E263" s="134"/>
      <c r="F263" s="135"/>
      <c r="G263" s="134"/>
      <c r="H263" s="134"/>
      <c r="I263" s="136"/>
      <c r="J263" s="134"/>
      <c r="K263" s="137"/>
      <c r="L263" s="134"/>
      <c r="M263" s="134"/>
      <c r="N263" s="137"/>
      <c r="O263" s="137"/>
      <c r="P263" s="134"/>
      <c r="Q263" s="135"/>
      <c r="R263" s="135"/>
      <c r="S263" s="135"/>
      <c r="T263" s="137"/>
      <c r="U263" s="138"/>
      <c r="V263" s="139"/>
      <c r="W263" s="138"/>
      <c r="X263" s="138"/>
      <c r="Y263" s="138"/>
      <c r="Z263" s="139"/>
      <c r="AA263" s="139"/>
      <c r="AB263" s="138"/>
      <c r="AC263" s="138"/>
      <c r="AD263" s="138"/>
      <c r="AE263" s="138"/>
      <c r="AF263" s="138"/>
      <c r="AG263" s="138"/>
      <c r="AH263" s="138"/>
      <c r="AI263" s="138"/>
      <c r="AJ263" s="138"/>
      <c r="AK263" s="138"/>
      <c r="AL263" s="75"/>
      <c r="AM263" s="140"/>
      <c r="AN263" s="140"/>
      <c r="AO263" s="75"/>
      <c r="AP263" s="75"/>
      <c r="AQ263" s="75"/>
      <c r="AR263" s="75"/>
      <c r="AS263" s="75"/>
      <c r="AT263" s="75"/>
      <c r="AU263" s="75"/>
      <c r="AV263" s="75"/>
      <c r="AW263" s="75"/>
      <c r="AX263" s="75"/>
      <c r="AY263" s="75"/>
      <c r="AZ263" s="75"/>
      <c r="BA263" s="75"/>
      <c r="BB263" s="75"/>
      <c r="BC263" s="140"/>
      <c r="BD263" s="75"/>
      <c r="BE263" s="75"/>
      <c r="BF263" s="140"/>
      <c r="BG263" s="75"/>
      <c r="BH263" s="141"/>
      <c r="BI263" s="141"/>
      <c r="BJ263" s="141"/>
      <c r="BK263" s="142"/>
      <c r="BL263" s="141"/>
      <c r="BM263" s="141"/>
      <c r="BN263" s="141"/>
      <c r="BO263" s="141"/>
      <c r="BP263" s="141"/>
      <c r="BQ263" s="141"/>
      <c r="BR263" s="141"/>
      <c r="BS263" s="141"/>
      <c r="BT263" s="141"/>
      <c r="BU263" s="141"/>
      <c r="BV263" s="141"/>
      <c r="BW263" s="142"/>
      <c r="BX263" s="142"/>
      <c r="BY263" s="142"/>
      <c r="BZ263" s="141"/>
      <c r="CA263" s="143"/>
      <c r="CB263" s="78"/>
      <c r="CC263" s="143"/>
      <c r="CD263" s="143"/>
      <c r="CE263" s="143"/>
      <c r="CF263" s="143"/>
      <c r="CG263" s="143"/>
      <c r="CH263" s="143"/>
      <c r="CI263" s="143"/>
      <c r="CJ263" s="143"/>
      <c r="CK263" s="143"/>
      <c r="CL263" s="143"/>
      <c r="CM263" s="143"/>
      <c r="CN263" s="143"/>
      <c r="CO263" s="143"/>
      <c r="CP263" s="143"/>
      <c r="CQ263" s="143"/>
      <c r="CR263" s="143"/>
      <c r="CS263" s="143"/>
    </row>
    <row r="264" spans="1:97" x14ac:dyDescent="0.25">
      <c r="A264" s="46" t="s">
        <v>744</v>
      </c>
      <c r="B264" s="134"/>
      <c r="C264" s="134"/>
      <c r="D264" s="134"/>
      <c r="E264" s="134"/>
      <c r="F264" s="135"/>
      <c r="G264" s="134"/>
      <c r="H264" s="134"/>
      <c r="I264" s="136"/>
      <c r="J264" s="134"/>
      <c r="K264" s="137"/>
      <c r="L264" s="134"/>
      <c r="M264" s="134"/>
      <c r="N264" s="137"/>
      <c r="O264" s="137"/>
      <c r="P264" s="134"/>
      <c r="Q264" s="135"/>
      <c r="R264" s="135"/>
      <c r="S264" s="135"/>
      <c r="T264" s="137"/>
      <c r="U264" s="138"/>
      <c r="V264" s="139"/>
      <c r="W264" s="138"/>
      <c r="X264" s="138"/>
      <c r="Y264" s="138"/>
      <c r="Z264" s="139"/>
      <c r="AA264" s="139"/>
      <c r="AB264" s="138"/>
      <c r="AC264" s="138"/>
      <c r="AD264" s="138"/>
      <c r="AE264" s="138"/>
      <c r="AF264" s="138"/>
      <c r="AG264" s="138"/>
      <c r="AH264" s="138"/>
      <c r="AI264" s="138"/>
      <c r="AJ264" s="138"/>
      <c r="AK264" s="138"/>
      <c r="AL264" s="75"/>
      <c r="AM264" s="140"/>
      <c r="AN264" s="140"/>
      <c r="AO264" s="75"/>
      <c r="AP264" s="75"/>
      <c r="AQ264" s="75"/>
      <c r="AR264" s="75"/>
      <c r="AS264" s="75"/>
      <c r="AT264" s="75"/>
      <c r="AU264" s="75"/>
      <c r="AV264" s="75"/>
      <c r="AW264" s="75"/>
      <c r="AX264" s="75"/>
      <c r="AY264" s="75"/>
      <c r="AZ264" s="75"/>
      <c r="BA264" s="75"/>
      <c r="BB264" s="75"/>
      <c r="BC264" s="140"/>
      <c r="BD264" s="75"/>
      <c r="BE264" s="75"/>
      <c r="BF264" s="140"/>
      <c r="BG264" s="75"/>
      <c r="BH264" s="141"/>
      <c r="BI264" s="141"/>
      <c r="BJ264" s="141"/>
      <c r="BK264" s="142"/>
      <c r="BL264" s="141"/>
      <c r="BM264" s="141"/>
      <c r="BN264" s="141"/>
      <c r="BO264" s="141"/>
      <c r="BP264" s="141"/>
      <c r="BQ264" s="141"/>
      <c r="BR264" s="141"/>
      <c r="BS264" s="141"/>
      <c r="BT264" s="141"/>
      <c r="BU264" s="141"/>
      <c r="BV264" s="141"/>
      <c r="BW264" s="142"/>
      <c r="BX264" s="142"/>
      <c r="BY264" s="142"/>
      <c r="BZ264" s="141"/>
      <c r="CA264" s="143"/>
      <c r="CB264" s="78"/>
      <c r="CC264" s="143"/>
      <c r="CD264" s="143"/>
      <c r="CE264" s="143"/>
      <c r="CF264" s="143"/>
      <c r="CG264" s="143"/>
      <c r="CH264" s="143"/>
      <c r="CI264" s="143"/>
      <c r="CJ264" s="143"/>
      <c r="CK264" s="143"/>
      <c r="CL264" s="143"/>
      <c r="CM264" s="143"/>
      <c r="CN264" s="143"/>
      <c r="CO264" s="143"/>
      <c r="CP264" s="143"/>
      <c r="CQ264" s="143"/>
      <c r="CR264" s="143"/>
      <c r="CS264" s="143"/>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EF0CC4-5070-4B30-86C5-3F74E4145FA4}">
  <dimension ref="A1:AP215"/>
  <sheetViews>
    <sheetView topLeftCell="A39" zoomScale="80" zoomScaleNormal="80" workbookViewId="0">
      <selection activeCell="J53" sqref="J53"/>
    </sheetView>
  </sheetViews>
  <sheetFormatPr defaultRowHeight="15" x14ac:dyDescent="0.25"/>
  <sheetData>
    <row r="1" spans="1:42" x14ac:dyDescent="0.25">
      <c r="A1" s="85" t="s">
        <v>571</v>
      </c>
      <c r="B1" s="86" t="s">
        <v>65</v>
      </c>
      <c r="C1" s="86" t="s">
        <v>66</v>
      </c>
      <c r="D1" s="87" t="s">
        <v>67</v>
      </c>
      <c r="E1" s="86" t="s">
        <v>413</v>
      </c>
      <c r="F1" s="86" t="s">
        <v>414</v>
      </c>
      <c r="G1" s="86" t="s">
        <v>68</v>
      </c>
      <c r="H1" s="86" t="s">
        <v>70</v>
      </c>
      <c r="I1" s="87" t="s">
        <v>71</v>
      </c>
      <c r="J1" s="86" t="s">
        <v>72</v>
      </c>
      <c r="K1" s="87" t="s">
        <v>73</v>
      </c>
      <c r="L1" s="87" t="s">
        <v>74</v>
      </c>
      <c r="M1" s="87" t="s">
        <v>75</v>
      </c>
      <c r="N1" s="87" t="s">
        <v>76</v>
      </c>
      <c r="O1" s="87" t="s">
        <v>69</v>
      </c>
      <c r="P1" s="87" t="s">
        <v>457</v>
      </c>
      <c r="Q1" s="87" t="s">
        <v>427</v>
      </c>
      <c r="R1" s="87" t="s">
        <v>77</v>
      </c>
      <c r="S1" s="87" t="s">
        <v>78</v>
      </c>
      <c r="T1" s="87" t="s">
        <v>79</v>
      </c>
      <c r="U1" s="87" t="s">
        <v>80</v>
      </c>
      <c r="V1" s="87" t="s">
        <v>81</v>
      </c>
      <c r="W1" s="86" t="s">
        <v>82</v>
      </c>
      <c r="X1" s="86" t="s">
        <v>458</v>
      </c>
      <c r="Y1" s="86" t="s">
        <v>83</v>
      </c>
      <c r="Z1" s="86" t="s">
        <v>84</v>
      </c>
      <c r="AA1" s="86" t="s">
        <v>85</v>
      </c>
      <c r="AB1" s="86" t="s">
        <v>87</v>
      </c>
      <c r="AC1" s="86" t="s">
        <v>86</v>
      </c>
      <c r="AD1" s="86" t="s">
        <v>88</v>
      </c>
      <c r="AE1" s="86" t="s">
        <v>89</v>
      </c>
      <c r="AF1" s="86" t="s">
        <v>90</v>
      </c>
      <c r="AG1" s="86" t="s">
        <v>459</v>
      </c>
      <c r="AH1" s="86" t="s">
        <v>460</v>
      </c>
      <c r="AI1" s="86" t="s">
        <v>461</v>
      </c>
      <c r="AJ1" s="86" t="s">
        <v>462</v>
      </c>
      <c r="AK1" s="86" t="s">
        <v>463</v>
      </c>
      <c r="AL1" s="86" t="s">
        <v>464</v>
      </c>
      <c r="AM1" s="86" t="s">
        <v>465</v>
      </c>
      <c r="AN1" s="87" t="s">
        <v>62</v>
      </c>
      <c r="AO1" s="87" t="s">
        <v>64</v>
      </c>
      <c r="AP1" s="88" t="s">
        <v>63</v>
      </c>
    </row>
    <row r="2" spans="1:42" x14ac:dyDescent="0.25">
      <c r="A2" s="89" t="s">
        <v>572</v>
      </c>
      <c r="B2" s="90"/>
      <c r="C2" s="90"/>
      <c r="D2" s="90"/>
      <c r="E2" s="90"/>
      <c r="F2" s="90"/>
      <c r="G2" s="90"/>
      <c r="H2" s="90"/>
      <c r="I2" s="90"/>
      <c r="J2" s="90">
        <v>0.15</v>
      </c>
      <c r="K2" s="90"/>
      <c r="L2" s="90"/>
      <c r="M2" s="90"/>
      <c r="N2" s="90"/>
      <c r="O2" s="91"/>
      <c r="P2" s="90"/>
      <c r="Q2" s="90"/>
      <c r="R2" s="90"/>
      <c r="S2" s="90"/>
      <c r="T2" s="90"/>
      <c r="U2" s="90"/>
      <c r="V2" s="90"/>
      <c r="W2" s="90"/>
      <c r="X2" s="90"/>
      <c r="Y2" s="90"/>
      <c r="Z2" s="90"/>
      <c r="AA2" s="90"/>
      <c r="AB2" s="90"/>
      <c r="AC2" s="90"/>
      <c r="AD2" s="90"/>
      <c r="AE2" s="90"/>
      <c r="AF2" s="90"/>
      <c r="AG2" s="90"/>
      <c r="AH2" s="90"/>
      <c r="AI2" s="90"/>
      <c r="AJ2" s="90"/>
      <c r="AK2" s="90"/>
      <c r="AL2" s="90"/>
      <c r="AM2" s="90"/>
      <c r="AN2" s="92"/>
      <c r="AO2" s="92"/>
      <c r="AP2" s="93"/>
    </row>
    <row r="3" spans="1:42" x14ac:dyDescent="0.25">
      <c r="A3" s="94" t="s">
        <v>573</v>
      </c>
      <c r="B3" s="95"/>
      <c r="C3" s="95"/>
      <c r="D3" s="95"/>
      <c r="E3" s="95">
        <v>0.12</v>
      </c>
      <c r="F3" s="95"/>
      <c r="G3" s="95"/>
      <c r="H3" s="95"/>
      <c r="I3" s="95"/>
      <c r="J3" s="95"/>
      <c r="K3" s="95"/>
      <c r="L3" s="95"/>
      <c r="M3" s="95"/>
      <c r="N3" s="95"/>
      <c r="O3" s="96"/>
      <c r="P3" s="95"/>
      <c r="Q3" s="95"/>
      <c r="R3" s="95"/>
      <c r="S3" s="95"/>
      <c r="T3" s="95"/>
      <c r="U3" s="95"/>
      <c r="V3" s="95"/>
      <c r="W3" s="95"/>
      <c r="X3" s="95"/>
      <c r="Y3" s="95"/>
      <c r="Z3" s="95"/>
      <c r="AA3" s="95"/>
      <c r="AB3" s="95"/>
      <c r="AC3" s="95"/>
      <c r="AD3" s="95"/>
      <c r="AE3" s="95"/>
      <c r="AF3" s="95"/>
      <c r="AG3" s="95"/>
      <c r="AH3" s="95"/>
      <c r="AI3" s="95"/>
      <c r="AJ3" s="95"/>
      <c r="AK3" s="95"/>
      <c r="AL3" s="95"/>
      <c r="AM3" s="95"/>
      <c r="AN3" s="97"/>
      <c r="AO3" s="97"/>
      <c r="AP3" s="98"/>
    </row>
    <row r="4" spans="1:42" x14ac:dyDescent="0.25">
      <c r="A4" s="89" t="s">
        <v>574</v>
      </c>
      <c r="B4" s="90"/>
      <c r="C4" s="90"/>
      <c r="D4" s="90"/>
      <c r="E4" s="90"/>
      <c r="F4" s="90"/>
      <c r="G4" s="90"/>
      <c r="H4" s="90">
        <v>0.25</v>
      </c>
      <c r="I4" s="90"/>
      <c r="J4" s="90"/>
      <c r="K4" s="90"/>
      <c r="L4" s="90"/>
      <c r="M4" s="90"/>
      <c r="N4" s="90"/>
      <c r="O4" s="91"/>
      <c r="P4" s="90"/>
      <c r="Q4" s="90"/>
      <c r="R4" s="90"/>
      <c r="S4" s="90"/>
      <c r="T4" s="90"/>
      <c r="U4" s="90"/>
      <c r="V4" s="90"/>
      <c r="W4" s="90"/>
      <c r="X4" s="90"/>
      <c r="Y4" s="90"/>
      <c r="Z4" s="90"/>
      <c r="AA4" s="90"/>
      <c r="AB4" s="90"/>
      <c r="AC4" s="90"/>
      <c r="AD4" s="90"/>
      <c r="AE4" s="90"/>
      <c r="AF4" s="90"/>
      <c r="AG4" s="90"/>
      <c r="AH4" s="90"/>
      <c r="AI4" s="90"/>
      <c r="AJ4" s="90"/>
      <c r="AK4" s="90"/>
      <c r="AL4" s="90"/>
      <c r="AM4" s="90"/>
      <c r="AN4" s="92"/>
      <c r="AO4" s="92"/>
      <c r="AP4" s="93"/>
    </row>
    <row r="5" spans="1:42" x14ac:dyDescent="0.25">
      <c r="A5" s="94" t="s">
        <v>575</v>
      </c>
      <c r="B5" s="95">
        <v>0.18</v>
      </c>
      <c r="C5" s="95"/>
      <c r="D5" s="95"/>
      <c r="E5" s="95"/>
      <c r="F5" s="95"/>
      <c r="G5" s="95"/>
      <c r="H5" s="95"/>
      <c r="I5" s="95"/>
      <c r="J5" s="95"/>
      <c r="K5" s="95"/>
      <c r="L5" s="95"/>
      <c r="M5" s="95"/>
      <c r="N5" s="95"/>
      <c r="O5" s="96"/>
      <c r="P5" s="95"/>
      <c r="Q5" s="95"/>
      <c r="R5" s="95"/>
      <c r="S5" s="95"/>
      <c r="T5" s="95"/>
      <c r="U5" s="95"/>
      <c r="V5" s="95"/>
      <c r="W5" s="95"/>
      <c r="X5" s="95"/>
      <c r="Y5" s="95"/>
      <c r="Z5" s="95"/>
      <c r="AA5" s="95"/>
      <c r="AB5" s="95"/>
      <c r="AC5" s="95"/>
      <c r="AD5" s="95"/>
      <c r="AE5" s="95"/>
      <c r="AF5" s="95"/>
      <c r="AG5" s="95"/>
      <c r="AH5" s="95"/>
      <c r="AI5" s="95"/>
      <c r="AJ5" s="95"/>
      <c r="AK5" s="95"/>
      <c r="AL5" s="95"/>
      <c r="AM5" s="95"/>
      <c r="AN5" s="97"/>
      <c r="AO5" s="97"/>
      <c r="AP5" s="98"/>
    </row>
    <row r="6" spans="1:42" x14ac:dyDescent="0.25">
      <c r="A6" s="89" t="s">
        <v>576</v>
      </c>
      <c r="B6" s="90"/>
      <c r="C6" s="90"/>
      <c r="D6" s="90"/>
      <c r="E6" s="90"/>
      <c r="F6" s="90"/>
      <c r="G6" s="90"/>
      <c r="H6" s="90"/>
      <c r="I6" s="90"/>
      <c r="J6" s="90"/>
      <c r="K6" s="90">
        <v>0.15</v>
      </c>
      <c r="L6" s="90"/>
      <c r="M6" s="90"/>
      <c r="N6" s="90"/>
      <c r="O6" s="91"/>
      <c r="P6" s="90"/>
      <c r="Q6" s="90"/>
      <c r="R6" s="90"/>
      <c r="S6" s="90"/>
      <c r="T6" s="90"/>
      <c r="U6" s="90"/>
      <c r="V6" s="90"/>
      <c r="W6" s="90"/>
      <c r="X6" s="90"/>
      <c r="Y6" s="90"/>
      <c r="Z6" s="90"/>
      <c r="AA6" s="90"/>
      <c r="AB6" s="90"/>
      <c r="AC6" s="90"/>
      <c r="AD6" s="90"/>
      <c r="AE6" s="90"/>
      <c r="AF6" s="90"/>
      <c r="AG6" s="90"/>
      <c r="AH6" s="90"/>
      <c r="AI6" s="90"/>
      <c r="AJ6" s="90"/>
      <c r="AK6" s="90"/>
      <c r="AL6" s="90"/>
      <c r="AM6" s="90"/>
      <c r="AN6" s="92"/>
      <c r="AO6" s="92"/>
      <c r="AP6" s="93"/>
    </row>
    <row r="7" spans="1:42" x14ac:dyDescent="0.25">
      <c r="A7" s="94" t="s">
        <v>577</v>
      </c>
      <c r="B7" s="95"/>
      <c r="C7" s="95">
        <v>0.3</v>
      </c>
      <c r="D7" s="95"/>
      <c r="E7" s="95"/>
      <c r="F7" s="95"/>
      <c r="G7" s="95"/>
      <c r="H7" s="95"/>
      <c r="I7" s="95"/>
      <c r="J7" s="95"/>
      <c r="K7" s="95"/>
      <c r="L7" s="95"/>
      <c r="M7" s="95"/>
      <c r="N7" s="95"/>
      <c r="O7" s="96"/>
      <c r="P7" s="95"/>
      <c r="Q7" s="95"/>
      <c r="R7" s="95"/>
      <c r="S7" s="95"/>
      <c r="T7" s="95"/>
      <c r="U7" s="95"/>
      <c r="V7" s="95"/>
      <c r="W7" s="95"/>
      <c r="X7" s="95"/>
      <c r="Y7" s="95"/>
      <c r="Z7" s="95"/>
      <c r="AA7" s="95"/>
      <c r="AB7" s="95"/>
      <c r="AC7" s="95"/>
      <c r="AD7" s="95"/>
      <c r="AE7" s="95"/>
      <c r="AF7" s="95"/>
      <c r="AG7" s="95"/>
      <c r="AH7" s="95"/>
      <c r="AI7" s="95"/>
      <c r="AJ7" s="95"/>
      <c r="AK7" s="95"/>
      <c r="AL7" s="95"/>
      <c r="AM7" s="95"/>
      <c r="AN7" s="97"/>
      <c r="AO7" s="97"/>
      <c r="AP7" s="98"/>
    </row>
    <row r="8" spans="1:42" x14ac:dyDescent="0.25">
      <c r="A8" s="89" t="s">
        <v>578</v>
      </c>
      <c r="B8" s="90"/>
      <c r="C8" s="90"/>
      <c r="D8" s="90"/>
      <c r="E8" s="90"/>
      <c r="F8" s="90"/>
      <c r="G8" s="90"/>
      <c r="H8" s="90"/>
      <c r="I8" s="90"/>
      <c r="J8" s="90"/>
      <c r="K8" s="90"/>
      <c r="L8" s="90"/>
      <c r="M8" s="90"/>
      <c r="N8" s="90"/>
      <c r="O8" s="91"/>
      <c r="P8" s="90"/>
      <c r="Q8" s="90"/>
      <c r="R8" s="90"/>
      <c r="S8" s="90"/>
      <c r="T8" s="90"/>
      <c r="U8" s="90">
        <v>0.2</v>
      </c>
      <c r="V8" s="90"/>
      <c r="W8" s="90"/>
      <c r="X8" s="90"/>
      <c r="Y8" s="90"/>
      <c r="Z8" s="90"/>
      <c r="AA8" s="90"/>
      <c r="AB8" s="90"/>
      <c r="AC8" s="90"/>
      <c r="AD8" s="90"/>
      <c r="AE8" s="90"/>
      <c r="AF8" s="90"/>
      <c r="AG8" s="90"/>
      <c r="AH8" s="90"/>
      <c r="AI8" s="90"/>
      <c r="AJ8" s="90"/>
      <c r="AK8" s="90"/>
      <c r="AL8" s="90"/>
      <c r="AM8" s="90"/>
      <c r="AN8" s="92"/>
      <c r="AO8" s="92"/>
      <c r="AP8" s="93"/>
    </row>
    <row r="9" spans="1:42" x14ac:dyDescent="0.25">
      <c r="A9" s="94" t="s">
        <v>579</v>
      </c>
      <c r="B9" s="95">
        <v>0.18</v>
      </c>
      <c r="C9" s="95"/>
      <c r="D9" s="95"/>
      <c r="E9" s="95"/>
      <c r="F9" s="95"/>
      <c r="G9" s="95"/>
      <c r="H9" s="95"/>
      <c r="I9" s="95"/>
      <c r="J9" s="95"/>
      <c r="K9" s="95"/>
      <c r="L9" s="95"/>
      <c r="M9" s="95"/>
      <c r="N9" s="95"/>
      <c r="O9" s="96"/>
      <c r="P9" s="95"/>
      <c r="Q9" s="95"/>
      <c r="R9" s="95"/>
      <c r="S9" s="95"/>
      <c r="T9" s="95"/>
      <c r="U9" s="95"/>
      <c r="V9" s="95"/>
      <c r="W9" s="95"/>
      <c r="X9" s="95"/>
      <c r="Y9" s="95"/>
      <c r="Z9" s="95"/>
      <c r="AA9" s="95"/>
      <c r="AB9" s="95"/>
      <c r="AC9" s="95"/>
      <c r="AD9" s="95"/>
      <c r="AE9" s="95"/>
      <c r="AF9" s="95"/>
      <c r="AG9" s="95"/>
      <c r="AH9" s="95"/>
      <c r="AI9" s="95"/>
      <c r="AJ9" s="95"/>
      <c r="AK9" s="95"/>
      <c r="AL9" s="95"/>
      <c r="AM9" s="95"/>
      <c r="AN9" s="97"/>
      <c r="AO9" s="97"/>
      <c r="AP9" s="98"/>
    </row>
    <row r="10" spans="1:42" x14ac:dyDescent="0.25">
      <c r="A10" s="89" t="s">
        <v>580</v>
      </c>
      <c r="B10" s="90"/>
      <c r="C10" s="90"/>
      <c r="D10" s="90"/>
      <c r="E10" s="90"/>
      <c r="F10" s="90"/>
      <c r="G10" s="90"/>
      <c r="H10" s="90"/>
      <c r="I10" s="90"/>
      <c r="J10" s="90"/>
      <c r="K10" s="90"/>
      <c r="L10" s="90"/>
      <c r="M10" s="90"/>
      <c r="N10" s="90"/>
      <c r="O10" s="91">
        <v>80</v>
      </c>
      <c r="P10" s="90"/>
      <c r="Q10" s="90"/>
      <c r="R10" s="90"/>
      <c r="S10" s="90"/>
      <c r="T10" s="90"/>
      <c r="U10" s="90"/>
      <c r="V10" s="90"/>
      <c r="W10" s="90"/>
      <c r="X10" s="90"/>
      <c r="Y10" s="90"/>
      <c r="Z10" s="90"/>
      <c r="AA10" s="90"/>
      <c r="AB10" s="90"/>
      <c r="AC10" s="90"/>
      <c r="AD10" s="90"/>
      <c r="AE10" s="90"/>
      <c r="AF10" s="90"/>
      <c r="AG10" s="90"/>
      <c r="AH10" s="90"/>
      <c r="AI10" s="90"/>
      <c r="AJ10" s="90"/>
      <c r="AK10" s="90"/>
      <c r="AL10" s="90"/>
      <c r="AM10" s="90"/>
      <c r="AN10" s="92"/>
      <c r="AO10" s="92"/>
      <c r="AP10" s="93"/>
    </row>
    <row r="11" spans="1:42" x14ac:dyDescent="0.25">
      <c r="A11" s="94" t="s">
        <v>581</v>
      </c>
      <c r="B11" s="95"/>
      <c r="C11" s="95"/>
      <c r="D11" s="95"/>
      <c r="E11" s="95"/>
      <c r="F11" s="95"/>
      <c r="G11" s="95"/>
      <c r="H11" s="95"/>
      <c r="I11" s="95"/>
      <c r="J11" s="95"/>
      <c r="K11" s="95"/>
      <c r="L11" s="95"/>
      <c r="M11" s="95"/>
      <c r="N11" s="95"/>
      <c r="O11" s="96"/>
      <c r="P11" s="95"/>
      <c r="Q11" s="95"/>
      <c r="R11" s="95"/>
      <c r="S11" s="95"/>
      <c r="T11" s="95"/>
      <c r="U11" s="95"/>
      <c r="V11" s="95"/>
      <c r="W11" s="95"/>
      <c r="X11" s="95"/>
      <c r="Y11" s="95"/>
      <c r="Z11" s="95"/>
      <c r="AA11" s="95"/>
      <c r="AB11" s="95"/>
      <c r="AC11" s="95"/>
      <c r="AD11" s="95"/>
      <c r="AE11" s="95"/>
      <c r="AF11" s="95"/>
      <c r="AG11" s="95"/>
      <c r="AH11" s="95"/>
      <c r="AI11" s="95">
        <v>0.4</v>
      </c>
      <c r="AJ11" s="95"/>
      <c r="AK11" s="95"/>
      <c r="AL11" s="95"/>
      <c r="AM11" s="95"/>
      <c r="AN11" s="97"/>
      <c r="AO11" s="97"/>
      <c r="AP11" s="98"/>
    </row>
    <row r="12" spans="1:42" x14ac:dyDescent="0.25">
      <c r="A12" s="89" t="s">
        <v>582</v>
      </c>
      <c r="B12" s="90"/>
      <c r="C12" s="90"/>
      <c r="D12" s="90"/>
      <c r="E12" s="90"/>
      <c r="F12" s="90"/>
      <c r="G12" s="90"/>
      <c r="H12" s="90"/>
      <c r="I12" s="90"/>
      <c r="J12" s="90"/>
      <c r="K12" s="90"/>
      <c r="L12" s="90"/>
      <c r="M12" s="90"/>
      <c r="N12" s="90"/>
      <c r="O12" s="91"/>
      <c r="P12" s="90"/>
      <c r="Q12" s="90">
        <v>0.15</v>
      </c>
      <c r="R12" s="90"/>
      <c r="S12" s="90"/>
      <c r="T12" s="90"/>
      <c r="U12" s="90"/>
      <c r="V12" s="90"/>
      <c r="W12" s="90"/>
      <c r="X12" s="90"/>
      <c r="Y12" s="90"/>
      <c r="Z12" s="90"/>
      <c r="AA12" s="90"/>
      <c r="AB12" s="90"/>
      <c r="AC12" s="90"/>
      <c r="AD12" s="90"/>
      <c r="AE12" s="90"/>
      <c r="AF12" s="90"/>
      <c r="AG12" s="90"/>
      <c r="AH12" s="90"/>
      <c r="AI12" s="90"/>
      <c r="AJ12" s="90"/>
      <c r="AK12" s="90"/>
      <c r="AL12" s="90"/>
      <c r="AM12" s="90"/>
      <c r="AN12" s="92"/>
      <c r="AO12" s="92"/>
      <c r="AP12" s="93"/>
    </row>
    <row r="13" spans="1:42" x14ac:dyDescent="0.25">
      <c r="A13" s="94" t="s">
        <v>583</v>
      </c>
      <c r="B13" s="95"/>
      <c r="C13" s="95"/>
      <c r="D13" s="95"/>
      <c r="E13" s="95"/>
      <c r="F13" s="95"/>
      <c r="G13" s="95"/>
      <c r="H13" s="95"/>
      <c r="I13" s="95"/>
      <c r="J13" s="95"/>
      <c r="K13" s="95"/>
      <c r="L13" s="95"/>
      <c r="M13" s="95"/>
      <c r="N13" s="95"/>
      <c r="O13" s="96"/>
      <c r="P13" s="95"/>
      <c r="Q13" s="95"/>
      <c r="R13" s="95">
        <v>0.15</v>
      </c>
      <c r="S13" s="95">
        <v>0.15</v>
      </c>
      <c r="T13" s="95"/>
      <c r="U13" s="95"/>
      <c r="V13" s="95"/>
      <c r="W13" s="95"/>
      <c r="X13" s="95"/>
      <c r="Y13" s="95"/>
      <c r="Z13" s="95"/>
      <c r="AA13" s="95"/>
      <c r="AB13" s="95"/>
      <c r="AC13" s="95"/>
      <c r="AD13" s="95"/>
      <c r="AE13" s="95"/>
      <c r="AF13" s="95"/>
      <c r="AG13" s="95"/>
      <c r="AH13" s="95"/>
      <c r="AI13" s="95"/>
      <c r="AJ13" s="95"/>
      <c r="AK13" s="95"/>
      <c r="AL13" s="95"/>
      <c r="AM13" s="95"/>
      <c r="AN13" s="97"/>
      <c r="AO13" s="97"/>
      <c r="AP13" s="98"/>
    </row>
    <row r="14" spans="1:42" x14ac:dyDescent="0.25">
      <c r="A14" s="89" t="s">
        <v>584</v>
      </c>
      <c r="B14" s="90"/>
      <c r="C14" s="90"/>
      <c r="D14" s="90"/>
      <c r="E14" s="90"/>
      <c r="F14" s="90"/>
      <c r="G14" s="90"/>
      <c r="H14" s="90"/>
      <c r="I14" s="90"/>
      <c r="J14" s="90"/>
      <c r="K14" s="90"/>
      <c r="L14" s="90"/>
      <c r="M14" s="90"/>
      <c r="N14" s="90"/>
      <c r="O14" s="91"/>
      <c r="P14" s="90"/>
      <c r="Q14" s="90"/>
      <c r="R14" s="90"/>
      <c r="S14" s="90"/>
      <c r="T14" s="90"/>
      <c r="U14" s="90"/>
      <c r="V14" s="90">
        <v>0.2</v>
      </c>
      <c r="W14" s="90"/>
      <c r="X14" s="90"/>
      <c r="Y14" s="90"/>
      <c r="Z14" s="90"/>
      <c r="AA14" s="90"/>
      <c r="AB14" s="90"/>
      <c r="AC14" s="90"/>
      <c r="AD14" s="90"/>
      <c r="AE14" s="90"/>
      <c r="AF14" s="90"/>
      <c r="AG14" s="90"/>
      <c r="AH14" s="90"/>
      <c r="AI14" s="90"/>
      <c r="AJ14" s="90"/>
      <c r="AK14" s="90"/>
      <c r="AL14" s="90"/>
      <c r="AM14" s="90"/>
      <c r="AN14" s="92"/>
      <c r="AO14" s="92"/>
      <c r="AP14" s="93"/>
    </row>
    <row r="15" spans="1:42" x14ac:dyDescent="0.25">
      <c r="A15" s="94" t="s">
        <v>585</v>
      </c>
      <c r="B15" s="95"/>
      <c r="C15" s="95"/>
      <c r="D15" s="95"/>
      <c r="E15" s="95"/>
      <c r="F15" s="95"/>
      <c r="G15" s="95"/>
      <c r="H15" s="95"/>
      <c r="I15" s="95"/>
      <c r="J15" s="95"/>
      <c r="K15" s="95"/>
      <c r="L15" s="95"/>
      <c r="M15" s="95"/>
      <c r="N15" s="95"/>
      <c r="O15" s="96"/>
      <c r="P15" s="95"/>
      <c r="Q15" s="95"/>
      <c r="R15" s="95"/>
      <c r="S15" s="95"/>
      <c r="T15" s="95"/>
      <c r="U15" s="95"/>
      <c r="V15" s="95"/>
      <c r="W15" s="95"/>
      <c r="X15" s="95">
        <v>0.35</v>
      </c>
      <c r="Y15" s="95"/>
      <c r="Z15" s="95"/>
      <c r="AA15" s="95"/>
      <c r="AB15" s="95"/>
      <c r="AC15" s="95"/>
      <c r="AD15" s="95"/>
      <c r="AE15" s="95"/>
      <c r="AF15" s="95"/>
      <c r="AG15" s="95"/>
      <c r="AH15" s="95"/>
      <c r="AI15" s="95"/>
      <c r="AJ15" s="95"/>
      <c r="AK15" s="95"/>
      <c r="AL15" s="95"/>
      <c r="AM15" s="95"/>
      <c r="AN15" s="97"/>
      <c r="AO15" s="97"/>
      <c r="AP15" s="98"/>
    </row>
    <row r="16" spans="1:42" x14ac:dyDescent="0.25">
      <c r="A16" s="89" t="s">
        <v>586</v>
      </c>
      <c r="B16" s="90"/>
      <c r="C16" s="90"/>
      <c r="D16" s="90"/>
      <c r="E16" s="90"/>
      <c r="F16" s="90"/>
      <c r="G16" s="90"/>
      <c r="H16" s="90"/>
      <c r="I16" s="90"/>
      <c r="J16" s="90"/>
      <c r="K16" s="90"/>
      <c r="L16" s="90"/>
      <c r="M16" s="90"/>
      <c r="N16" s="90">
        <v>0.15</v>
      </c>
      <c r="O16" s="91"/>
      <c r="P16" s="90"/>
      <c r="Q16" s="90"/>
      <c r="R16" s="90"/>
      <c r="S16" s="90"/>
      <c r="T16" s="90"/>
      <c r="U16" s="90"/>
      <c r="V16" s="90"/>
      <c r="W16" s="90"/>
      <c r="X16" s="90"/>
      <c r="Y16" s="90"/>
      <c r="Z16" s="90"/>
      <c r="AA16" s="90"/>
      <c r="AB16" s="90"/>
      <c r="AC16" s="90"/>
      <c r="AD16" s="90"/>
      <c r="AE16" s="90"/>
      <c r="AF16" s="90"/>
      <c r="AG16" s="90"/>
      <c r="AH16" s="90"/>
      <c r="AI16" s="90"/>
      <c r="AJ16" s="90"/>
      <c r="AK16" s="90"/>
      <c r="AL16" s="90"/>
      <c r="AM16" s="90"/>
      <c r="AN16" s="92"/>
      <c r="AO16" s="92"/>
      <c r="AP16" s="93"/>
    </row>
    <row r="17" spans="1:42" x14ac:dyDescent="0.25">
      <c r="A17" s="94" t="s">
        <v>587</v>
      </c>
      <c r="B17" s="95"/>
      <c r="C17" s="95"/>
      <c r="D17" s="95"/>
      <c r="E17" s="95"/>
      <c r="F17" s="95"/>
      <c r="G17" s="95"/>
      <c r="H17" s="95"/>
      <c r="I17" s="95"/>
      <c r="J17" s="95"/>
      <c r="K17" s="95"/>
      <c r="L17" s="95"/>
      <c r="M17" s="95"/>
      <c r="N17" s="95"/>
      <c r="O17" s="96"/>
      <c r="P17" s="95"/>
      <c r="Q17" s="95"/>
      <c r="R17" s="95"/>
      <c r="S17" s="95"/>
      <c r="T17" s="95"/>
      <c r="U17" s="95"/>
      <c r="V17" s="95"/>
      <c r="W17" s="95"/>
      <c r="X17" s="95"/>
      <c r="Y17" s="95"/>
      <c r="Z17" s="95"/>
      <c r="AA17" s="95"/>
      <c r="AB17" s="95"/>
      <c r="AC17" s="95"/>
      <c r="AD17" s="95"/>
      <c r="AE17" s="95"/>
      <c r="AF17" s="95"/>
      <c r="AG17" s="95"/>
      <c r="AH17" s="95"/>
      <c r="AI17" s="95"/>
      <c r="AJ17" s="95"/>
      <c r="AK17" s="95"/>
      <c r="AL17" s="95">
        <v>0.4</v>
      </c>
      <c r="AM17" s="95"/>
      <c r="AN17" s="97"/>
      <c r="AO17" s="97"/>
      <c r="AP17" s="98"/>
    </row>
    <row r="18" spans="1:42" x14ac:dyDescent="0.25">
      <c r="A18" s="89" t="s">
        <v>588</v>
      </c>
      <c r="B18" s="90"/>
      <c r="C18" s="90"/>
      <c r="D18" s="90"/>
      <c r="E18" s="90"/>
      <c r="F18" s="90"/>
      <c r="G18" s="90"/>
      <c r="H18" s="90"/>
      <c r="I18" s="90">
        <v>0.15</v>
      </c>
      <c r="J18" s="90"/>
      <c r="K18" s="90"/>
      <c r="L18" s="90"/>
      <c r="M18" s="90"/>
      <c r="N18" s="90"/>
      <c r="O18" s="91"/>
      <c r="P18" s="90"/>
      <c r="Q18" s="90"/>
      <c r="R18" s="90"/>
      <c r="S18" s="90"/>
      <c r="T18" s="90"/>
      <c r="U18" s="90"/>
      <c r="V18" s="90"/>
      <c r="W18" s="90"/>
      <c r="X18" s="90"/>
      <c r="Y18" s="90"/>
      <c r="Z18" s="90"/>
      <c r="AA18" s="90"/>
      <c r="AB18" s="90"/>
      <c r="AC18" s="90"/>
      <c r="AD18" s="90"/>
      <c r="AE18" s="90"/>
      <c r="AF18" s="90"/>
      <c r="AG18" s="90"/>
      <c r="AH18" s="90"/>
      <c r="AI18" s="90"/>
      <c r="AJ18" s="90"/>
      <c r="AK18" s="90"/>
      <c r="AL18" s="90"/>
      <c r="AM18" s="90"/>
      <c r="AN18" s="92"/>
      <c r="AO18" s="92"/>
      <c r="AP18" s="93"/>
    </row>
    <row r="19" spans="1:42" x14ac:dyDescent="0.25">
      <c r="A19" s="94" t="s">
        <v>589</v>
      </c>
      <c r="B19" s="95"/>
      <c r="C19" s="95"/>
      <c r="D19" s="95"/>
      <c r="E19" s="95"/>
      <c r="F19" s="95"/>
      <c r="G19" s="95"/>
      <c r="H19" s="95"/>
      <c r="I19" s="95"/>
      <c r="J19" s="95"/>
      <c r="K19" s="95"/>
      <c r="L19" s="95"/>
      <c r="M19" s="95"/>
      <c r="N19" s="95"/>
      <c r="O19" s="96">
        <v>80</v>
      </c>
      <c r="P19" s="95"/>
      <c r="Q19" s="95"/>
      <c r="R19" s="95"/>
      <c r="S19" s="95"/>
      <c r="T19" s="95"/>
      <c r="U19" s="95"/>
      <c r="V19" s="95"/>
      <c r="W19" s="95"/>
      <c r="X19" s="95"/>
      <c r="Y19" s="95"/>
      <c r="Z19" s="95"/>
      <c r="AA19" s="95"/>
      <c r="AB19" s="95"/>
      <c r="AC19" s="95"/>
      <c r="AD19" s="95"/>
      <c r="AE19" s="95"/>
      <c r="AF19" s="95"/>
      <c r="AG19" s="95"/>
      <c r="AH19" s="95"/>
      <c r="AI19" s="95"/>
      <c r="AJ19" s="95"/>
      <c r="AK19" s="95"/>
      <c r="AL19" s="95"/>
      <c r="AM19" s="95"/>
      <c r="AN19" s="97"/>
      <c r="AO19" s="97"/>
      <c r="AP19" s="98"/>
    </row>
    <row r="20" spans="1:42" x14ac:dyDescent="0.25">
      <c r="A20" s="89" t="s">
        <v>590</v>
      </c>
      <c r="B20" s="90"/>
      <c r="C20" s="90"/>
      <c r="D20" s="90"/>
      <c r="E20" s="90"/>
      <c r="F20" s="90"/>
      <c r="G20" s="90"/>
      <c r="H20" s="90"/>
      <c r="I20" s="90"/>
      <c r="J20" s="90"/>
      <c r="K20" s="90"/>
      <c r="L20" s="90">
        <v>0.15</v>
      </c>
      <c r="M20" s="90"/>
      <c r="N20" s="90"/>
      <c r="O20" s="91"/>
      <c r="P20" s="90"/>
      <c r="Q20" s="90"/>
      <c r="R20" s="90"/>
      <c r="S20" s="90"/>
      <c r="T20" s="90"/>
      <c r="U20" s="90"/>
      <c r="V20" s="90"/>
      <c r="W20" s="90"/>
      <c r="X20" s="90"/>
      <c r="Y20" s="90"/>
      <c r="Z20" s="90"/>
      <c r="AA20" s="90"/>
      <c r="AB20" s="90"/>
      <c r="AC20" s="90"/>
      <c r="AD20" s="90"/>
      <c r="AE20" s="90"/>
      <c r="AF20" s="90"/>
      <c r="AG20" s="90"/>
      <c r="AH20" s="90"/>
      <c r="AI20" s="90"/>
      <c r="AJ20" s="90"/>
      <c r="AK20" s="90"/>
      <c r="AL20" s="90"/>
      <c r="AM20" s="90"/>
      <c r="AN20" s="92"/>
      <c r="AO20" s="92"/>
      <c r="AP20" s="93"/>
    </row>
    <row r="21" spans="1:42" x14ac:dyDescent="0.25">
      <c r="A21" s="94" t="s">
        <v>591</v>
      </c>
      <c r="B21" s="95"/>
      <c r="C21" s="95"/>
      <c r="D21" s="95"/>
      <c r="E21" s="95"/>
      <c r="F21" s="95"/>
      <c r="G21" s="95"/>
      <c r="H21" s="95"/>
      <c r="I21" s="95"/>
      <c r="J21" s="95"/>
      <c r="K21" s="95"/>
      <c r="L21" s="95"/>
      <c r="M21" s="95">
        <v>0.15</v>
      </c>
      <c r="N21" s="95"/>
      <c r="O21" s="96"/>
      <c r="P21" s="95"/>
      <c r="Q21" s="95"/>
      <c r="R21" s="95"/>
      <c r="S21" s="95"/>
      <c r="T21" s="95"/>
      <c r="U21" s="95"/>
      <c r="V21" s="95"/>
      <c r="W21" s="95"/>
      <c r="X21" s="95"/>
      <c r="Y21" s="95"/>
      <c r="Z21" s="95"/>
      <c r="AA21" s="95"/>
      <c r="AB21" s="95"/>
      <c r="AC21" s="95"/>
      <c r="AD21" s="95"/>
      <c r="AE21" s="95"/>
      <c r="AF21" s="95"/>
      <c r="AG21" s="95"/>
      <c r="AH21" s="95"/>
      <c r="AI21" s="95"/>
      <c r="AJ21" s="95"/>
      <c r="AK21" s="95"/>
      <c r="AL21" s="95"/>
      <c r="AM21" s="95"/>
      <c r="AN21" s="97"/>
      <c r="AO21" s="97"/>
      <c r="AP21" s="98"/>
    </row>
    <row r="22" spans="1:42" x14ac:dyDescent="0.25">
      <c r="A22" s="89" t="s">
        <v>592</v>
      </c>
      <c r="B22" s="90"/>
      <c r="C22" s="90"/>
      <c r="D22" s="90"/>
      <c r="E22" s="90"/>
      <c r="F22" s="90"/>
      <c r="G22" s="90"/>
      <c r="H22" s="90">
        <v>0.25</v>
      </c>
      <c r="I22" s="90"/>
      <c r="J22" s="90"/>
      <c r="K22" s="90"/>
      <c r="L22" s="90"/>
      <c r="M22" s="90"/>
      <c r="N22" s="90"/>
      <c r="O22" s="91"/>
      <c r="P22" s="90"/>
      <c r="Q22" s="90"/>
      <c r="R22" s="90"/>
      <c r="S22" s="90"/>
      <c r="T22" s="90"/>
      <c r="U22" s="90"/>
      <c r="V22" s="90"/>
      <c r="W22" s="90"/>
      <c r="X22" s="90"/>
      <c r="Y22" s="90"/>
      <c r="Z22" s="90"/>
      <c r="AA22" s="90"/>
      <c r="AB22" s="90"/>
      <c r="AC22" s="90"/>
      <c r="AD22" s="90"/>
      <c r="AE22" s="90"/>
      <c r="AF22" s="90"/>
      <c r="AG22" s="90"/>
      <c r="AH22" s="90"/>
      <c r="AI22" s="90"/>
      <c r="AJ22" s="90"/>
      <c r="AK22" s="90"/>
      <c r="AL22" s="90"/>
      <c r="AM22" s="90"/>
      <c r="AN22" s="92"/>
      <c r="AO22" s="92"/>
      <c r="AP22" s="93"/>
    </row>
    <row r="23" spans="1:42" x14ac:dyDescent="0.25">
      <c r="A23" s="94" t="s">
        <v>593</v>
      </c>
      <c r="B23" s="95"/>
      <c r="C23" s="95"/>
      <c r="D23" s="95">
        <v>0.2</v>
      </c>
      <c r="E23" s="95"/>
      <c r="F23" s="95"/>
      <c r="G23" s="95"/>
      <c r="H23" s="95"/>
      <c r="I23" s="95"/>
      <c r="J23" s="95"/>
      <c r="K23" s="95"/>
      <c r="L23" s="95"/>
      <c r="M23" s="95"/>
      <c r="N23" s="95"/>
      <c r="O23" s="96"/>
      <c r="P23" s="95"/>
      <c r="Q23" s="95"/>
      <c r="R23" s="95"/>
      <c r="S23" s="95"/>
      <c r="T23" s="95"/>
      <c r="U23" s="95"/>
      <c r="V23" s="95"/>
      <c r="W23" s="95"/>
      <c r="X23" s="95"/>
      <c r="Y23" s="95"/>
      <c r="Z23" s="95"/>
      <c r="AA23" s="95"/>
      <c r="AB23" s="95"/>
      <c r="AC23" s="95"/>
      <c r="AD23" s="95"/>
      <c r="AE23" s="95"/>
      <c r="AF23" s="95"/>
      <c r="AG23" s="95"/>
      <c r="AH23" s="95"/>
      <c r="AI23" s="95"/>
      <c r="AJ23" s="95"/>
      <c r="AK23" s="95"/>
      <c r="AL23" s="95"/>
      <c r="AM23" s="95"/>
      <c r="AN23" s="97"/>
      <c r="AO23" s="97"/>
      <c r="AP23" s="98"/>
    </row>
    <row r="24" spans="1:42" x14ac:dyDescent="0.25">
      <c r="A24" s="89" t="s">
        <v>594</v>
      </c>
      <c r="B24" s="90">
        <v>0.18</v>
      </c>
      <c r="C24" s="90"/>
      <c r="D24" s="90"/>
      <c r="E24" s="90"/>
      <c r="F24" s="90"/>
      <c r="G24" s="90"/>
      <c r="H24" s="90"/>
      <c r="I24" s="90"/>
      <c r="J24" s="90"/>
      <c r="K24" s="90"/>
      <c r="L24" s="90"/>
      <c r="M24" s="90"/>
      <c r="N24" s="90"/>
      <c r="O24" s="91"/>
      <c r="P24" s="90"/>
      <c r="Q24" s="90"/>
      <c r="R24" s="90"/>
      <c r="S24" s="90"/>
      <c r="T24" s="90"/>
      <c r="U24" s="90"/>
      <c r="V24" s="90"/>
      <c r="W24" s="90"/>
      <c r="X24" s="90"/>
      <c r="Y24" s="90"/>
      <c r="Z24" s="90"/>
      <c r="AA24" s="90"/>
      <c r="AB24" s="90"/>
      <c r="AC24" s="90"/>
      <c r="AD24" s="90"/>
      <c r="AE24" s="90"/>
      <c r="AF24" s="90"/>
      <c r="AG24" s="90"/>
      <c r="AH24" s="90"/>
      <c r="AI24" s="90"/>
      <c r="AJ24" s="90"/>
      <c r="AK24" s="90"/>
      <c r="AL24" s="90"/>
      <c r="AM24" s="90"/>
      <c r="AN24" s="92"/>
      <c r="AO24" s="92"/>
      <c r="AP24" s="93"/>
    </row>
    <row r="25" spans="1:42" x14ac:dyDescent="0.25">
      <c r="A25" s="94" t="s">
        <v>595</v>
      </c>
      <c r="B25" s="95"/>
      <c r="C25" s="95"/>
      <c r="D25" s="95"/>
      <c r="E25" s="95"/>
      <c r="F25" s="95"/>
      <c r="G25" s="95">
        <v>0.2</v>
      </c>
      <c r="H25" s="95"/>
      <c r="I25" s="95"/>
      <c r="J25" s="95"/>
      <c r="K25" s="95"/>
      <c r="L25" s="95"/>
      <c r="M25" s="95"/>
      <c r="N25" s="95"/>
      <c r="O25" s="96"/>
      <c r="P25" s="95"/>
      <c r="Q25" s="95"/>
      <c r="R25" s="95"/>
      <c r="S25" s="95"/>
      <c r="T25" s="95"/>
      <c r="U25" s="95"/>
      <c r="V25" s="95"/>
      <c r="W25" s="95"/>
      <c r="X25" s="95"/>
      <c r="Y25" s="95"/>
      <c r="Z25" s="95"/>
      <c r="AA25" s="95"/>
      <c r="AB25" s="95"/>
      <c r="AC25" s="95"/>
      <c r="AD25" s="95"/>
      <c r="AE25" s="95"/>
      <c r="AF25" s="95"/>
      <c r="AG25" s="95"/>
      <c r="AH25" s="95"/>
      <c r="AI25" s="95"/>
      <c r="AJ25" s="95"/>
      <c r="AK25" s="95"/>
      <c r="AL25" s="95"/>
      <c r="AM25" s="95"/>
      <c r="AN25" s="97"/>
      <c r="AO25" s="97"/>
      <c r="AP25" s="98"/>
    </row>
    <row r="26" spans="1:42" x14ac:dyDescent="0.25">
      <c r="A26" s="89" t="s">
        <v>596</v>
      </c>
      <c r="B26" s="90"/>
      <c r="C26" s="90"/>
      <c r="D26" s="90"/>
      <c r="E26" s="90"/>
      <c r="F26" s="90"/>
      <c r="G26" s="90"/>
      <c r="H26" s="90"/>
      <c r="I26" s="90"/>
      <c r="J26" s="90"/>
      <c r="K26" s="90"/>
      <c r="L26" s="90"/>
      <c r="M26" s="90"/>
      <c r="N26" s="90"/>
      <c r="O26" s="91"/>
      <c r="P26" s="90"/>
      <c r="Q26" s="90">
        <v>0.15</v>
      </c>
      <c r="R26" s="90"/>
      <c r="S26" s="90"/>
      <c r="T26" s="90"/>
      <c r="U26" s="90"/>
      <c r="V26" s="90"/>
      <c r="W26" s="90"/>
      <c r="X26" s="90"/>
      <c r="Y26" s="90"/>
      <c r="Z26" s="90"/>
      <c r="AA26" s="90"/>
      <c r="AB26" s="90"/>
      <c r="AC26" s="90"/>
      <c r="AD26" s="90"/>
      <c r="AE26" s="90"/>
      <c r="AF26" s="90"/>
      <c r="AG26" s="90"/>
      <c r="AH26" s="90"/>
      <c r="AI26" s="90"/>
      <c r="AJ26" s="90"/>
      <c r="AK26" s="90"/>
      <c r="AL26" s="90"/>
      <c r="AM26" s="90"/>
      <c r="AN26" s="92"/>
      <c r="AO26" s="92"/>
      <c r="AP26" s="93"/>
    </row>
    <row r="27" spans="1:42" x14ac:dyDescent="0.25">
      <c r="A27" s="94" t="s">
        <v>597</v>
      </c>
      <c r="B27" s="95"/>
      <c r="C27" s="95">
        <v>0.3</v>
      </c>
      <c r="D27" s="95"/>
      <c r="E27" s="95"/>
      <c r="F27" s="95"/>
      <c r="G27" s="95"/>
      <c r="H27" s="95"/>
      <c r="I27" s="95"/>
      <c r="J27" s="95"/>
      <c r="K27" s="95"/>
      <c r="L27" s="95"/>
      <c r="M27" s="95"/>
      <c r="N27" s="95"/>
      <c r="O27" s="96"/>
      <c r="P27" s="95"/>
      <c r="Q27" s="95"/>
      <c r="R27" s="95"/>
      <c r="S27" s="95"/>
      <c r="T27" s="95"/>
      <c r="U27" s="95"/>
      <c r="V27" s="95"/>
      <c r="W27" s="95"/>
      <c r="X27" s="95"/>
      <c r="Y27" s="95"/>
      <c r="Z27" s="95"/>
      <c r="AA27" s="95"/>
      <c r="AB27" s="95"/>
      <c r="AC27" s="95"/>
      <c r="AD27" s="95"/>
      <c r="AE27" s="95"/>
      <c r="AF27" s="95"/>
      <c r="AG27" s="95"/>
      <c r="AH27" s="95"/>
      <c r="AI27" s="95"/>
      <c r="AJ27" s="95"/>
      <c r="AK27" s="95"/>
      <c r="AL27" s="95"/>
      <c r="AM27" s="95"/>
      <c r="AN27" s="97"/>
      <c r="AO27" s="97"/>
      <c r="AP27" s="98"/>
    </row>
    <row r="28" spans="1:42" x14ac:dyDescent="0.25">
      <c r="A28" s="89" t="s">
        <v>598</v>
      </c>
      <c r="B28" s="90"/>
      <c r="C28" s="90"/>
      <c r="D28" s="90"/>
      <c r="E28" s="90"/>
      <c r="F28" s="90"/>
      <c r="G28" s="90"/>
      <c r="H28" s="90"/>
      <c r="I28" s="90"/>
      <c r="J28" s="90"/>
      <c r="K28" s="90">
        <f>IF(char1ArtiToggle, 35%, 0%)</f>
        <v>0.35</v>
      </c>
      <c r="L28" s="90">
        <f>IF(char1ArtiToggle, 35%, 0%)</f>
        <v>0.35</v>
      </c>
      <c r="M28" s="90">
        <f>IF(char1ArtiToggle, 35%, 0%)</f>
        <v>0.35</v>
      </c>
      <c r="N28" s="90">
        <f>IF(char1ArtiToggle, 35%, 0%)</f>
        <v>0.35</v>
      </c>
      <c r="O28" s="91"/>
      <c r="P28" s="90"/>
      <c r="Q28" s="90"/>
      <c r="R28" s="90"/>
      <c r="S28" s="90"/>
      <c r="T28" s="90"/>
      <c r="U28" s="90"/>
      <c r="V28" s="90"/>
      <c r="W28" s="90"/>
      <c r="X28" s="90"/>
      <c r="Y28" s="90"/>
      <c r="Z28" s="90"/>
      <c r="AA28" s="90"/>
      <c r="AB28" s="90"/>
      <c r="AC28" s="90"/>
      <c r="AD28" s="90"/>
      <c r="AE28" s="90"/>
      <c r="AF28" s="90"/>
      <c r="AG28" s="90"/>
      <c r="AH28" s="90"/>
      <c r="AI28" s="90"/>
      <c r="AJ28" s="90"/>
      <c r="AK28" s="90"/>
      <c r="AL28" s="90"/>
      <c r="AM28" s="90"/>
      <c r="AN28" s="92"/>
      <c r="AO28" s="92"/>
      <c r="AP28" s="93"/>
    </row>
    <row r="29" spans="1:42" x14ac:dyDescent="0.25">
      <c r="A29" s="94" t="s">
        <v>599</v>
      </c>
      <c r="B29" s="95"/>
      <c r="C29" s="95"/>
      <c r="D29" s="95"/>
      <c r="E29" s="95">
        <f>IF(char1ArtiToggle, 24%, 0%)</f>
        <v>0.24</v>
      </c>
      <c r="F29" s="95"/>
      <c r="G29" s="95"/>
      <c r="H29" s="95"/>
      <c r="I29" s="95"/>
      <c r="J29" s="95"/>
      <c r="K29" s="95"/>
      <c r="L29" s="95"/>
      <c r="M29" s="95"/>
      <c r="N29" s="95"/>
      <c r="O29" s="96"/>
      <c r="P29" s="95"/>
      <c r="Q29" s="95"/>
      <c r="R29" s="95"/>
      <c r="S29" s="95"/>
      <c r="T29" s="95"/>
      <c r="U29" s="95"/>
      <c r="V29" s="95"/>
      <c r="W29" s="95"/>
      <c r="X29" s="95"/>
      <c r="Y29" s="95"/>
      <c r="Z29" s="95"/>
      <c r="AA29" s="95"/>
      <c r="AB29" s="95"/>
      <c r="AC29" s="95"/>
      <c r="AD29" s="95"/>
      <c r="AE29" s="95"/>
      <c r="AF29" s="95"/>
      <c r="AG29" s="95"/>
      <c r="AH29" s="95"/>
      <c r="AI29" s="95"/>
      <c r="AJ29" s="95"/>
      <c r="AK29" s="95"/>
      <c r="AL29" s="95"/>
      <c r="AM29" s="95"/>
      <c r="AN29" s="97"/>
      <c r="AO29" s="97"/>
      <c r="AP29" s="98"/>
    </row>
    <row r="30" spans="1:42" x14ac:dyDescent="0.25">
      <c r="A30" s="89" t="s">
        <v>600</v>
      </c>
      <c r="B30" s="90"/>
      <c r="C30" s="90"/>
      <c r="D30" s="90"/>
      <c r="E30" s="90"/>
      <c r="F30" s="90"/>
      <c r="G30" s="90"/>
      <c r="H30" s="90"/>
      <c r="I30" s="90"/>
      <c r="J30" s="90"/>
      <c r="K30" s="90"/>
      <c r="L30" s="90"/>
      <c r="M30" s="90"/>
      <c r="N30" s="90"/>
      <c r="O30" s="91"/>
      <c r="P30" s="90"/>
      <c r="Q30" s="90"/>
      <c r="R30" s="90"/>
      <c r="S30" s="90">
        <f>IF(char1ArtiToggle, 50%, 0%)</f>
        <v>0.5</v>
      </c>
      <c r="T30" s="90"/>
      <c r="U30" s="90"/>
      <c r="V30" s="90"/>
      <c r="W30" s="90"/>
      <c r="X30" s="90"/>
      <c r="Y30" s="90"/>
      <c r="Z30" s="90"/>
      <c r="AA30" s="90"/>
      <c r="AB30" s="90"/>
      <c r="AC30" s="90"/>
      <c r="AD30" s="90"/>
      <c r="AE30" s="90"/>
      <c r="AF30" s="90"/>
      <c r="AG30" s="90"/>
      <c r="AH30" s="90"/>
      <c r="AI30" s="90"/>
      <c r="AJ30" s="90"/>
      <c r="AK30" s="90"/>
      <c r="AL30" s="90"/>
      <c r="AM30" s="90"/>
      <c r="AN30" s="92"/>
      <c r="AO30" s="92"/>
      <c r="AP30" s="93"/>
    </row>
    <row r="31" spans="1:42" x14ac:dyDescent="0.25">
      <c r="A31" s="94" t="s">
        <v>601</v>
      </c>
      <c r="B31" s="95"/>
      <c r="C31" s="95"/>
      <c r="D31" s="95"/>
      <c r="E31" s="95"/>
      <c r="F31" s="95"/>
      <c r="G31" s="95"/>
      <c r="H31" s="95"/>
      <c r="I31" s="95"/>
      <c r="J31" s="95"/>
      <c r="K31" s="95"/>
      <c r="L31" s="95"/>
      <c r="M31" s="95"/>
      <c r="N31" s="95"/>
      <c r="O31" s="96"/>
      <c r="P31" s="95"/>
      <c r="Q31" s="95"/>
      <c r="R31" s="95"/>
      <c r="S31" s="95"/>
      <c r="T31" s="95"/>
      <c r="U31" s="95"/>
      <c r="V31" s="95"/>
      <c r="W31" s="95">
        <f>IF(char1ArtiToggle, 30%, 0%)</f>
        <v>0.3</v>
      </c>
      <c r="X31" s="95"/>
      <c r="Y31" s="95"/>
      <c r="Z31" s="95"/>
      <c r="AA31" s="95"/>
      <c r="AB31" s="95"/>
      <c r="AC31" s="95"/>
      <c r="AD31" s="95"/>
      <c r="AE31" s="95"/>
      <c r="AF31" s="95"/>
      <c r="AG31" s="95"/>
      <c r="AH31" s="95"/>
      <c r="AI31" s="95"/>
      <c r="AJ31" s="95"/>
      <c r="AK31" s="95"/>
      <c r="AL31" s="95"/>
      <c r="AM31" s="95"/>
      <c r="AN31" s="97"/>
      <c r="AO31" s="97"/>
      <c r="AP31" s="98"/>
    </row>
    <row r="32" spans="1:42" x14ac:dyDescent="0.25">
      <c r="A32" s="89" t="s">
        <v>602</v>
      </c>
      <c r="B32" s="90"/>
      <c r="C32" s="90"/>
      <c r="D32" s="90"/>
      <c r="E32" s="90"/>
      <c r="F32" s="90"/>
      <c r="G32" s="90"/>
      <c r="H32" s="90"/>
      <c r="I32" s="90"/>
      <c r="J32" s="90"/>
      <c r="K32" s="90">
        <f>char1ArtiStacks*(7.5%)</f>
        <v>0</v>
      </c>
      <c r="L32" s="90"/>
      <c r="M32" s="90"/>
      <c r="N32" s="90"/>
      <c r="O32" s="91"/>
      <c r="P32" s="90"/>
      <c r="Q32" s="90"/>
      <c r="R32" s="90"/>
      <c r="S32" s="90"/>
      <c r="T32" s="90"/>
      <c r="U32" s="90"/>
      <c r="V32" s="90"/>
      <c r="W32" s="90"/>
      <c r="X32" s="90"/>
      <c r="Y32" s="90"/>
      <c r="Z32" s="90">
        <v>0.4</v>
      </c>
      <c r="AA32" s="90"/>
      <c r="AB32" s="90"/>
      <c r="AC32" s="90"/>
      <c r="AD32" s="90">
        <v>0.15</v>
      </c>
      <c r="AE32" s="90">
        <v>0.15</v>
      </c>
      <c r="AF32" s="90"/>
      <c r="AG32" s="90"/>
      <c r="AH32" s="90"/>
      <c r="AI32" s="90"/>
      <c r="AJ32" s="90"/>
      <c r="AK32" s="90"/>
      <c r="AL32" s="90"/>
      <c r="AM32" s="90"/>
      <c r="AN32" s="92"/>
      <c r="AO32" s="92"/>
      <c r="AP32" s="93"/>
    </row>
    <row r="33" spans="1:42" x14ac:dyDescent="0.25">
      <c r="A33" s="94" t="s">
        <v>603</v>
      </c>
      <c r="B33" s="95"/>
      <c r="C33" s="95"/>
      <c r="D33" s="95"/>
      <c r="E33" s="95"/>
      <c r="F33" s="95"/>
      <c r="G33" s="95"/>
      <c r="H33" s="95"/>
      <c r="I33" s="95"/>
      <c r="J33" s="95"/>
      <c r="K33" s="95"/>
      <c r="L33" s="95"/>
      <c r="M33" s="95"/>
      <c r="N33" s="95"/>
      <c r="O33" s="96"/>
      <c r="P33" s="95"/>
      <c r="Q33" s="95"/>
      <c r="R33" s="95"/>
      <c r="S33" s="95"/>
      <c r="T33" s="95"/>
      <c r="U33" s="95"/>
      <c r="V33" s="95"/>
      <c r="W33" s="95"/>
      <c r="X33" s="95"/>
      <c r="Y33" s="95"/>
      <c r="Z33" s="95"/>
      <c r="AA33" s="95"/>
      <c r="AB33" s="95"/>
      <c r="AC33" s="95"/>
      <c r="AD33" s="95"/>
      <c r="AE33" s="95"/>
      <c r="AF33" s="95"/>
      <c r="AG33" s="95">
        <v>0.3</v>
      </c>
      <c r="AH33" s="95">
        <v>0.3</v>
      </c>
      <c r="AI33" s="95">
        <v>0.3</v>
      </c>
      <c r="AJ33" s="95">
        <v>0.3</v>
      </c>
      <c r="AK33" s="95">
        <v>0.3</v>
      </c>
      <c r="AL33" s="95">
        <v>0.3</v>
      </c>
      <c r="AM33" s="95"/>
      <c r="AN33" s="97"/>
      <c r="AO33" s="97"/>
      <c r="AP33" s="98"/>
    </row>
    <row r="34" spans="1:42" x14ac:dyDescent="0.25">
      <c r="A34" s="89" t="s">
        <v>604</v>
      </c>
      <c r="B34" s="90"/>
      <c r="C34" s="90"/>
      <c r="D34" s="90"/>
      <c r="E34" s="90"/>
      <c r="F34" s="90"/>
      <c r="G34" s="90"/>
      <c r="H34" s="90"/>
      <c r="I34" s="90"/>
      <c r="J34" s="90"/>
      <c r="K34" s="90"/>
      <c r="L34" s="90"/>
      <c r="M34" s="90"/>
      <c r="N34" s="90"/>
      <c r="O34" s="91"/>
      <c r="P34" s="90"/>
      <c r="Q34" s="90"/>
      <c r="R34" s="90"/>
      <c r="S34" s="90"/>
      <c r="T34" s="90"/>
      <c r="U34" s="90"/>
      <c r="V34" s="90"/>
      <c r="W34" s="90"/>
      <c r="X34" s="90"/>
      <c r="Y34" s="90"/>
      <c r="Z34" s="90"/>
      <c r="AA34" s="90"/>
      <c r="AB34" s="90"/>
      <c r="AC34" s="90"/>
      <c r="AD34" s="90"/>
      <c r="AE34" s="90"/>
      <c r="AF34" s="90"/>
      <c r="AG34" s="90"/>
      <c r="AH34" s="90"/>
      <c r="AI34" s="90"/>
      <c r="AJ34" s="90"/>
      <c r="AK34" s="90"/>
      <c r="AL34" s="90"/>
      <c r="AM34" s="90"/>
      <c r="AN34" s="92"/>
      <c r="AO34" s="92"/>
      <c r="AP34" s="93"/>
    </row>
    <row r="35" spans="1:42" x14ac:dyDescent="0.25">
      <c r="A35" s="94" t="s">
        <v>605</v>
      </c>
      <c r="B35" s="95"/>
      <c r="C35" s="95"/>
      <c r="D35" s="95"/>
      <c r="E35" s="95"/>
      <c r="F35" s="95"/>
      <c r="G35" s="95"/>
      <c r="H35" s="95"/>
      <c r="I35" s="95"/>
      <c r="J35" s="95"/>
      <c r="K35" s="95"/>
      <c r="L35" s="95"/>
      <c r="M35" s="95"/>
      <c r="N35" s="95"/>
      <c r="O35" s="96"/>
      <c r="P35" s="95"/>
      <c r="Q35" s="95"/>
      <c r="R35" s="95">
        <v>0.35</v>
      </c>
      <c r="S35" s="95"/>
      <c r="T35" s="95"/>
      <c r="U35" s="95"/>
      <c r="V35" s="95"/>
      <c r="W35" s="95"/>
      <c r="X35" s="95"/>
      <c r="Y35" s="95"/>
      <c r="Z35" s="95"/>
      <c r="AA35" s="95"/>
      <c r="AB35" s="95"/>
      <c r="AC35" s="95"/>
      <c r="AD35" s="95"/>
      <c r="AE35" s="95"/>
      <c r="AF35" s="95"/>
      <c r="AG35" s="95"/>
      <c r="AH35" s="95"/>
      <c r="AI35" s="95"/>
      <c r="AJ35" s="95"/>
      <c r="AK35" s="95"/>
      <c r="AL35" s="95"/>
      <c r="AM35" s="95"/>
      <c r="AN35" s="97"/>
      <c r="AO35" s="97"/>
      <c r="AP35" s="98"/>
    </row>
    <row r="36" spans="1:42" x14ac:dyDescent="0.25">
      <c r="A36" s="89" t="s">
        <v>606</v>
      </c>
      <c r="B36" s="90"/>
      <c r="C36" s="90"/>
      <c r="D36" s="90"/>
      <c r="E36" s="90"/>
      <c r="F36" s="90"/>
      <c r="G36" s="90"/>
      <c r="H36" s="90"/>
      <c r="I36" s="90"/>
      <c r="J36" s="90"/>
      <c r="K36" s="90"/>
      <c r="L36" s="90"/>
      <c r="M36" s="90"/>
      <c r="N36" s="90"/>
      <c r="O36" s="91">
        <f>IF(char1ArtiToggle, 120, 0)</f>
        <v>120</v>
      </c>
      <c r="P36" s="90"/>
      <c r="Q36" s="90"/>
      <c r="R36" s="90"/>
      <c r="S36" s="90"/>
      <c r="T36" s="90"/>
      <c r="U36" s="90"/>
      <c r="V36" s="90"/>
      <c r="W36" s="90"/>
      <c r="X36" s="90"/>
      <c r="Y36" s="90"/>
      <c r="Z36" s="90"/>
      <c r="AA36" s="90"/>
      <c r="AB36" s="90"/>
      <c r="AC36" s="90"/>
      <c r="AD36" s="90"/>
      <c r="AE36" s="90"/>
      <c r="AF36" s="90"/>
      <c r="AG36" s="90"/>
      <c r="AH36" s="90"/>
      <c r="AI36" s="90"/>
      <c r="AJ36" s="90"/>
      <c r="AK36" s="90"/>
      <c r="AL36" s="90"/>
      <c r="AM36" s="90"/>
      <c r="AN36" s="92"/>
      <c r="AO36" s="92"/>
      <c r="AP36" s="93"/>
    </row>
    <row r="37" spans="1:42" x14ac:dyDescent="0.25">
      <c r="A37" s="94" t="s">
        <v>607</v>
      </c>
      <c r="B37" s="95"/>
      <c r="C37" s="95"/>
      <c r="D37" s="95"/>
      <c r="E37" s="95"/>
      <c r="F37" s="95"/>
      <c r="G37" s="95"/>
      <c r="H37" s="95">
        <f t="shared" ref="H37:N37" si="0">IF(char1ArtiToggle, 35%, 0)</f>
        <v>0.35</v>
      </c>
      <c r="I37" s="95">
        <f t="shared" si="0"/>
        <v>0.35</v>
      </c>
      <c r="J37" s="95">
        <f t="shared" si="0"/>
        <v>0.35</v>
      </c>
      <c r="K37" s="95">
        <f t="shared" si="0"/>
        <v>0.35</v>
      </c>
      <c r="L37" s="95">
        <f t="shared" si="0"/>
        <v>0.35</v>
      </c>
      <c r="M37" s="95">
        <f t="shared" si="0"/>
        <v>0.35</v>
      </c>
      <c r="N37" s="95">
        <f t="shared" si="0"/>
        <v>0.35</v>
      </c>
      <c r="O37" s="96"/>
      <c r="P37" s="95"/>
      <c r="Q37" s="95"/>
      <c r="R37" s="95"/>
      <c r="S37" s="95"/>
      <c r="T37" s="95"/>
      <c r="U37" s="95"/>
      <c r="V37" s="95"/>
      <c r="W37" s="95"/>
      <c r="X37" s="95"/>
      <c r="Y37" s="95"/>
      <c r="Z37" s="95"/>
      <c r="AA37" s="95"/>
      <c r="AB37" s="95"/>
      <c r="AC37" s="95"/>
      <c r="AD37" s="95"/>
      <c r="AE37" s="95"/>
      <c r="AF37" s="95"/>
      <c r="AG37" s="95"/>
      <c r="AH37" s="95"/>
      <c r="AI37" s="95"/>
      <c r="AJ37" s="95"/>
      <c r="AK37" s="95"/>
      <c r="AL37" s="95"/>
      <c r="AM37" s="95"/>
      <c r="AN37" s="97"/>
      <c r="AO37" s="97"/>
      <c r="AP37" s="98"/>
    </row>
    <row r="38" spans="1:42" x14ac:dyDescent="0.25">
      <c r="A38" s="89" t="s">
        <v>608</v>
      </c>
      <c r="B38" s="90"/>
      <c r="C38" s="90"/>
      <c r="D38" s="90"/>
      <c r="E38" s="90"/>
      <c r="F38" s="90"/>
      <c r="G38" s="90"/>
      <c r="H38" s="90"/>
      <c r="I38" s="90"/>
      <c r="J38" s="90"/>
      <c r="K38" s="90"/>
      <c r="L38" s="90"/>
      <c r="M38" s="90"/>
      <c r="N38" s="90"/>
      <c r="O38" s="91"/>
      <c r="P38" s="90">
        <v>0.2</v>
      </c>
      <c r="Q38" s="90"/>
      <c r="R38" s="90"/>
      <c r="S38" s="90"/>
      <c r="T38" s="90"/>
      <c r="U38" s="90"/>
      <c r="V38" s="90"/>
      <c r="W38" s="90"/>
      <c r="X38" s="90"/>
      <c r="Y38" s="90"/>
      <c r="Z38" s="90"/>
      <c r="AA38" s="90"/>
      <c r="AB38" s="90"/>
      <c r="AC38" s="90"/>
      <c r="AD38" s="90"/>
      <c r="AE38" s="90"/>
      <c r="AF38" s="90"/>
      <c r="AG38" s="90"/>
      <c r="AH38" s="90"/>
      <c r="AI38" s="90"/>
      <c r="AJ38" s="90"/>
      <c r="AK38" s="90"/>
      <c r="AL38" s="90"/>
      <c r="AM38" s="90"/>
      <c r="AN38" s="92"/>
      <c r="AO38" s="92"/>
      <c r="AP38" s="93"/>
    </row>
    <row r="39" spans="1:42" x14ac:dyDescent="0.25">
      <c r="A39" s="94" t="s">
        <v>609</v>
      </c>
      <c r="B39" s="95"/>
      <c r="C39" s="95"/>
      <c r="D39" s="95"/>
      <c r="E39" s="95"/>
      <c r="F39" s="95"/>
      <c r="G39" s="95"/>
      <c r="H39" s="95"/>
      <c r="I39" s="95"/>
      <c r="J39" s="95"/>
      <c r="K39" s="95"/>
      <c r="L39" s="95"/>
      <c r="M39" s="95"/>
      <c r="N39" s="95"/>
      <c r="O39" s="96"/>
      <c r="P39" s="95"/>
      <c r="Q39" s="95"/>
      <c r="R39" s="95">
        <f>IF(char1ArtiToggle, 25%, 0)</f>
        <v>0.25</v>
      </c>
      <c r="S39" s="95">
        <f>IF(char1ArtiToggle, 25%, 0)</f>
        <v>0.25</v>
      </c>
      <c r="T39" s="95"/>
      <c r="U39" s="95"/>
      <c r="V39" s="95"/>
      <c r="W39" s="95"/>
      <c r="X39" s="95"/>
      <c r="Y39" s="95"/>
      <c r="Z39" s="95"/>
      <c r="AA39" s="95"/>
      <c r="AB39" s="95"/>
      <c r="AC39" s="95"/>
      <c r="AD39" s="95"/>
      <c r="AE39" s="95"/>
      <c r="AF39" s="95"/>
      <c r="AG39" s="95"/>
      <c r="AH39" s="95"/>
      <c r="AI39" s="95"/>
      <c r="AJ39" s="95"/>
      <c r="AK39" s="95"/>
      <c r="AL39" s="95"/>
      <c r="AM39" s="95"/>
      <c r="AN39" s="97"/>
      <c r="AO39" s="97"/>
      <c r="AP39" s="98"/>
    </row>
    <row r="40" spans="1:42" x14ac:dyDescent="0.25">
      <c r="A40" s="89" t="s">
        <v>610</v>
      </c>
      <c r="B40" s="90">
        <f>IF(char1ArtiToggle, 20%, 0)</f>
        <v>0.2</v>
      </c>
      <c r="C40" s="90"/>
      <c r="D40" s="90"/>
      <c r="E40" s="90"/>
      <c r="F40" s="90"/>
      <c r="G40" s="90"/>
      <c r="H40" s="90"/>
      <c r="I40" s="90"/>
      <c r="J40" s="90"/>
      <c r="K40" s="90"/>
      <c r="L40" s="90"/>
      <c r="M40" s="90"/>
      <c r="N40" s="90"/>
      <c r="O40" s="91"/>
      <c r="P40" s="90"/>
      <c r="Q40" s="90"/>
      <c r="R40" s="90"/>
      <c r="S40" s="90"/>
      <c r="T40" s="90"/>
      <c r="U40" s="90"/>
      <c r="V40" s="90"/>
      <c r="W40" s="90"/>
      <c r="X40" s="90"/>
      <c r="Y40" s="90"/>
      <c r="Z40" s="90"/>
      <c r="AA40" s="90"/>
      <c r="AB40" s="90"/>
      <c r="AC40" s="90"/>
      <c r="AD40" s="90"/>
      <c r="AE40" s="90"/>
      <c r="AF40" s="90"/>
      <c r="AG40" s="90"/>
      <c r="AH40" s="90"/>
      <c r="AI40" s="90"/>
      <c r="AJ40" s="90"/>
      <c r="AK40" s="90"/>
      <c r="AL40" s="90"/>
      <c r="AM40" s="90"/>
      <c r="AN40" s="92"/>
      <c r="AO40" s="92"/>
      <c r="AP40" s="93"/>
    </row>
    <row r="41" spans="1:42" x14ac:dyDescent="0.25">
      <c r="A41" s="94" t="s">
        <v>611</v>
      </c>
      <c r="B41" s="95"/>
      <c r="C41" s="95"/>
      <c r="D41" s="95"/>
      <c r="E41" s="95"/>
      <c r="F41" s="95"/>
      <c r="G41" s="95"/>
      <c r="H41" s="95"/>
      <c r="I41" s="95"/>
      <c r="J41" s="95"/>
      <c r="K41" s="95"/>
      <c r="L41" s="95"/>
      <c r="M41" s="95"/>
      <c r="N41" s="95"/>
      <c r="O41" s="96"/>
      <c r="P41" s="95"/>
      <c r="Q41" s="95"/>
      <c r="R41" s="95">
        <f>IF(char1ArtiToggle, 40%, 0)</f>
        <v>0.4</v>
      </c>
      <c r="S41" s="95">
        <f>IF(char1ArtiToggle, 40%, 0)</f>
        <v>0.4</v>
      </c>
      <c r="T41" s="95"/>
      <c r="U41" s="95"/>
      <c r="V41" s="95"/>
      <c r="W41" s="95"/>
      <c r="X41" s="95"/>
      <c r="Y41" s="95"/>
      <c r="Z41" s="95"/>
      <c r="AA41" s="95"/>
      <c r="AB41" s="95"/>
      <c r="AC41" s="95"/>
      <c r="AD41" s="95"/>
      <c r="AE41" s="95"/>
      <c r="AF41" s="95"/>
      <c r="AG41" s="95"/>
      <c r="AH41" s="95"/>
      <c r="AI41" s="95"/>
      <c r="AJ41" s="95"/>
      <c r="AK41" s="95"/>
      <c r="AL41" s="95"/>
      <c r="AM41" s="95"/>
      <c r="AN41" s="97"/>
      <c r="AO41" s="97"/>
      <c r="AP41" s="98"/>
    </row>
    <row r="42" spans="1:42" x14ac:dyDescent="0.25">
      <c r="A42" s="89" t="s">
        <v>612</v>
      </c>
      <c r="B42" s="90" t="s">
        <v>428</v>
      </c>
      <c r="C42" s="90"/>
      <c r="D42" s="90"/>
      <c r="E42" s="90"/>
      <c r="F42" s="90"/>
      <c r="G42" s="90"/>
      <c r="H42" s="90"/>
      <c r="I42" s="90"/>
      <c r="J42" s="90"/>
      <c r="K42" s="90"/>
      <c r="L42" s="90"/>
      <c r="M42" s="90"/>
      <c r="N42" s="90"/>
      <c r="O42" s="91"/>
      <c r="P42" s="90"/>
      <c r="Q42" s="90"/>
      <c r="R42" s="90"/>
      <c r="S42" s="90"/>
      <c r="T42" s="90"/>
      <c r="U42" s="90"/>
      <c r="V42" s="90"/>
      <c r="W42" s="90"/>
      <c r="X42" s="90"/>
      <c r="Y42" s="90"/>
      <c r="Z42" s="90">
        <v>0.4</v>
      </c>
      <c r="AA42" s="90"/>
      <c r="AB42" s="90">
        <v>0.4</v>
      </c>
      <c r="AC42" s="90">
        <v>0.4</v>
      </c>
      <c r="AD42" s="90"/>
      <c r="AE42" s="90"/>
      <c r="AF42" s="90"/>
      <c r="AG42" s="90"/>
      <c r="AH42" s="90"/>
      <c r="AI42" s="90"/>
      <c r="AJ42" s="90"/>
      <c r="AK42" s="90"/>
      <c r="AL42" s="90"/>
      <c r="AM42" s="90"/>
      <c r="AN42" s="92"/>
      <c r="AO42" s="92"/>
      <c r="AP42" s="93"/>
    </row>
    <row r="43" spans="1:42" x14ac:dyDescent="0.25">
      <c r="A43" s="94" t="s">
        <v>613</v>
      </c>
      <c r="B43" s="95"/>
      <c r="C43" s="95"/>
      <c r="D43" s="95"/>
      <c r="E43" s="95"/>
      <c r="F43" s="95"/>
      <c r="G43" s="95"/>
      <c r="H43" s="95"/>
      <c r="I43" s="95"/>
      <c r="J43" s="95"/>
      <c r="K43" s="95"/>
      <c r="L43" s="95"/>
      <c r="M43" s="95"/>
      <c r="N43" s="95"/>
      <c r="O43" s="96"/>
      <c r="P43" s="95"/>
      <c r="Q43" s="95"/>
      <c r="R43" s="95"/>
      <c r="S43" s="95"/>
      <c r="T43" s="95"/>
      <c r="U43" s="95"/>
      <c r="V43" s="95"/>
      <c r="W43" s="95">
        <f>IF(char1ArtiToggle, 35%, 0)</f>
        <v>0.35</v>
      </c>
      <c r="X43" s="95"/>
      <c r="Y43" s="95"/>
      <c r="Z43" s="95"/>
      <c r="AA43" s="95"/>
      <c r="AB43" s="95"/>
      <c r="AC43" s="95"/>
      <c r="AD43" s="95"/>
      <c r="AE43" s="95"/>
      <c r="AF43" s="95"/>
      <c r="AG43" s="95"/>
      <c r="AH43" s="95"/>
      <c r="AI43" s="95"/>
      <c r="AJ43" s="95"/>
      <c r="AK43" s="95"/>
      <c r="AL43" s="95"/>
      <c r="AM43" s="95"/>
      <c r="AN43" s="97"/>
      <c r="AO43" s="97"/>
      <c r="AP43" s="98"/>
    </row>
    <row r="44" spans="1:42" x14ac:dyDescent="0.25">
      <c r="A44" s="89" t="s">
        <v>614</v>
      </c>
      <c r="B44" s="90"/>
      <c r="C44" s="90"/>
      <c r="D44" s="90"/>
      <c r="E44" s="90"/>
      <c r="F44" s="90"/>
      <c r="G44" s="90"/>
      <c r="H44" s="90"/>
      <c r="I44" s="90"/>
      <c r="J44" s="90"/>
      <c r="K44" s="90"/>
      <c r="L44" s="90"/>
      <c r="M44" s="90"/>
      <c r="N44" s="90"/>
      <c r="O44" s="91"/>
      <c r="P44" s="90"/>
      <c r="Q44" s="90"/>
      <c r="R44" s="90"/>
      <c r="S44" s="90"/>
      <c r="T44" s="90"/>
      <c r="U44" s="90"/>
      <c r="V44" s="90"/>
      <c r="W44" s="90"/>
      <c r="X44" s="90"/>
      <c r="Y44" s="90">
        <v>0.6</v>
      </c>
      <c r="Z44" s="90"/>
      <c r="AA44" s="90"/>
      <c r="AB44" s="90"/>
      <c r="AC44" s="90"/>
      <c r="AD44" s="90"/>
      <c r="AE44" s="90"/>
      <c r="AF44" s="90"/>
      <c r="AG44" s="90"/>
      <c r="AH44" s="90"/>
      <c r="AI44" s="90"/>
      <c r="AJ44" s="90"/>
      <c r="AK44" s="90"/>
      <c r="AL44" s="90"/>
      <c r="AM44" s="90"/>
      <c r="AN44" s="92"/>
      <c r="AO44" s="92"/>
      <c r="AP44" s="93"/>
    </row>
    <row r="45" spans="1:42" x14ac:dyDescent="0.25">
      <c r="A45" s="94" t="s">
        <v>615</v>
      </c>
      <c r="B45" s="95"/>
      <c r="C45" s="95"/>
      <c r="D45" s="95"/>
      <c r="E45" s="95"/>
      <c r="F45" s="95"/>
      <c r="G45" s="95"/>
      <c r="H45" s="95"/>
      <c r="I45" s="95"/>
      <c r="J45" s="95"/>
      <c r="K45" s="95"/>
      <c r="L45" s="95"/>
      <c r="M45" s="95"/>
      <c r="N45" s="95"/>
      <c r="O45" s="96"/>
      <c r="P45" s="95"/>
      <c r="Q45" s="95"/>
      <c r="R45" s="95"/>
      <c r="S45" s="95">
        <f>IF(char1ArtiToggle, 35%, 0)</f>
        <v>0.35</v>
      </c>
      <c r="T45" s="95"/>
      <c r="U45" s="95"/>
      <c r="V45" s="95"/>
      <c r="W45" s="95"/>
      <c r="X45" s="95"/>
      <c r="Y45" s="95"/>
      <c r="Z45" s="95"/>
      <c r="AA45" s="95"/>
      <c r="AB45" s="95"/>
      <c r="AC45" s="95"/>
      <c r="AD45" s="95"/>
      <c r="AE45" s="95"/>
      <c r="AF45" s="95"/>
      <c r="AG45" s="95"/>
      <c r="AH45" s="95"/>
      <c r="AI45" s="95"/>
      <c r="AJ45" s="95"/>
      <c r="AK45" s="95"/>
      <c r="AL45" s="95"/>
      <c r="AM45" s="95"/>
      <c r="AN45" s="97"/>
      <c r="AO45" s="97"/>
      <c r="AP45" s="98"/>
    </row>
    <row r="46" spans="1:42" x14ac:dyDescent="0.25">
      <c r="A46" s="89" t="s">
        <v>616</v>
      </c>
      <c r="B46" s="90"/>
      <c r="C46" s="90"/>
      <c r="D46" s="90"/>
      <c r="E46" s="90">
        <f>char1ArtiStacks*(20%)</f>
        <v>0</v>
      </c>
      <c r="F46" s="90"/>
      <c r="G46" s="90"/>
      <c r="H46" s="90"/>
      <c r="I46" s="90"/>
      <c r="J46" s="90"/>
      <c r="K46" s="90"/>
      <c r="L46" s="90"/>
      <c r="M46" s="90"/>
      <c r="N46" s="90"/>
      <c r="O46" s="91"/>
      <c r="P46" s="90"/>
      <c r="Q46" s="90"/>
      <c r="R46" s="90"/>
      <c r="S46" s="90"/>
      <c r="T46" s="90"/>
      <c r="U46" s="90"/>
      <c r="V46" s="90"/>
      <c r="W46" s="90"/>
      <c r="X46" s="90"/>
      <c r="Y46" s="90"/>
      <c r="Z46" s="90"/>
      <c r="AA46" s="90"/>
      <c r="AB46" s="90"/>
      <c r="AC46" s="90"/>
      <c r="AD46" s="90"/>
      <c r="AE46" s="90"/>
      <c r="AF46" s="90"/>
      <c r="AG46" s="90"/>
      <c r="AH46" s="90"/>
      <c r="AI46" s="90"/>
      <c r="AJ46" s="90"/>
      <c r="AK46" s="90"/>
      <c r="AL46" s="90"/>
      <c r="AM46" s="90"/>
      <c r="AN46" s="92"/>
      <c r="AO46" s="92"/>
      <c r="AP46" s="93"/>
    </row>
    <row r="47" spans="1:42" x14ac:dyDescent="0.25">
      <c r="A47" s="94" t="s">
        <v>617</v>
      </c>
      <c r="B47" s="95"/>
      <c r="C47" s="95"/>
      <c r="D47" s="95"/>
      <c r="E47" s="95"/>
      <c r="F47" s="95"/>
      <c r="G47" s="95"/>
      <c r="H47" s="95"/>
      <c r="I47" s="95"/>
      <c r="J47" s="95"/>
      <c r="K47" s="95"/>
      <c r="L47" s="95"/>
      <c r="M47" s="95"/>
      <c r="N47" s="95"/>
      <c r="O47" s="96"/>
      <c r="P47" s="95"/>
      <c r="Q47" s="95"/>
      <c r="R47" s="95">
        <f>IF(char1ArtiToggle, 30%, 0)</f>
        <v>0.3</v>
      </c>
      <c r="S47" s="95">
        <f>IF(char1ArtiToggle, 30%, 0)</f>
        <v>0.3</v>
      </c>
      <c r="T47" s="95"/>
      <c r="U47" s="95"/>
      <c r="V47" s="95"/>
      <c r="W47" s="95"/>
      <c r="X47" s="95"/>
      <c r="Y47" s="95"/>
      <c r="Z47" s="95"/>
      <c r="AA47" s="95"/>
      <c r="AB47" s="95"/>
      <c r="AC47" s="95"/>
      <c r="AD47" s="95"/>
      <c r="AE47" s="95"/>
      <c r="AF47" s="95"/>
      <c r="AG47" s="95"/>
      <c r="AH47" s="95"/>
      <c r="AI47" s="95"/>
      <c r="AJ47" s="95"/>
      <c r="AK47" s="95"/>
      <c r="AL47" s="95"/>
      <c r="AM47" s="95"/>
      <c r="AN47" s="97"/>
      <c r="AO47" s="97"/>
      <c r="AP47" s="98"/>
    </row>
    <row r="48" spans="1:42" x14ac:dyDescent="0.25">
      <c r="A48" s="89" t="s">
        <v>618</v>
      </c>
      <c r="B48" s="90">
        <f>char1ArtiStacks*9%</f>
        <v>0</v>
      </c>
      <c r="C48" s="90"/>
      <c r="D48" s="90"/>
      <c r="E48" s="90"/>
      <c r="F48" s="90"/>
      <c r="G48" s="90"/>
      <c r="H48" s="90">
        <f>IF(char1ArtiStacks=2, 25%, 0)</f>
        <v>0</v>
      </c>
      <c r="I48" s="90"/>
      <c r="J48" s="90"/>
      <c r="K48" s="90"/>
      <c r="L48" s="90"/>
      <c r="M48" s="90"/>
      <c r="N48" s="90"/>
      <c r="O48" s="91"/>
      <c r="P48" s="90"/>
      <c r="Q48" s="90"/>
      <c r="R48" s="90"/>
      <c r="S48" s="90"/>
      <c r="T48" s="90"/>
      <c r="U48" s="90"/>
      <c r="V48" s="90"/>
      <c r="W48" s="90"/>
      <c r="X48" s="90"/>
      <c r="Y48" s="90"/>
      <c r="Z48" s="90"/>
      <c r="AA48" s="90"/>
      <c r="AB48" s="90"/>
      <c r="AC48" s="90"/>
      <c r="AD48" s="90"/>
      <c r="AE48" s="90"/>
      <c r="AF48" s="90"/>
      <c r="AG48" s="90"/>
      <c r="AH48" s="90"/>
      <c r="AI48" s="90"/>
      <c r="AJ48" s="90"/>
      <c r="AK48" s="90"/>
      <c r="AL48" s="90"/>
      <c r="AM48" s="90"/>
      <c r="AN48" s="92"/>
      <c r="AO48" s="92"/>
      <c r="AP48" s="93"/>
    </row>
    <row r="49" spans="1:42" x14ac:dyDescent="0.25">
      <c r="A49" s="94" t="s">
        <v>619</v>
      </c>
      <c r="B49" s="95">
        <f>IF(char1ArtiToggle, 20%, 0)</f>
        <v>0.2</v>
      </c>
      <c r="C49" s="95"/>
      <c r="D49" s="95"/>
      <c r="E49" s="95"/>
      <c r="F49" s="95"/>
      <c r="G49" s="95"/>
      <c r="H49" s="95"/>
      <c r="I49" s="95"/>
      <c r="J49" s="95"/>
      <c r="K49" s="95"/>
      <c r="L49" s="95"/>
      <c r="M49" s="95"/>
      <c r="N49" s="95"/>
      <c r="O49" s="96"/>
      <c r="P49" s="95"/>
      <c r="Q49" s="95"/>
      <c r="R49" s="95"/>
      <c r="S49" s="95"/>
      <c r="T49" s="95"/>
      <c r="U49" s="95"/>
      <c r="V49" s="95"/>
      <c r="W49" s="95"/>
      <c r="X49" s="95">
        <f>IF(char1ArtiToggle, 30%, 0)</f>
        <v>0.3</v>
      </c>
      <c r="Y49" s="95"/>
      <c r="Z49" s="95"/>
      <c r="AA49" s="95"/>
      <c r="AB49" s="95"/>
      <c r="AC49" s="95"/>
      <c r="AD49" s="95"/>
      <c r="AE49" s="95"/>
      <c r="AF49" s="95"/>
      <c r="AG49" s="95"/>
      <c r="AH49" s="95"/>
      <c r="AI49" s="95"/>
      <c r="AJ49" s="95"/>
      <c r="AK49" s="95"/>
      <c r="AL49" s="95"/>
      <c r="AM49" s="95"/>
      <c r="AN49" s="97"/>
      <c r="AO49" s="97"/>
      <c r="AP49" s="98"/>
    </row>
    <row r="50" spans="1:42" x14ac:dyDescent="0.25">
      <c r="A50" s="89" t="s">
        <v>620</v>
      </c>
      <c r="B50" s="90"/>
      <c r="C50" s="90"/>
      <c r="D50" s="90"/>
      <c r="E50" s="90"/>
      <c r="F50" s="90"/>
      <c r="G50" s="90"/>
      <c r="H50" s="90"/>
      <c r="I50" s="90"/>
      <c r="J50" s="90"/>
      <c r="K50" s="90"/>
      <c r="L50" s="90"/>
      <c r="M50" s="90"/>
      <c r="N50" s="90"/>
      <c r="O50" s="91"/>
      <c r="P50" s="90"/>
      <c r="Q50" s="90"/>
      <c r="R50" s="90">
        <f>IF(char1ArtiToggle, 50%, 0)</f>
        <v>0.5</v>
      </c>
      <c r="S50" s="90">
        <f>IF(char1ArtiToggle, 50%, 0)</f>
        <v>0.5</v>
      </c>
      <c r="T50" s="90">
        <f>IF(char1ArtiToggle, 50%, 0)</f>
        <v>0.5</v>
      </c>
      <c r="U50" s="90"/>
      <c r="V50" s="90"/>
      <c r="W50" s="90"/>
      <c r="X50" s="90"/>
      <c r="Y50" s="90"/>
      <c r="Z50" s="90"/>
      <c r="AA50" s="90"/>
      <c r="AB50" s="90"/>
      <c r="AC50" s="90"/>
      <c r="AD50" s="90"/>
      <c r="AE50" s="90"/>
      <c r="AF50" s="90"/>
      <c r="AG50" s="90"/>
      <c r="AH50" s="90"/>
      <c r="AI50" s="90"/>
      <c r="AJ50" s="90"/>
      <c r="AK50" s="90"/>
      <c r="AL50" s="90"/>
      <c r="AM50" s="90"/>
      <c r="AN50" s="92"/>
      <c r="AO50" s="92"/>
      <c r="AP50" s="93"/>
    </row>
    <row r="51" spans="1:42" x14ac:dyDescent="0.25">
      <c r="A51" s="94" t="s">
        <v>621</v>
      </c>
      <c r="B51" s="95"/>
      <c r="C51" s="95"/>
      <c r="D51" s="95"/>
      <c r="E51" s="95"/>
      <c r="F51" s="95"/>
      <c r="G51" s="95"/>
      <c r="H51" s="95"/>
      <c r="I51" s="95"/>
      <c r="J51" s="95"/>
      <c r="K51" s="95"/>
      <c r="L51" s="95"/>
      <c r="M51" s="95"/>
      <c r="N51" s="95"/>
      <c r="O51" s="96"/>
      <c r="P51" s="95"/>
      <c r="Q51" s="95"/>
      <c r="R51" s="95"/>
      <c r="S51" s="95"/>
      <c r="T51" s="95"/>
      <c r="U51" s="95"/>
      <c r="V51" s="95">
        <f ca="1">IF(char1FinalER*25%&gt;75%, 75%,char1FinalER*25%)</f>
        <v>0.52229999999999999</v>
      </c>
      <c r="W51" s="95"/>
      <c r="X51" s="95"/>
      <c r="Y51" s="95"/>
      <c r="Z51" s="95"/>
      <c r="AA51" s="95"/>
      <c r="AB51" s="95"/>
      <c r="AC51" s="95"/>
      <c r="AD51" s="95"/>
      <c r="AE51" s="95"/>
      <c r="AF51" s="95"/>
      <c r="AG51" s="95"/>
      <c r="AH51" s="95"/>
      <c r="AI51" s="95"/>
      <c r="AJ51" s="95"/>
      <c r="AK51" s="95"/>
      <c r="AL51" s="95"/>
      <c r="AM51" s="95"/>
      <c r="AN51" s="97"/>
      <c r="AO51" s="97"/>
      <c r="AP51" s="98"/>
    </row>
    <row r="52" spans="1:42" x14ac:dyDescent="0.25">
      <c r="A52" s="89" t="s">
        <v>622</v>
      </c>
      <c r="B52" s="90"/>
      <c r="C52" s="90"/>
      <c r="D52" s="90"/>
      <c r="E52" s="90"/>
      <c r="F52" s="90"/>
      <c r="G52" s="90"/>
      <c r="H52" s="90"/>
      <c r="I52" s="90"/>
      <c r="J52" s="90"/>
      <c r="K52" s="90"/>
      <c r="L52" s="90"/>
      <c r="M52" s="90"/>
      <c r="N52" s="90"/>
      <c r="O52" s="91"/>
      <c r="P52" s="90"/>
      <c r="Q52" s="90"/>
      <c r="R52" s="90"/>
      <c r="S52" s="90"/>
      <c r="T52" s="90"/>
      <c r="U52" s="90"/>
      <c r="V52" s="90"/>
      <c r="W52" s="90"/>
      <c r="X52" s="90"/>
      <c r="Y52" s="90"/>
      <c r="Z52" s="90"/>
      <c r="AA52" s="90"/>
      <c r="AB52" s="90"/>
      <c r="AC52" s="90"/>
      <c r="AD52" s="90"/>
      <c r="AE52" s="90"/>
      <c r="AF52" s="90"/>
      <c r="AG52" s="90"/>
      <c r="AH52" s="90"/>
      <c r="AI52" s="90"/>
      <c r="AJ52" s="90"/>
      <c r="AK52" s="90"/>
      <c r="AL52" s="90"/>
      <c r="AM52" s="90"/>
      <c r="AN52" s="92"/>
      <c r="AO52" s="92"/>
      <c r="AP52" s="93"/>
    </row>
    <row r="53" spans="1:42" x14ac:dyDescent="0.25">
      <c r="A53" s="84" t="s">
        <v>623</v>
      </c>
      <c r="B53" s="99"/>
      <c r="C53" s="99">
        <f>6%*char1ArtiStacks</f>
        <v>0</v>
      </c>
      <c r="D53" s="99"/>
      <c r="E53" s="99"/>
      <c r="F53" s="99"/>
      <c r="G53" s="99"/>
      <c r="H53" s="99"/>
      <c r="I53" s="99"/>
      <c r="J53" s="99">
        <f>6%*char1ArtiStacks</f>
        <v>0</v>
      </c>
      <c r="K53" s="99"/>
      <c r="L53" s="99"/>
      <c r="M53" s="99"/>
      <c r="N53" s="99"/>
      <c r="O53" s="100"/>
      <c r="P53" s="99"/>
      <c r="Q53" s="99"/>
      <c r="R53" s="99"/>
      <c r="S53" s="99"/>
      <c r="T53" s="99"/>
      <c r="U53" s="99"/>
      <c r="V53" s="99"/>
      <c r="W53" s="99"/>
      <c r="X53" s="99"/>
      <c r="Y53" s="99"/>
      <c r="Z53" s="99"/>
      <c r="AA53" s="99"/>
      <c r="AB53" s="99"/>
      <c r="AC53" s="99"/>
      <c r="AD53" s="99"/>
      <c r="AE53" s="99"/>
      <c r="AF53" s="99"/>
      <c r="AG53" s="99"/>
      <c r="AH53" s="99"/>
      <c r="AI53" s="99"/>
      <c r="AJ53" s="99"/>
      <c r="AK53" s="99"/>
      <c r="AL53" s="99"/>
      <c r="AM53" s="99"/>
      <c r="AN53" s="101"/>
      <c r="AO53" s="101"/>
      <c r="AP53" s="102"/>
    </row>
    <row r="55" spans="1:42" x14ac:dyDescent="0.25">
      <c r="A55" s="85" t="s">
        <v>571</v>
      </c>
      <c r="B55" s="86" t="s">
        <v>65</v>
      </c>
      <c r="C55" s="86" t="s">
        <v>66</v>
      </c>
      <c r="D55" s="87" t="s">
        <v>67</v>
      </c>
      <c r="E55" s="86" t="s">
        <v>413</v>
      </c>
      <c r="F55" s="86" t="s">
        <v>414</v>
      </c>
      <c r="G55" s="86" t="s">
        <v>68</v>
      </c>
      <c r="H55" s="86" t="s">
        <v>70</v>
      </c>
      <c r="I55" s="87" t="s">
        <v>71</v>
      </c>
      <c r="J55" s="86" t="s">
        <v>72</v>
      </c>
      <c r="K55" s="87" t="s">
        <v>73</v>
      </c>
      <c r="L55" s="87" t="s">
        <v>74</v>
      </c>
      <c r="M55" s="87" t="s">
        <v>75</v>
      </c>
      <c r="N55" s="87" t="s">
        <v>76</v>
      </c>
      <c r="O55" s="87" t="s">
        <v>69</v>
      </c>
      <c r="P55" s="87" t="s">
        <v>457</v>
      </c>
      <c r="Q55" s="87" t="s">
        <v>427</v>
      </c>
      <c r="R55" s="87" t="s">
        <v>77</v>
      </c>
      <c r="S55" s="87" t="s">
        <v>78</v>
      </c>
      <c r="T55" s="87" t="s">
        <v>79</v>
      </c>
      <c r="U55" s="87" t="s">
        <v>80</v>
      </c>
      <c r="V55" s="87" t="s">
        <v>81</v>
      </c>
      <c r="W55" s="86" t="s">
        <v>82</v>
      </c>
      <c r="X55" s="86" t="s">
        <v>458</v>
      </c>
      <c r="Y55" s="86" t="s">
        <v>83</v>
      </c>
      <c r="Z55" s="86" t="s">
        <v>84</v>
      </c>
      <c r="AA55" s="86" t="s">
        <v>85</v>
      </c>
      <c r="AB55" s="86" t="s">
        <v>87</v>
      </c>
      <c r="AC55" s="86" t="s">
        <v>86</v>
      </c>
      <c r="AD55" s="86" t="s">
        <v>88</v>
      </c>
      <c r="AE55" s="86" t="s">
        <v>89</v>
      </c>
      <c r="AF55" s="86" t="s">
        <v>90</v>
      </c>
      <c r="AG55" s="86" t="s">
        <v>459</v>
      </c>
      <c r="AH55" s="86" t="s">
        <v>460</v>
      </c>
      <c r="AI55" s="86" t="s">
        <v>461</v>
      </c>
      <c r="AJ55" s="86" t="s">
        <v>462</v>
      </c>
      <c r="AK55" s="86" t="s">
        <v>463</v>
      </c>
      <c r="AL55" s="86" t="s">
        <v>464</v>
      </c>
      <c r="AM55" s="86" t="s">
        <v>465</v>
      </c>
      <c r="AN55" s="87" t="s">
        <v>62</v>
      </c>
      <c r="AO55" s="87" t="s">
        <v>64</v>
      </c>
      <c r="AP55" s="88" t="s">
        <v>63</v>
      </c>
    </row>
    <row r="56" spans="1:42" x14ac:dyDescent="0.25">
      <c r="A56" s="89" t="s">
        <v>572</v>
      </c>
      <c r="B56" s="90"/>
      <c r="C56" s="90"/>
      <c r="D56" s="90"/>
      <c r="E56" s="90"/>
      <c r="F56" s="90"/>
      <c r="G56" s="90"/>
      <c r="H56" s="90"/>
      <c r="I56" s="90"/>
      <c r="J56" s="90">
        <v>0.15</v>
      </c>
      <c r="K56" s="90"/>
      <c r="L56" s="90"/>
      <c r="M56" s="90"/>
      <c r="N56" s="90"/>
      <c r="O56" s="91"/>
      <c r="P56" s="90"/>
      <c r="Q56" s="90"/>
      <c r="R56" s="90"/>
      <c r="S56" s="90"/>
      <c r="T56" s="90"/>
      <c r="U56" s="90"/>
      <c r="V56" s="90"/>
      <c r="W56" s="90"/>
      <c r="X56" s="90"/>
      <c r="Y56" s="90"/>
      <c r="Z56" s="90"/>
      <c r="AA56" s="90"/>
      <c r="AB56" s="90"/>
      <c r="AC56" s="90"/>
      <c r="AD56" s="90"/>
      <c r="AE56" s="90"/>
      <c r="AF56" s="90"/>
      <c r="AG56" s="90"/>
      <c r="AH56" s="90"/>
      <c r="AI56" s="90"/>
      <c r="AJ56" s="90"/>
      <c r="AK56" s="90"/>
      <c r="AL56" s="90"/>
      <c r="AM56" s="90"/>
      <c r="AN56" s="92"/>
      <c r="AO56" s="92"/>
      <c r="AP56" s="93"/>
    </row>
    <row r="57" spans="1:42" x14ac:dyDescent="0.25">
      <c r="A57" s="94" t="s">
        <v>573</v>
      </c>
      <c r="B57" s="95"/>
      <c r="C57" s="95"/>
      <c r="D57" s="95"/>
      <c r="E57" s="95">
        <v>0.12</v>
      </c>
      <c r="F57" s="95"/>
      <c r="G57" s="95"/>
      <c r="H57" s="95"/>
      <c r="I57" s="95"/>
      <c r="J57" s="95"/>
      <c r="K57" s="95"/>
      <c r="L57" s="95"/>
      <c r="M57" s="95"/>
      <c r="N57" s="95"/>
      <c r="O57" s="96"/>
      <c r="P57" s="95"/>
      <c r="Q57" s="95"/>
      <c r="R57" s="95"/>
      <c r="S57" s="95"/>
      <c r="T57" s="95"/>
      <c r="U57" s="95"/>
      <c r="V57" s="95"/>
      <c r="W57" s="95"/>
      <c r="X57" s="95"/>
      <c r="Y57" s="95"/>
      <c r="Z57" s="95"/>
      <c r="AA57" s="95"/>
      <c r="AB57" s="95"/>
      <c r="AC57" s="95"/>
      <c r="AD57" s="95"/>
      <c r="AE57" s="95"/>
      <c r="AF57" s="95"/>
      <c r="AG57" s="95"/>
      <c r="AH57" s="95"/>
      <c r="AI57" s="95"/>
      <c r="AJ57" s="95"/>
      <c r="AK57" s="95"/>
      <c r="AL57" s="95"/>
      <c r="AM57" s="95"/>
      <c r="AN57" s="97"/>
      <c r="AO57" s="97"/>
      <c r="AP57" s="98"/>
    </row>
    <row r="58" spans="1:42" x14ac:dyDescent="0.25">
      <c r="A58" s="89" t="s">
        <v>574</v>
      </c>
      <c r="B58" s="90"/>
      <c r="C58" s="90"/>
      <c r="D58" s="90"/>
      <c r="E58" s="90"/>
      <c r="F58" s="90"/>
      <c r="G58" s="90"/>
      <c r="H58" s="90">
        <v>0.25</v>
      </c>
      <c r="I58" s="90"/>
      <c r="J58" s="90"/>
      <c r="K58" s="90"/>
      <c r="L58" s="90"/>
      <c r="M58" s="90"/>
      <c r="N58" s="90"/>
      <c r="O58" s="91"/>
      <c r="P58" s="90"/>
      <c r="Q58" s="90"/>
      <c r="R58" s="90"/>
      <c r="S58" s="90"/>
      <c r="T58" s="90"/>
      <c r="U58" s="90"/>
      <c r="V58" s="90"/>
      <c r="W58" s="90"/>
      <c r="X58" s="90"/>
      <c r="Y58" s="90"/>
      <c r="Z58" s="90"/>
      <c r="AA58" s="90"/>
      <c r="AB58" s="90"/>
      <c r="AC58" s="90"/>
      <c r="AD58" s="90"/>
      <c r="AE58" s="90"/>
      <c r="AF58" s="90"/>
      <c r="AG58" s="90"/>
      <c r="AH58" s="90"/>
      <c r="AI58" s="90"/>
      <c r="AJ58" s="90"/>
      <c r="AK58" s="90"/>
      <c r="AL58" s="90"/>
      <c r="AM58" s="90"/>
      <c r="AN58" s="92"/>
      <c r="AO58" s="92"/>
      <c r="AP58" s="93"/>
    </row>
    <row r="59" spans="1:42" x14ac:dyDescent="0.25">
      <c r="A59" s="94" t="s">
        <v>575</v>
      </c>
      <c r="B59" s="95">
        <v>0.18</v>
      </c>
      <c r="C59" s="95"/>
      <c r="D59" s="95"/>
      <c r="E59" s="95"/>
      <c r="F59" s="95"/>
      <c r="G59" s="95"/>
      <c r="H59" s="95"/>
      <c r="I59" s="95"/>
      <c r="J59" s="95"/>
      <c r="K59" s="95"/>
      <c r="L59" s="95"/>
      <c r="M59" s="95"/>
      <c r="N59" s="95"/>
      <c r="O59" s="96"/>
      <c r="P59" s="95"/>
      <c r="Q59" s="95"/>
      <c r="R59" s="95"/>
      <c r="S59" s="95"/>
      <c r="T59" s="95"/>
      <c r="U59" s="95"/>
      <c r="V59" s="95"/>
      <c r="W59" s="95"/>
      <c r="X59" s="95"/>
      <c r="Y59" s="95"/>
      <c r="Z59" s="95"/>
      <c r="AA59" s="95"/>
      <c r="AB59" s="95"/>
      <c r="AC59" s="95"/>
      <c r="AD59" s="95"/>
      <c r="AE59" s="95"/>
      <c r="AF59" s="95"/>
      <c r="AG59" s="95"/>
      <c r="AH59" s="95"/>
      <c r="AI59" s="95"/>
      <c r="AJ59" s="95"/>
      <c r="AK59" s="95"/>
      <c r="AL59" s="95"/>
      <c r="AM59" s="95"/>
      <c r="AN59" s="97"/>
      <c r="AO59" s="97"/>
      <c r="AP59" s="98"/>
    </row>
    <row r="60" spans="1:42" x14ac:dyDescent="0.25">
      <c r="A60" s="89" t="s">
        <v>576</v>
      </c>
      <c r="B60" s="90"/>
      <c r="C60" s="90"/>
      <c r="D60" s="90"/>
      <c r="E60" s="90"/>
      <c r="F60" s="90"/>
      <c r="G60" s="90"/>
      <c r="H60" s="90"/>
      <c r="I60" s="90"/>
      <c r="J60" s="90"/>
      <c r="K60" s="90">
        <v>0.15</v>
      </c>
      <c r="L60" s="90"/>
      <c r="M60" s="90"/>
      <c r="N60" s="90"/>
      <c r="O60" s="91"/>
      <c r="P60" s="90"/>
      <c r="Q60" s="90"/>
      <c r="R60" s="90"/>
      <c r="S60" s="90"/>
      <c r="T60" s="90"/>
      <c r="U60" s="90"/>
      <c r="V60" s="90"/>
      <c r="W60" s="90"/>
      <c r="X60" s="90"/>
      <c r="Y60" s="90"/>
      <c r="Z60" s="90"/>
      <c r="AA60" s="90"/>
      <c r="AB60" s="90"/>
      <c r="AC60" s="90"/>
      <c r="AD60" s="90"/>
      <c r="AE60" s="90"/>
      <c r="AF60" s="90"/>
      <c r="AG60" s="90"/>
      <c r="AH60" s="90"/>
      <c r="AI60" s="90"/>
      <c r="AJ60" s="90"/>
      <c r="AK60" s="90"/>
      <c r="AL60" s="90"/>
      <c r="AM60" s="90"/>
      <c r="AN60" s="92"/>
      <c r="AO60" s="92"/>
      <c r="AP60" s="93"/>
    </row>
    <row r="61" spans="1:42" x14ac:dyDescent="0.25">
      <c r="A61" s="94" t="s">
        <v>577</v>
      </c>
      <c r="B61" s="95"/>
      <c r="C61" s="95">
        <v>0.3</v>
      </c>
      <c r="D61" s="95"/>
      <c r="E61" s="95"/>
      <c r="F61" s="95"/>
      <c r="G61" s="95"/>
      <c r="H61" s="95"/>
      <c r="I61" s="95"/>
      <c r="J61" s="95"/>
      <c r="K61" s="95"/>
      <c r="L61" s="95"/>
      <c r="M61" s="95"/>
      <c r="N61" s="95"/>
      <c r="O61" s="96"/>
      <c r="P61" s="95"/>
      <c r="Q61" s="95"/>
      <c r="R61" s="95"/>
      <c r="S61" s="95"/>
      <c r="T61" s="95"/>
      <c r="U61" s="95"/>
      <c r="V61" s="95"/>
      <c r="W61" s="95"/>
      <c r="X61" s="95"/>
      <c r="Y61" s="95"/>
      <c r="Z61" s="95"/>
      <c r="AA61" s="95"/>
      <c r="AB61" s="95"/>
      <c r="AC61" s="95"/>
      <c r="AD61" s="95"/>
      <c r="AE61" s="95"/>
      <c r="AF61" s="95"/>
      <c r="AG61" s="95"/>
      <c r="AH61" s="95"/>
      <c r="AI61" s="95"/>
      <c r="AJ61" s="95"/>
      <c r="AK61" s="95"/>
      <c r="AL61" s="95"/>
      <c r="AM61" s="95"/>
      <c r="AN61" s="97"/>
      <c r="AO61" s="97"/>
      <c r="AP61" s="98"/>
    </row>
    <row r="62" spans="1:42" x14ac:dyDescent="0.25">
      <c r="A62" s="89" t="s">
        <v>578</v>
      </c>
      <c r="B62" s="90"/>
      <c r="C62" s="90"/>
      <c r="D62" s="90"/>
      <c r="E62" s="90"/>
      <c r="F62" s="90"/>
      <c r="G62" s="90"/>
      <c r="H62" s="90"/>
      <c r="I62" s="90"/>
      <c r="J62" s="90"/>
      <c r="K62" s="90"/>
      <c r="L62" s="90"/>
      <c r="M62" s="90"/>
      <c r="N62" s="90"/>
      <c r="O62" s="91"/>
      <c r="P62" s="90"/>
      <c r="Q62" s="90"/>
      <c r="R62" s="90"/>
      <c r="S62" s="90"/>
      <c r="T62" s="90"/>
      <c r="U62" s="90">
        <v>0.2</v>
      </c>
      <c r="V62" s="90"/>
      <c r="W62" s="90"/>
      <c r="X62" s="90"/>
      <c r="Y62" s="90"/>
      <c r="Z62" s="90"/>
      <c r="AA62" s="90"/>
      <c r="AB62" s="90"/>
      <c r="AC62" s="90"/>
      <c r="AD62" s="90"/>
      <c r="AE62" s="90"/>
      <c r="AF62" s="90"/>
      <c r="AG62" s="90"/>
      <c r="AH62" s="90"/>
      <c r="AI62" s="90"/>
      <c r="AJ62" s="90"/>
      <c r="AK62" s="90"/>
      <c r="AL62" s="90"/>
      <c r="AM62" s="90"/>
      <c r="AN62" s="92"/>
      <c r="AO62" s="92"/>
      <c r="AP62" s="93"/>
    </row>
    <row r="63" spans="1:42" x14ac:dyDescent="0.25">
      <c r="A63" s="94" t="s">
        <v>579</v>
      </c>
      <c r="B63" s="95">
        <v>0.18</v>
      </c>
      <c r="C63" s="95"/>
      <c r="D63" s="95"/>
      <c r="E63" s="95"/>
      <c r="F63" s="95"/>
      <c r="G63" s="95"/>
      <c r="H63" s="95"/>
      <c r="I63" s="95"/>
      <c r="J63" s="95"/>
      <c r="K63" s="95"/>
      <c r="L63" s="95"/>
      <c r="M63" s="95"/>
      <c r="N63" s="95"/>
      <c r="O63" s="96"/>
      <c r="P63" s="95"/>
      <c r="Q63" s="95"/>
      <c r="R63" s="95"/>
      <c r="S63" s="95"/>
      <c r="T63" s="95"/>
      <c r="U63" s="95"/>
      <c r="V63" s="95"/>
      <c r="W63" s="95"/>
      <c r="X63" s="95"/>
      <c r="Y63" s="95"/>
      <c r="Z63" s="95"/>
      <c r="AA63" s="95"/>
      <c r="AB63" s="95"/>
      <c r="AC63" s="95"/>
      <c r="AD63" s="95"/>
      <c r="AE63" s="95"/>
      <c r="AF63" s="95"/>
      <c r="AG63" s="95"/>
      <c r="AH63" s="95"/>
      <c r="AI63" s="95"/>
      <c r="AJ63" s="95"/>
      <c r="AK63" s="95"/>
      <c r="AL63" s="95"/>
      <c r="AM63" s="95"/>
      <c r="AN63" s="97"/>
      <c r="AO63" s="97"/>
      <c r="AP63" s="98"/>
    </row>
    <row r="64" spans="1:42" x14ac:dyDescent="0.25">
      <c r="A64" s="89" t="s">
        <v>580</v>
      </c>
      <c r="B64" s="90"/>
      <c r="C64" s="90"/>
      <c r="D64" s="90"/>
      <c r="E64" s="90"/>
      <c r="F64" s="90"/>
      <c r="G64" s="90"/>
      <c r="H64" s="90"/>
      <c r="I64" s="90"/>
      <c r="J64" s="90"/>
      <c r="K64" s="90"/>
      <c r="L64" s="90"/>
      <c r="M64" s="90"/>
      <c r="N64" s="90"/>
      <c r="O64" s="91">
        <v>80</v>
      </c>
      <c r="P64" s="90"/>
      <c r="Q64" s="90"/>
      <c r="R64" s="90"/>
      <c r="S64" s="90"/>
      <c r="T64" s="90"/>
      <c r="U64" s="90"/>
      <c r="V64" s="90"/>
      <c r="W64" s="90"/>
      <c r="X64" s="90"/>
      <c r="Y64" s="90"/>
      <c r="Z64" s="90"/>
      <c r="AA64" s="90"/>
      <c r="AB64" s="90"/>
      <c r="AC64" s="90"/>
      <c r="AD64" s="90"/>
      <c r="AE64" s="90"/>
      <c r="AF64" s="90"/>
      <c r="AG64" s="90"/>
      <c r="AH64" s="90"/>
      <c r="AI64" s="90"/>
      <c r="AJ64" s="90"/>
      <c r="AK64" s="90"/>
      <c r="AL64" s="90"/>
      <c r="AM64" s="90"/>
      <c r="AN64" s="92"/>
      <c r="AO64" s="92"/>
      <c r="AP64" s="93"/>
    </row>
    <row r="65" spans="1:42" x14ac:dyDescent="0.25">
      <c r="A65" s="94" t="s">
        <v>581</v>
      </c>
      <c r="B65" s="95"/>
      <c r="C65" s="95"/>
      <c r="D65" s="95"/>
      <c r="E65" s="95"/>
      <c r="F65" s="95"/>
      <c r="G65" s="95"/>
      <c r="H65" s="95"/>
      <c r="I65" s="95"/>
      <c r="J65" s="95"/>
      <c r="K65" s="95"/>
      <c r="L65" s="95"/>
      <c r="M65" s="95"/>
      <c r="N65" s="95"/>
      <c r="O65" s="96"/>
      <c r="P65" s="95"/>
      <c r="Q65" s="95"/>
      <c r="R65" s="95"/>
      <c r="S65" s="95"/>
      <c r="T65" s="95"/>
      <c r="U65" s="95"/>
      <c r="V65" s="95"/>
      <c r="W65" s="95"/>
      <c r="X65" s="95"/>
      <c r="Y65" s="95"/>
      <c r="Z65" s="95"/>
      <c r="AA65" s="95"/>
      <c r="AB65" s="95"/>
      <c r="AC65" s="95"/>
      <c r="AD65" s="95"/>
      <c r="AE65" s="95"/>
      <c r="AF65" s="95"/>
      <c r="AG65" s="95"/>
      <c r="AH65" s="95"/>
      <c r="AI65" s="95">
        <v>0.4</v>
      </c>
      <c r="AJ65" s="95"/>
      <c r="AK65" s="95"/>
      <c r="AL65" s="95"/>
      <c r="AM65" s="95"/>
      <c r="AN65" s="97"/>
      <c r="AO65" s="97"/>
      <c r="AP65" s="98"/>
    </row>
    <row r="66" spans="1:42" x14ac:dyDescent="0.25">
      <c r="A66" s="89" t="s">
        <v>582</v>
      </c>
      <c r="B66" s="90"/>
      <c r="C66" s="90"/>
      <c r="D66" s="90"/>
      <c r="E66" s="90"/>
      <c r="F66" s="90"/>
      <c r="G66" s="90"/>
      <c r="H66" s="90"/>
      <c r="I66" s="90"/>
      <c r="J66" s="90"/>
      <c r="K66" s="90"/>
      <c r="L66" s="90"/>
      <c r="M66" s="90"/>
      <c r="N66" s="90"/>
      <c r="O66" s="91"/>
      <c r="P66" s="90"/>
      <c r="Q66" s="90">
        <v>0.15</v>
      </c>
      <c r="R66" s="90"/>
      <c r="S66" s="90"/>
      <c r="T66" s="90"/>
      <c r="U66" s="90"/>
      <c r="V66" s="90"/>
      <c r="W66" s="90"/>
      <c r="X66" s="90"/>
      <c r="Y66" s="90"/>
      <c r="Z66" s="90"/>
      <c r="AA66" s="90"/>
      <c r="AB66" s="90"/>
      <c r="AC66" s="90"/>
      <c r="AD66" s="90"/>
      <c r="AE66" s="90"/>
      <c r="AF66" s="90"/>
      <c r="AG66" s="90"/>
      <c r="AH66" s="90"/>
      <c r="AI66" s="90"/>
      <c r="AJ66" s="90"/>
      <c r="AK66" s="90"/>
      <c r="AL66" s="90"/>
      <c r="AM66" s="90"/>
      <c r="AN66" s="92"/>
      <c r="AO66" s="92"/>
      <c r="AP66" s="93"/>
    </row>
    <row r="67" spans="1:42" x14ac:dyDescent="0.25">
      <c r="A67" s="94" t="s">
        <v>583</v>
      </c>
      <c r="B67" s="95"/>
      <c r="C67" s="95"/>
      <c r="D67" s="95"/>
      <c r="E67" s="95"/>
      <c r="F67" s="95"/>
      <c r="G67" s="95"/>
      <c r="H67" s="95"/>
      <c r="I67" s="95"/>
      <c r="J67" s="95"/>
      <c r="K67" s="95"/>
      <c r="L67" s="95"/>
      <c r="M67" s="95"/>
      <c r="N67" s="95"/>
      <c r="O67" s="96"/>
      <c r="P67" s="95"/>
      <c r="Q67" s="95"/>
      <c r="R67" s="95">
        <v>0.15</v>
      </c>
      <c r="S67" s="95">
        <v>0.15</v>
      </c>
      <c r="T67" s="95"/>
      <c r="U67" s="95"/>
      <c r="V67" s="95"/>
      <c r="W67" s="95"/>
      <c r="X67" s="95"/>
      <c r="Y67" s="95"/>
      <c r="Z67" s="95"/>
      <c r="AA67" s="95"/>
      <c r="AB67" s="95"/>
      <c r="AC67" s="95"/>
      <c r="AD67" s="95"/>
      <c r="AE67" s="95"/>
      <c r="AF67" s="95"/>
      <c r="AG67" s="95"/>
      <c r="AH67" s="95"/>
      <c r="AI67" s="95"/>
      <c r="AJ67" s="95"/>
      <c r="AK67" s="95"/>
      <c r="AL67" s="95"/>
      <c r="AM67" s="95"/>
      <c r="AN67" s="97"/>
      <c r="AO67" s="97"/>
      <c r="AP67" s="98"/>
    </row>
    <row r="68" spans="1:42" x14ac:dyDescent="0.25">
      <c r="A68" s="89" t="s">
        <v>584</v>
      </c>
      <c r="B68" s="90"/>
      <c r="C68" s="90"/>
      <c r="D68" s="90"/>
      <c r="E68" s="90"/>
      <c r="F68" s="90"/>
      <c r="G68" s="90"/>
      <c r="H68" s="90"/>
      <c r="I68" s="90"/>
      <c r="J68" s="90"/>
      <c r="K68" s="90"/>
      <c r="L68" s="90"/>
      <c r="M68" s="90"/>
      <c r="N68" s="90"/>
      <c r="O68" s="91"/>
      <c r="P68" s="90"/>
      <c r="Q68" s="90"/>
      <c r="R68" s="90"/>
      <c r="S68" s="90"/>
      <c r="T68" s="90"/>
      <c r="U68" s="90"/>
      <c r="V68" s="90">
        <v>0.2</v>
      </c>
      <c r="W68" s="90"/>
      <c r="X68" s="90"/>
      <c r="Y68" s="90"/>
      <c r="Z68" s="90"/>
      <c r="AA68" s="90"/>
      <c r="AB68" s="90"/>
      <c r="AC68" s="90"/>
      <c r="AD68" s="90"/>
      <c r="AE68" s="90"/>
      <c r="AF68" s="90"/>
      <c r="AG68" s="90"/>
      <c r="AH68" s="90"/>
      <c r="AI68" s="90"/>
      <c r="AJ68" s="90"/>
      <c r="AK68" s="90"/>
      <c r="AL68" s="90"/>
      <c r="AM68" s="90"/>
      <c r="AN68" s="92"/>
      <c r="AO68" s="92"/>
      <c r="AP68" s="93"/>
    </row>
    <row r="69" spans="1:42" x14ac:dyDescent="0.25">
      <c r="A69" s="94" t="s">
        <v>585</v>
      </c>
      <c r="B69" s="95"/>
      <c r="C69" s="95"/>
      <c r="D69" s="95"/>
      <c r="E69" s="95"/>
      <c r="F69" s="95"/>
      <c r="G69" s="95"/>
      <c r="H69" s="95"/>
      <c r="I69" s="95"/>
      <c r="J69" s="95"/>
      <c r="K69" s="95"/>
      <c r="L69" s="95"/>
      <c r="M69" s="95"/>
      <c r="N69" s="95"/>
      <c r="O69" s="96"/>
      <c r="P69" s="95"/>
      <c r="Q69" s="95"/>
      <c r="R69" s="95"/>
      <c r="S69" s="95"/>
      <c r="T69" s="95"/>
      <c r="U69" s="95"/>
      <c r="V69" s="95"/>
      <c r="W69" s="95"/>
      <c r="X69" s="95">
        <v>0.35</v>
      </c>
      <c r="Y69" s="95"/>
      <c r="Z69" s="95"/>
      <c r="AA69" s="95"/>
      <c r="AB69" s="95"/>
      <c r="AC69" s="95"/>
      <c r="AD69" s="95"/>
      <c r="AE69" s="95"/>
      <c r="AF69" s="95"/>
      <c r="AG69" s="95"/>
      <c r="AH69" s="95"/>
      <c r="AI69" s="95"/>
      <c r="AJ69" s="95"/>
      <c r="AK69" s="95"/>
      <c r="AL69" s="95"/>
      <c r="AM69" s="95"/>
      <c r="AN69" s="97"/>
      <c r="AO69" s="97"/>
      <c r="AP69" s="98"/>
    </row>
    <row r="70" spans="1:42" x14ac:dyDescent="0.25">
      <c r="A70" s="89" t="s">
        <v>586</v>
      </c>
      <c r="B70" s="90"/>
      <c r="C70" s="90"/>
      <c r="D70" s="90"/>
      <c r="E70" s="90"/>
      <c r="F70" s="90"/>
      <c r="G70" s="90"/>
      <c r="H70" s="90"/>
      <c r="I70" s="90"/>
      <c r="J70" s="90"/>
      <c r="K70" s="90"/>
      <c r="L70" s="90"/>
      <c r="M70" s="90"/>
      <c r="N70" s="90">
        <v>0.15</v>
      </c>
      <c r="O70" s="91"/>
      <c r="P70" s="90"/>
      <c r="Q70" s="90"/>
      <c r="R70" s="90"/>
      <c r="S70" s="90"/>
      <c r="T70" s="90"/>
      <c r="U70" s="90"/>
      <c r="V70" s="90"/>
      <c r="W70" s="90"/>
      <c r="X70" s="90"/>
      <c r="Y70" s="90"/>
      <c r="Z70" s="90"/>
      <c r="AA70" s="90"/>
      <c r="AB70" s="90"/>
      <c r="AC70" s="90"/>
      <c r="AD70" s="90"/>
      <c r="AE70" s="90"/>
      <c r="AF70" s="90"/>
      <c r="AG70" s="90"/>
      <c r="AH70" s="90"/>
      <c r="AI70" s="90"/>
      <c r="AJ70" s="90"/>
      <c r="AK70" s="90"/>
      <c r="AL70" s="90"/>
      <c r="AM70" s="90"/>
      <c r="AN70" s="92"/>
      <c r="AO70" s="92"/>
      <c r="AP70" s="93"/>
    </row>
    <row r="71" spans="1:42" x14ac:dyDescent="0.25">
      <c r="A71" s="94" t="s">
        <v>587</v>
      </c>
      <c r="B71" s="95"/>
      <c r="C71" s="95"/>
      <c r="D71" s="95"/>
      <c r="E71" s="95"/>
      <c r="F71" s="95"/>
      <c r="G71" s="95"/>
      <c r="H71" s="95"/>
      <c r="I71" s="95"/>
      <c r="J71" s="95"/>
      <c r="K71" s="95"/>
      <c r="L71" s="95"/>
      <c r="M71" s="95"/>
      <c r="N71" s="95"/>
      <c r="O71" s="96"/>
      <c r="P71" s="95"/>
      <c r="Q71" s="95"/>
      <c r="R71" s="95"/>
      <c r="S71" s="95"/>
      <c r="T71" s="95"/>
      <c r="U71" s="95"/>
      <c r="V71" s="95"/>
      <c r="W71" s="95"/>
      <c r="X71" s="95"/>
      <c r="Y71" s="95"/>
      <c r="Z71" s="95"/>
      <c r="AA71" s="95"/>
      <c r="AB71" s="95"/>
      <c r="AC71" s="95"/>
      <c r="AD71" s="95"/>
      <c r="AE71" s="95"/>
      <c r="AF71" s="95"/>
      <c r="AG71" s="95"/>
      <c r="AH71" s="95"/>
      <c r="AI71" s="95"/>
      <c r="AJ71" s="95"/>
      <c r="AK71" s="95"/>
      <c r="AL71" s="95">
        <v>0.4</v>
      </c>
      <c r="AM71" s="95"/>
      <c r="AN71" s="97"/>
      <c r="AO71" s="97"/>
      <c r="AP71" s="98"/>
    </row>
    <row r="72" spans="1:42" x14ac:dyDescent="0.25">
      <c r="A72" s="89" t="s">
        <v>588</v>
      </c>
      <c r="B72" s="90"/>
      <c r="C72" s="90"/>
      <c r="D72" s="90"/>
      <c r="E72" s="90"/>
      <c r="F72" s="90"/>
      <c r="G72" s="90"/>
      <c r="H72" s="90"/>
      <c r="I72" s="90">
        <v>0.15</v>
      </c>
      <c r="J72" s="90"/>
      <c r="K72" s="90"/>
      <c r="L72" s="90"/>
      <c r="M72" s="90"/>
      <c r="N72" s="90"/>
      <c r="O72" s="91"/>
      <c r="P72" s="90"/>
      <c r="Q72" s="90"/>
      <c r="R72" s="90"/>
      <c r="S72" s="90"/>
      <c r="T72" s="90"/>
      <c r="U72" s="90"/>
      <c r="V72" s="90"/>
      <c r="W72" s="90"/>
      <c r="X72" s="90"/>
      <c r="Y72" s="90"/>
      <c r="Z72" s="90"/>
      <c r="AA72" s="90"/>
      <c r="AB72" s="90"/>
      <c r="AC72" s="90"/>
      <c r="AD72" s="90"/>
      <c r="AE72" s="90"/>
      <c r="AF72" s="90"/>
      <c r="AG72" s="90"/>
      <c r="AH72" s="90"/>
      <c r="AI72" s="90"/>
      <c r="AJ72" s="90"/>
      <c r="AK72" s="90"/>
      <c r="AL72" s="90"/>
      <c r="AM72" s="90"/>
      <c r="AN72" s="92"/>
      <c r="AO72" s="92"/>
      <c r="AP72" s="93"/>
    </row>
    <row r="73" spans="1:42" x14ac:dyDescent="0.25">
      <c r="A73" s="94" t="s">
        <v>589</v>
      </c>
      <c r="B73" s="95"/>
      <c r="C73" s="95"/>
      <c r="D73" s="95"/>
      <c r="E73" s="95"/>
      <c r="F73" s="95"/>
      <c r="G73" s="95"/>
      <c r="H73" s="95"/>
      <c r="I73" s="95"/>
      <c r="J73" s="95"/>
      <c r="K73" s="95"/>
      <c r="L73" s="95"/>
      <c r="M73" s="95"/>
      <c r="N73" s="95"/>
      <c r="O73" s="96">
        <v>80</v>
      </c>
      <c r="P73" s="95"/>
      <c r="Q73" s="95"/>
      <c r="R73" s="95"/>
      <c r="S73" s="95"/>
      <c r="T73" s="95"/>
      <c r="U73" s="95"/>
      <c r="V73" s="95"/>
      <c r="W73" s="95"/>
      <c r="X73" s="95"/>
      <c r="Y73" s="95"/>
      <c r="Z73" s="95"/>
      <c r="AA73" s="95"/>
      <c r="AB73" s="95"/>
      <c r="AC73" s="95"/>
      <c r="AD73" s="95"/>
      <c r="AE73" s="95"/>
      <c r="AF73" s="95"/>
      <c r="AG73" s="95"/>
      <c r="AH73" s="95"/>
      <c r="AI73" s="95"/>
      <c r="AJ73" s="95"/>
      <c r="AK73" s="95"/>
      <c r="AL73" s="95"/>
      <c r="AM73" s="95"/>
      <c r="AN73" s="97"/>
      <c r="AO73" s="97"/>
      <c r="AP73" s="98"/>
    </row>
    <row r="74" spans="1:42" x14ac:dyDescent="0.25">
      <c r="A74" s="89" t="s">
        <v>590</v>
      </c>
      <c r="B74" s="90"/>
      <c r="C74" s="90"/>
      <c r="D74" s="90"/>
      <c r="E74" s="90"/>
      <c r="F74" s="90"/>
      <c r="G74" s="90"/>
      <c r="H74" s="90"/>
      <c r="I74" s="90"/>
      <c r="J74" s="90"/>
      <c r="K74" s="90"/>
      <c r="L74" s="90">
        <v>0.15</v>
      </c>
      <c r="M74" s="90"/>
      <c r="N74" s="90"/>
      <c r="O74" s="91"/>
      <c r="P74" s="90"/>
      <c r="Q74" s="90"/>
      <c r="R74" s="90"/>
      <c r="S74" s="90"/>
      <c r="T74" s="90"/>
      <c r="U74" s="90"/>
      <c r="V74" s="90"/>
      <c r="W74" s="90"/>
      <c r="X74" s="90"/>
      <c r="Y74" s="90"/>
      <c r="Z74" s="90"/>
      <c r="AA74" s="90"/>
      <c r="AB74" s="90"/>
      <c r="AC74" s="90"/>
      <c r="AD74" s="90"/>
      <c r="AE74" s="90"/>
      <c r="AF74" s="90"/>
      <c r="AG74" s="90"/>
      <c r="AH74" s="90"/>
      <c r="AI74" s="90"/>
      <c r="AJ74" s="90"/>
      <c r="AK74" s="90"/>
      <c r="AL74" s="90"/>
      <c r="AM74" s="90"/>
      <c r="AN74" s="92"/>
      <c r="AO74" s="92"/>
      <c r="AP74" s="93"/>
    </row>
    <row r="75" spans="1:42" x14ac:dyDescent="0.25">
      <c r="A75" s="94" t="s">
        <v>591</v>
      </c>
      <c r="B75" s="95"/>
      <c r="C75" s="95"/>
      <c r="D75" s="95"/>
      <c r="E75" s="95"/>
      <c r="F75" s="95"/>
      <c r="G75" s="95"/>
      <c r="H75" s="95"/>
      <c r="I75" s="95"/>
      <c r="J75" s="95"/>
      <c r="K75" s="95"/>
      <c r="L75" s="95"/>
      <c r="M75" s="95">
        <v>0.15</v>
      </c>
      <c r="N75" s="95"/>
      <c r="O75" s="96"/>
      <c r="P75" s="95"/>
      <c r="Q75" s="95"/>
      <c r="R75" s="95"/>
      <c r="S75" s="95"/>
      <c r="T75" s="95"/>
      <c r="U75" s="95"/>
      <c r="V75" s="95"/>
      <c r="W75" s="95"/>
      <c r="X75" s="95"/>
      <c r="Y75" s="95"/>
      <c r="Z75" s="95"/>
      <c r="AA75" s="95"/>
      <c r="AB75" s="95"/>
      <c r="AC75" s="95"/>
      <c r="AD75" s="95"/>
      <c r="AE75" s="95"/>
      <c r="AF75" s="95"/>
      <c r="AG75" s="95"/>
      <c r="AH75" s="95"/>
      <c r="AI75" s="95"/>
      <c r="AJ75" s="95"/>
      <c r="AK75" s="95"/>
      <c r="AL75" s="95"/>
      <c r="AM75" s="95"/>
      <c r="AN75" s="97"/>
      <c r="AO75" s="97"/>
      <c r="AP75" s="98"/>
    </row>
    <row r="76" spans="1:42" x14ac:dyDescent="0.25">
      <c r="A76" s="89" t="s">
        <v>592</v>
      </c>
      <c r="B76" s="90"/>
      <c r="C76" s="90"/>
      <c r="D76" s="90"/>
      <c r="E76" s="90"/>
      <c r="F76" s="90"/>
      <c r="G76" s="90"/>
      <c r="H76" s="90">
        <v>0.25</v>
      </c>
      <c r="I76" s="90"/>
      <c r="J76" s="90"/>
      <c r="K76" s="90"/>
      <c r="L76" s="90"/>
      <c r="M76" s="90"/>
      <c r="N76" s="90"/>
      <c r="O76" s="91"/>
      <c r="P76" s="90"/>
      <c r="Q76" s="90"/>
      <c r="R76" s="90"/>
      <c r="S76" s="90"/>
      <c r="T76" s="90"/>
      <c r="U76" s="90"/>
      <c r="V76" s="90"/>
      <c r="W76" s="90"/>
      <c r="X76" s="90"/>
      <c r="Y76" s="90"/>
      <c r="Z76" s="90"/>
      <c r="AA76" s="90"/>
      <c r="AB76" s="90"/>
      <c r="AC76" s="90"/>
      <c r="AD76" s="90"/>
      <c r="AE76" s="90"/>
      <c r="AF76" s="90"/>
      <c r="AG76" s="90"/>
      <c r="AH76" s="90"/>
      <c r="AI76" s="90"/>
      <c r="AJ76" s="90"/>
      <c r="AK76" s="90"/>
      <c r="AL76" s="90"/>
      <c r="AM76" s="90"/>
      <c r="AN76" s="92"/>
      <c r="AO76" s="92"/>
      <c r="AP76" s="93"/>
    </row>
    <row r="77" spans="1:42" x14ac:dyDescent="0.25">
      <c r="A77" s="94" t="s">
        <v>593</v>
      </c>
      <c r="B77" s="95"/>
      <c r="C77" s="95"/>
      <c r="D77" s="95">
        <v>0.2</v>
      </c>
      <c r="E77" s="95"/>
      <c r="F77" s="95"/>
      <c r="G77" s="95"/>
      <c r="H77" s="95"/>
      <c r="I77" s="95"/>
      <c r="J77" s="95"/>
      <c r="K77" s="95"/>
      <c r="L77" s="95"/>
      <c r="M77" s="95"/>
      <c r="N77" s="95"/>
      <c r="O77" s="96"/>
      <c r="P77" s="95"/>
      <c r="Q77" s="95"/>
      <c r="R77" s="95"/>
      <c r="S77" s="95"/>
      <c r="T77" s="95"/>
      <c r="U77" s="95"/>
      <c r="V77" s="95"/>
      <c r="W77" s="95"/>
      <c r="X77" s="95"/>
      <c r="Y77" s="95"/>
      <c r="Z77" s="95"/>
      <c r="AA77" s="95"/>
      <c r="AB77" s="95"/>
      <c r="AC77" s="95"/>
      <c r="AD77" s="95"/>
      <c r="AE77" s="95"/>
      <c r="AF77" s="95"/>
      <c r="AG77" s="95"/>
      <c r="AH77" s="95"/>
      <c r="AI77" s="95"/>
      <c r="AJ77" s="95"/>
      <c r="AK77" s="95"/>
      <c r="AL77" s="95"/>
      <c r="AM77" s="95"/>
      <c r="AN77" s="97"/>
      <c r="AO77" s="97"/>
      <c r="AP77" s="98"/>
    </row>
    <row r="78" spans="1:42" x14ac:dyDescent="0.25">
      <c r="A78" s="89" t="s">
        <v>594</v>
      </c>
      <c r="B78" s="90">
        <v>0.18</v>
      </c>
      <c r="C78" s="90"/>
      <c r="D78" s="90"/>
      <c r="E78" s="90"/>
      <c r="F78" s="90"/>
      <c r="G78" s="90"/>
      <c r="H78" s="90"/>
      <c r="I78" s="90"/>
      <c r="J78" s="90"/>
      <c r="K78" s="90"/>
      <c r="L78" s="90"/>
      <c r="M78" s="90"/>
      <c r="N78" s="90"/>
      <c r="O78" s="91"/>
      <c r="P78" s="90"/>
      <c r="Q78" s="90"/>
      <c r="R78" s="90"/>
      <c r="S78" s="90"/>
      <c r="T78" s="90"/>
      <c r="U78" s="90"/>
      <c r="V78" s="90"/>
      <c r="W78" s="90"/>
      <c r="X78" s="90"/>
      <c r="Y78" s="90"/>
      <c r="Z78" s="90"/>
      <c r="AA78" s="90"/>
      <c r="AB78" s="90"/>
      <c r="AC78" s="90"/>
      <c r="AD78" s="90"/>
      <c r="AE78" s="90"/>
      <c r="AF78" s="90"/>
      <c r="AG78" s="90"/>
      <c r="AH78" s="90"/>
      <c r="AI78" s="90"/>
      <c r="AJ78" s="90"/>
      <c r="AK78" s="90"/>
      <c r="AL78" s="90"/>
      <c r="AM78" s="90"/>
      <c r="AN78" s="92"/>
      <c r="AO78" s="92"/>
      <c r="AP78" s="93"/>
    </row>
    <row r="79" spans="1:42" x14ac:dyDescent="0.25">
      <c r="A79" s="94" t="s">
        <v>595</v>
      </c>
      <c r="B79" s="95"/>
      <c r="C79" s="95"/>
      <c r="D79" s="95"/>
      <c r="E79" s="95"/>
      <c r="F79" s="95"/>
      <c r="G79" s="95">
        <v>0.2</v>
      </c>
      <c r="H79" s="95"/>
      <c r="I79" s="95"/>
      <c r="J79" s="95"/>
      <c r="K79" s="95"/>
      <c r="L79" s="95"/>
      <c r="M79" s="95"/>
      <c r="N79" s="95"/>
      <c r="O79" s="96"/>
      <c r="P79" s="95"/>
      <c r="Q79" s="95"/>
      <c r="R79" s="95"/>
      <c r="S79" s="95"/>
      <c r="T79" s="95"/>
      <c r="U79" s="95"/>
      <c r="V79" s="95"/>
      <c r="W79" s="95"/>
      <c r="X79" s="95"/>
      <c r="Y79" s="95"/>
      <c r="Z79" s="95"/>
      <c r="AA79" s="95"/>
      <c r="AB79" s="95"/>
      <c r="AC79" s="95"/>
      <c r="AD79" s="95"/>
      <c r="AE79" s="95"/>
      <c r="AF79" s="95"/>
      <c r="AG79" s="95"/>
      <c r="AH79" s="95"/>
      <c r="AI79" s="95"/>
      <c r="AJ79" s="95"/>
      <c r="AK79" s="95"/>
      <c r="AL79" s="95"/>
      <c r="AM79" s="95"/>
      <c r="AN79" s="97"/>
      <c r="AO79" s="97"/>
      <c r="AP79" s="98"/>
    </row>
    <row r="80" spans="1:42" x14ac:dyDescent="0.25">
      <c r="A80" s="89" t="s">
        <v>596</v>
      </c>
      <c r="B80" s="90"/>
      <c r="C80" s="90"/>
      <c r="D80" s="90"/>
      <c r="E80" s="90"/>
      <c r="F80" s="90"/>
      <c r="G80" s="90"/>
      <c r="H80" s="90"/>
      <c r="I80" s="90"/>
      <c r="J80" s="90"/>
      <c r="K80" s="90"/>
      <c r="L80" s="90"/>
      <c r="M80" s="90"/>
      <c r="N80" s="90"/>
      <c r="O80" s="91"/>
      <c r="P80" s="90"/>
      <c r="Q80" s="90">
        <v>0.15</v>
      </c>
      <c r="R80" s="90"/>
      <c r="S80" s="90"/>
      <c r="T80" s="90"/>
      <c r="U80" s="90"/>
      <c r="V80" s="90"/>
      <c r="W80" s="90"/>
      <c r="X80" s="90"/>
      <c r="Y80" s="90"/>
      <c r="Z80" s="90"/>
      <c r="AA80" s="90"/>
      <c r="AB80" s="90"/>
      <c r="AC80" s="90"/>
      <c r="AD80" s="90"/>
      <c r="AE80" s="90"/>
      <c r="AF80" s="90"/>
      <c r="AG80" s="90"/>
      <c r="AH80" s="90"/>
      <c r="AI80" s="90"/>
      <c r="AJ80" s="90"/>
      <c r="AK80" s="90"/>
      <c r="AL80" s="90"/>
      <c r="AM80" s="90"/>
      <c r="AN80" s="92"/>
      <c r="AO80" s="92"/>
      <c r="AP80" s="93"/>
    </row>
    <row r="81" spans="1:42" x14ac:dyDescent="0.25">
      <c r="A81" s="94" t="s">
        <v>597</v>
      </c>
      <c r="B81" s="95"/>
      <c r="C81" s="95">
        <v>0.3</v>
      </c>
      <c r="D81" s="95"/>
      <c r="E81" s="95"/>
      <c r="F81" s="95"/>
      <c r="G81" s="95"/>
      <c r="H81" s="95"/>
      <c r="I81" s="95"/>
      <c r="J81" s="95"/>
      <c r="K81" s="95"/>
      <c r="L81" s="95"/>
      <c r="M81" s="95"/>
      <c r="N81" s="95"/>
      <c r="O81" s="96"/>
      <c r="P81" s="95"/>
      <c r="Q81" s="95"/>
      <c r="R81" s="95"/>
      <c r="S81" s="95"/>
      <c r="T81" s="95"/>
      <c r="U81" s="95"/>
      <c r="V81" s="95"/>
      <c r="W81" s="95"/>
      <c r="X81" s="95"/>
      <c r="Y81" s="95"/>
      <c r="Z81" s="95"/>
      <c r="AA81" s="95"/>
      <c r="AB81" s="95"/>
      <c r="AC81" s="95"/>
      <c r="AD81" s="95"/>
      <c r="AE81" s="95"/>
      <c r="AF81" s="95"/>
      <c r="AG81" s="95"/>
      <c r="AH81" s="95"/>
      <c r="AI81" s="95"/>
      <c r="AJ81" s="95"/>
      <c r="AK81" s="95"/>
      <c r="AL81" s="95"/>
      <c r="AM81" s="95"/>
      <c r="AN81" s="97"/>
      <c r="AO81" s="97"/>
      <c r="AP81" s="98"/>
    </row>
    <row r="82" spans="1:42" x14ac:dyDescent="0.25">
      <c r="A82" s="89" t="s">
        <v>598</v>
      </c>
      <c r="B82" s="90"/>
      <c r="C82" s="90"/>
      <c r="D82" s="90"/>
      <c r="E82" s="90"/>
      <c r="F82" s="90"/>
      <c r="G82" s="90"/>
      <c r="H82" s="90"/>
      <c r="I82" s="90"/>
      <c r="J82" s="90"/>
      <c r="K82" s="90">
        <f>IF(char2ArtiToggle, 35%, 0%)</f>
        <v>0.35</v>
      </c>
      <c r="L82" s="90">
        <f>IF(char2ArtiToggle, 35%, 0%)</f>
        <v>0.35</v>
      </c>
      <c r="M82" s="90">
        <f>IF(char2ArtiToggle, 35%, 0%)</f>
        <v>0.35</v>
      </c>
      <c r="N82" s="90">
        <f>IF(char2ArtiToggle, 35%, 0%)</f>
        <v>0.35</v>
      </c>
      <c r="O82" s="91"/>
      <c r="P82" s="90"/>
      <c r="Q82" s="90"/>
      <c r="R82" s="90"/>
      <c r="S82" s="90"/>
      <c r="T82" s="90"/>
      <c r="U82" s="90"/>
      <c r="V82" s="90"/>
      <c r="W82" s="90"/>
      <c r="X82" s="90"/>
      <c r="Y82" s="90"/>
      <c r="Z82" s="90"/>
      <c r="AA82" s="90"/>
      <c r="AB82" s="90"/>
      <c r="AC82" s="90"/>
      <c r="AD82" s="90"/>
      <c r="AE82" s="90"/>
      <c r="AF82" s="90"/>
      <c r="AG82" s="90"/>
      <c r="AH82" s="90"/>
      <c r="AI82" s="90"/>
      <c r="AJ82" s="90"/>
      <c r="AK82" s="90"/>
      <c r="AL82" s="90"/>
      <c r="AM82" s="90"/>
      <c r="AN82" s="92"/>
      <c r="AO82" s="92"/>
      <c r="AP82" s="93"/>
    </row>
    <row r="83" spans="1:42" x14ac:dyDescent="0.25">
      <c r="A83" s="94" t="s">
        <v>599</v>
      </c>
      <c r="B83" s="95"/>
      <c r="C83" s="95"/>
      <c r="D83" s="95"/>
      <c r="E83" s="95">
        <f>IF(char2ArtiToggle, 24%, 0%)</f>
        <v>0.24</v>
      </c>
      <c r="F83" s="95"/>
      <c r="G83" s="95"/>
      <c r="H83" s="95"/>
      <c r="I83" s="95"/>
      <c r="J83" s="95"/>
      <c r="K83" s="95"/>
      <c r="L83" s="95"/>
      <c r="M83" s="95"/>
      <c r="N83" s="95"/>
      <c r="O83" s="96"/>
      <c r="P83" s="95"/>
      <c r="Q83" s="95"/>
      <c r="R83" s="95"/>
      <c r="S83" s="95"/>
      <c r="T83" s="95"/>
      <c r="U83" s="95"/>
      <c r="V83" s="95"/>
      <c r="W83" s="95"/>
      <c r="X83" s="95"/>
      <c r="Y83" s="95"/>
      <c r="Z83" s="95"/>
      <c r="AA83" s="95"/>
      <c r="AB83" s="95"/>
      <c r="AC83" s="95"/>
      <c r="AD83" s="95"/>
      <c r="AE83" s="95"/>
      <c r="AF83" s="95"/>
      <c r="AG83" s="95"/>
      <c r="AH83" s="95"/>
      <c r="AI83" s="95"/>
      <c r="AJ83" s="95"/>
      <c r="AK83" s="95"/>
      <c r="AL83" s="95"/>
      <c r="AM83" s="95"/>
      <c r="AN83" s="97"/>
      <c r="AO83" s="97"/>
      <c r="AP83" s="98"/>
    </row>
    <row r="84" spans="1:42" x14ac:dyDescent="0.25">
      <c r="A84" s="89" t="s">
        <v>600</v>
      </c>
      <c r="B84" s="90"/>
      <c r="C84" s="90"/>
      <c r="D84" s="90"/>
      <c r="E84" s="90"/>
      <c r="F84" s="90"/>
      <c r="G84" s="90"/>
      <c r="H84" s="90"/>
      <c r="I84" s="90"/>
      <c r="J84" s="90"/>
      <c r="K84" s="90"/>
      <c r="L84" s="90"/>
      <c r="M84" s="90"/>
      <c r="N84" s="90"/>
      <c r="O84" s="91"/>
      <c r="P84" s="90"/>
      <c r="Q84" s="90"/>
      <c r="R84" s="90"/>
      <c r="S84" s="90">
        <f>IF(char2ArtiToggle, 50%, 0%)</f>
        <v>0.5</v>
      </c>
      <c r="T84" s="90"/>
      <c r="U84" s="90"/>
      <c r="V84" s="90"/>
      <c r="W84" s="90"/>
      <c r="X84" s="90"/>
      <c r="Y84" s="90"/>
      <c r="Z84" s="90"/>
      <c r="AA84" s="90"/>
      <c r="AB84" s="90"/>
      <c r="AC84" s="90"/>
      <c r="AD84" s="90"/>
      <c r="AE84" s="90"/>
      <c r="AF84" s="90"/>
      <c r="AG84" s="90"/>
      <c r="AH84" s="90"/>
      <c r="AI84" s="90"/>
      <c r="AJ84" s="90"/>
      <c r="AK84" s="90"/>
      <c r="AL84" s="90"/>
      <c r="AM84" s="90"/>
      <c r="AN84" s="92"/>
      <c r="AO84" s="92"/>
      <c r="AP84" s="93"/>
    </row>
    <row r="85" spans="1:42" x14ac:dyDescent="0.25">
      <c r="A85" s="94" t="s">
        <v>601</v>
      </c>
      <c r="B85" s="95"/>
      <c r="C85" s="95"/>
      <c r="D85" s="95"/>
      <c r="E85" s="95"/>
      <c r="F85" s="95"/>
      <c r="G85" s="95"/>
      <c r="H85" s="95"/>
      <c r="I85" s="95"/>
      <c r="J85" s="95"/>
      <c r="K85" s="95"/>
      <c r="L85" s="95"/>
      <c r="M85" s="95"/>
      <c r="N85" s="95"/>
      <c r="O85" s="96"/>
      <c r="P85" s="95"/>
      <c r="Q85" s="95"/>
      <c r="R85" s="95"/>
      <c r="S85" s="95"/>
      <c r="T85" s="95"/>
      <c r="U85" s="95"/>
      <c r="V85" s="95"/>
      <c r="W85" s="95">
        <f>IF(char2ArtiToggle, 30%, 0%)</f>
        <v>0.3</v>
      </c>
      <c r="X85" s="95"/>
      <c r="Y85" s="95"/>
      <c r="Z85" s="95"/>
      <c r="AA85" s="95"/>
      <c r="AB85" s="95"/>
      <c r="AC85" s="95"/>
      <c r="AD85" s="95"/>
      <c r="AE85" s="95"/>
      <c r="AF85" s="95"/>
      <c r="AG85" s="95"/>
      <c r="AH85" s="95"/>
      <c r="AI85" s="95"/>
      <c r="AJ85" s="95"/>
      <c r="AK85" s="95"/>
      <c r="AL85" s="95"/>
      <c r="AM85" s="95"/>
      <c r="AN85" s="97"/>
      <c r="AO85" s="97"/>
      <c r="AP85" s="98"/>
    </row>
    <row r="86" spans="1:42" x14ac:dyDescent="0.25">
      <c r="A86" s="89" t="s">
        <v>602</v>
      </c>
      <c r="B86" s="90"/>
      <c r="C86" s="90"/>
      <c r="D86" s="90"/>
      <c r="E86" s="90"/>
      <c r="F86" s="90"/>
      <c r="G86" s="90"/>
      <c r="H86" s="90"/>
      <c r="I86" s="90"/>
      <c r="J86" s="90"/>
      <c r="K86" s="90">
        <f>char2ArtiStacks*(7.5%)</f>
        <v>7.4999999999999997E-2</v>
      </c>
      <c r="L86" s="90"/>
      <c r="M86" s="90"/>
      <c r="N86" s="90"/>
      <c r="O86" s="91"/>
      <c r="P86" s="90"/>
      <c r="Q86" s="90"/>
      <c r="R86" s="90"/>
      <c r="S86" s="90"/>
      <c r="T86" s="90"/>
      <c r="U86" s="90"/>
      <c r="V86" s="90"/>
      <c r="W86" s="90"/>
      <c r="X86" s="90"/>
      <c r="Y86" s="90"/>
      <c r="Z86" s="90">
        <v>0.4</v>
      </c>
      <c r="AA86" s="90"/>
      <c r="AB86" s="90"/>
      <c r="AC86" s="90"/>
      <c r="AD86" s="90">
        <v>0.15</v>
      </c>
      <c r="AE86" s="90">
        <v>0.15</v>
      </c>
      <c r="AF86" s="90"/>
      <c r="AG86" s="90"/>
      <c r="AH86" s="90"/>
      <c r="AI86" s="90"/>
      <c r="AJ86" s="90"/>
      <c r="AK86" s="90"/>
      <c r="AL86" s="90"/>
      <c r="AM86" s="90"/>
      <c r="AN86" s="92"/>
      <c r="AO86" s="92"/>
      <c r="AP86" s="93"/>
    </row>
    <row r="87" spans="1:42" x14ac:dyDescent="0.25">
      <c r="A87" s="94" t="s">
        <v>603</v>
      </c>
      <c r="B87" s="95"/>
      <c r="C87" s="95"/>
      <c r="D87" s="95"/>
      <c r="E87" s="95"/>
      <c r="F87" s="95"/>
      <c r="G87" s="95"/>
      <c r="H87" s="95"/>
      <c r="I87" s="95"/>
      <c r="J87" s="95"/>
      <c r="K87" s="95"/>
      <c r="L87" s="95"/>
      <c r="M87" s="95"/>
      <c r="N87" s="95"/>
      <c r="O87" s="96"/>
      <c r="P87" s="95"/>
      <c r="Q87" s="95"/>
      <c r="R87" s="95"/>
      <c r="S87" s="95"/>
      <c r="T87" s="95"/>
      <c r="U87" s="95"/>
      <c r="V87" s="95"/>
      <c r="W87" s="95"/>
      <c r="X87" s="95"/>
      <c r="Y87" s="95"/>
      <c r="Z87" s="95"/>
      <c r="AA87" s="95"/>
      <c r="AB87" s="95"/>
      <c r="AC87" s="95"/>
      <c r="AD87" s="95"/>
      <c r="AE87" s="95"/>
      <c r="AF87" s="95"/>
      <c r="AG87" s="95">
        <v>0.3</v>
      </c>
      <c r="AH87" s="95">
        <v>0.3</v>
      </c>
      <c r="AI87" s="95">
        <v>0.3</v>
      </c>
      <c r="AJ87" s="95">
        <v>0.3</v>
      </c>
      <c r="AK87" s="95">
        <v>0.3</v>
      </c>
      <c r="AL87" s="95">
        <v>0.3</v>
      </c>
      <c r="AM87" s="95"/>
      <c r="AN87" s="97"/>
      <c r="AO87" s="97"/>
      <c r="AP87" s="98"/>
    </row>
    <row r="88" spans="1:42" x14ac:dyDescent="0.25">
      <c r="A88" s="89" t="s">
        <v>604</v>
      </c>
      <c r="B88" s="90"/>
      <c r="C88" s="90"/>
      <c r="D88" s="90"/>
      <c r="E88" s="90"/>
      <c r="F88" s="90"/>
      <c r="G88" s="90"/>
      <c r="H88" s="90"/>
      <c r="I88" s="90"/>
      <c r="J88" s="90"/>
      <c r="K88" s="90"/>
      <c r="L88" s="90"/>
      <c r="M88" s="90"/>
      <c r="N88" s="90"/>
      <c r="O88" s="91"/>
      <c r="P88" s="90"/>
      <c r="Q88" s="90"/>
      <c r="R88" s="90"/>
      <c r="S88" s="90"/>
      <c r="T88" s="90"/>
      <c r="U88" s="90"/>
      <c r="V88" s="90"/>
      <c r="W88" s="90"/>
      <c r="X88" s="90"/>
      <c r="Y88" s="90"/>
      <c r="Z88" s="90"/>
      <c r="AA88" s="90"/>
      <c r="AB88" s="90"/>
      <c r="AC88" s="90"/>
      <c r="AD88" s="90"/>
      <c r="AE88" s="90"/>
      <c r="AF88" s="90"/>
      <c r="AG88" s="90"/>
      <c r="AH88" s="90"/>
      <c r="AI88" s="90"/>
      <c r="AJ88" s="90"/>
      <c r="AK88" s="90"/>
      <c r="AL88" s="90"/>
      <c r="AM88" s="90"/>
      <c r="AN88" s="92"/>
      <c r="AO88" s="92"/>
      <c r="AP88" s="93"/>
    </row>
    <row r="89" spans="1:42" x14ac:dyDescent="0.25">
      <c r="A89" s="94" t="s">
        <v>605</v>
      </c>
      <c r="B89" s="95"/>
      <c r="C89" s="95"/>
      <c r="D89" s="95"/>
      <c r="E89" s="95"/>
      <c r="F89" s="95"/>
      <c r="G89" s="95"/>
      <c r="H89" s="95"/>
      <c r="I89" s="95"/>
      <c r="J89" s="95"/>
      <c r="K89" s="95"/>
      <c r="L89" s="95"/>
      <c r="M89" s="95"/>
      <c r="N89" s="95"/>
      <c r="O89" s="96"/>
      <c r="P89" s="95"/>
      <c r="Q89" s="95"/>
      <c r="R89" s="95">
        <v>0.35</v>
      </c>
      <c r="S89" s="95"/>
      <c r="T89" s="95"/>
      <c r="U89" s="95"/>
      <c r="V89" s="95"/>
      <c r="W89" s="95"/>
      <c r="X89" s="95"/>
      <c r="Y89" s="95"/>
      <c r="Z89" s="95"/>
      <c r="AA89" s="95"/>
      <c r="AB89" s="95"/>
      <c r="AC89" s="95"/>
      <c r="AD89" s="95"/>
      <c r="AE89" s="95"/>
      <c r="AF89" s="95"/>
      <c r="AG89" s="95"/>
      <c r="AH89" s="95"/>
      <c r="AI89" s="95"/>
      <c r="AJ89" s="95"/>
      <c r="AK89" s="95"/>
      <c r="AL89" s="95"/>
      <c r="AM89" s="95"/>
      <c r="AN89" s="97"/>
      <c r="AO89" s="97"/>
      <c r="AP89" s="98"/>
    </row>
    <row r="90" spans="1:42" x14ac:dyDescent="0.25">
      <c r="A90" s="89" t="s">
        <v>606</v>
      </c>
      <c r="B90" s="90"/>
      <c r="C90" s="90"/>
      <c r="D90" s="90"/>
      <c r="E90" s="90"/>
      <c r="F90" s="90"/>
      <c r="G90" s="90"/>
      <c r="H90" s="90"/>
      <c r="I90" s="90"/>
      <c r="J90" s="90"/>
      <c r="K90" s="90"/>
      <c r="L90" s="90"/>
      <c r="M90" s="90"/>
      <c r="N90" s="90"/>
      <c r="O90" s="91">
        <f>IF(char2ArtiToggle, 120, 0)</f>
        <v>120</v>
      </c>
      <c r="P90" s="90"/>
      <c r="Q90" s="90"/>
      <c r="R90" s="90"/>
      <c r="S90" s="90"/>
      <c r="T90" s="90"/>
      <c r="U90" s="90"/>
      <c r="V90" s="90"/>
      <c r="W90" s="90"/>
      <c r="X90" s="90"/>
      <c r="Y90" s="90"/>
      <c r="Z90" s="90"/>
      <c r="AA90" s="90"/>
      <c r="AB90" s="90"/>
      <c r="AC90" s="90"/>
      <c r="AD90" s="90"/>
      <c r="AE90" s="90"/>
      <c r="AF90" s="90"/>
      <c r="AG90" s="90"/>
      <c r="AH90" s="90"/>
      <c r="AI90" s="90"/>
      <c r="AJ90" s="90"/>
      <c r="AK90" s="90"/>
      <c r="AL90" s="90"/>
      <c r="AM90" s="90"/>
      <c r="AN90" s="92"/>
      <c r="AO90" s="92"/>
      <c r="AP90" s="93"/>
    </row>
    <row r="91" spans="1:42" x14ac:dyDescent="0.25">
      <c r="A91" s="94" t="s">
        <v>607</v>
      </c>
      <c r="B91" s="95"/>
      <c r="C91" s="95"/>
      <c r="D91" s="95"/>
      <c r="E91" s="95"/>
      <c r="F91" s="95"/>
      <c r="G91" s="95"/>
      <c r="H91" s="95">
        <f t="shared" ref="H91:N91" si="1">IF(char2ArtiToggle, 35%, 0)</f>
        <v>0.35</v>
      </c>
      <c r="I91" s="95">
        <f t="shared" si="1"/>
        <v>0.35</v>
      </c>
      <c r="J91" s="95">
        <f t="shared" si="1"/>
        <v>0.35</v>
      </c>
      <c r="K91" s="95">
        <f t="shared" si="1"/>
        <v>0.35</v>
      </c>
      <c r="L91" s="95">
        <f t="shared" si="1"/>
        <v>0.35</v>
      </c>
      <c r="M91" s="95">
        <f t="shared" si="1"/>
        <v>0.35</v>
      </c>
      <c r="N91" s="95">
        <f t="shared" si="1"/>
        <v>0.35</v>
      </c>
      <c r="O91" s="96"/>
      <c r="P91" s="95"/>
      <c r="Q91" s="95"/>
      <c r="R91" s="95"/>
      <c r="S91" s="95"/>
      <c r="T91" s="95"/>
      <c r="U91" s="95"/>
      <c r="V91" s="95"/>
      <c r="W91" s="95"/>
      <c r="X91" s="95"/>
      <c r="Y91" s="95"/>
      <c r="Z91" s="95"/>
      <c r="AA91" s="95"/>
      <c r="AB91" s="95"/>
      <c r="AC91" s="95"/>
      <c r="AD91" s="95"/>
      <c r="AE91" s="95"/>
      <c r="AF91" s="95"/>
      <c r="AG91" s="95"/>
      <c r="AH91" s="95"/>
      <c r="AI91" s="95"/>
      <c r="AJ91" s="95"/>
      <c r="AK91" s="95"/>
      <c r="AL91" s="95"/>
      <c r="AM91" s="95"/>
      <c r="AN91" s="97"/>
      <c r="AO91" s="97"/>
      <c r="AP91" s="98"/>
    </row>
    <row r="92" spans="1:42" x14ac:dyDescent="0.25">
      <c r="A92" s="89" t="s">
        <v>608</v>
      </c>
      <c r="B92" s="90"/>
      <c r="C92" s="90"/>
      <c r="D92" s="90"/>
      <c r="E92" s="90"/>
      <c r="F92" s="90"/>
      <c r="G92" s="90"/>
      <c r="H92" s="90"/>
      <c r="I92" s="90"/>
      <c r="J92" s="90"/>
      <c r="K92" s="90"/>
      <c r="L92" s="90"/>
      <c r="M92" s="90"/>
      <c r="N92" s="90"/>
      <c r="O92" s="91"/>
      <c r="P92" s="90">
        <v>0.2</v>
      </c>
      <c r="Q92" s="90"/>
      <c r="R92" s="90"/>
      <c r="S92" s="90"/>
      <c r="T92" s="90"/>
      <c r="U92" s="90"/>
      <c r="V92" s="90"/>
      <c r="W92" s="90"/>
      <c r="X92" s="90"/>
      <c r="Y92" s="90"/>
      <c r="Z92" s="90"/>
      <c r="AA92" s="90"/>
      <c r="AB92" s="90"/>
      <c r="AC92" s="90"/>
      <c r="AD92" s="90"/>
      <c r="AE92" s="90"/>
      <c r="AF92" s="90"/>
      <c r="AG92" s="90"/>
      <c r="AH92" s="90"/>
      <c r="AI92" s="90"/>
      <c r="AJ92" s="90"/>
      <c r="AK92" s="90"/>
      <c r="AL92" s="90"/>
      <c r="AM92" s="90"/>
      <c r="AN92" s="92"/>
      <c r="AO92" s="92"/>
      <c r="AP92" s="93"/>
    </row>
    <row r="93" spans="1:42" x14ac:dyDescent="0.25">
      <c r="A93" s="94" t="s">
        <v>609</v>
      </c>
      <c r="B93" s="95"/>
      <c r="C93" s="95"/>
      <c r="D93" s="95"/>
      <c r="E93" s="95"/>
      <c r="F93" s="95"/>
      <c r="G93" s="95"/>
      <c r="H93" s="95"/>
      <c r="I93" s="95"/>
      <c r="J93" s="95"/>
      <c r="K93" s="95"/>
      <c r="L93" s="95"/>
      <c r="M93" s="95"/>
      <c r="N93" s="95"/>
      <c r="O93" s="96"/>
      <c r="P93" s="95"/>
      <c r="Q93" s="95"/>
      <c r="R93" s="95">
        <f>IF(char2ArtiToggle, 25%, 0)</f>
        <v>0.25</v>
      </c>
      <c r="S93" s="95">
        <f>IF(char2ArtiToggle, 25%, 0)</f>
        <v>0.25</v>
      </c>
      <c r="T93" s="95"/>
      <c r="U93" s="95"/>
      <c r="V93" s="95"/>
      <c r="W93" s="95"/>
      <c r="X93" s="95"/>
      <c r="Y93" s="95"/>
      <c r="Z93" s="95"/>
      <c r="AA93" s="95"/>
      <c r="AB93" s="95"/>
      <c r="AC93" s="95"/>
      <c r="AD93" s="95"/>
      <c r="AE93" s="95"/>
      <c r="AF93" s="95"/>
      <c r="AG93" s="95"/>
      <c r="AH93" s="95"/>
      <c r="AI93" s="95"/>
      <c r="AJ93" s="95"/>
      <c r="AK93" s="95"/>
      <c r="AL93" s="95"/>
      <c r="AM93" s="95"/>
      <c r="AN93" s="97"/>
      <c r="AO93" s="97"/>
      <c r="AP93" s="98"/>
    </row>
    <row r="94" spans="1:42" x14ac:dyDescent="0.25">
      <c r="A94" s="89" t="s">
        <v>610</v>
      </c>
      <c r="B94" s="90">
        <f>IF(char2ArtiToggle, 20%, 0)</f>
        <v>0.2</v>
      </c>
      <c r="C94" s="90"/>
      <c r="D94" s="90"/>
      <c r="E94" s="90"/>
      <c r="F94" s="90"/>
      <c r="G94" s="90"/>
      <c r="H94" s="90"/>
      <c r="I94" s="90"/>
      <c r="J94" s="90"/>
      <c r="K94" s="90"/>
      <c r="L94" s="90"/>
      <c r="M94" s="90"/>
      <c r="N94" s="90"/>
      <c r="O94" s="91"/>
      <c r="P94" s="90"/>
      <c r="Q94" s="90"/>
      <c r="R94" s="90"/>
      <c r="S94" s="90"/>
      <c r="T94" s="90"/>
      <c r="U94" s="90"/>
      <c r="V94" s="90"/>
      <c r="W94" s="90"/>
      <c r="X94" s="90"/>
      <c r="Y94" s="90"/>
      <c r="Z94" s="90"/>
      <c r="AA94" s="90"/>
      <c r="AB94" s="90"/>
      <c r="AC94" s="90"/>
      <c r="AD94" s="90"/>
      <c r="AE94" s="90"/>
      <c r="AF94" s="90"/>
      <c r="AG94" s="90"/>
      <c r="AH94" s="90"/>
      <c r="AI94" s="90"/>
      <c r="AJ94" s="90"/>
      <c r="AK94" s="90"/>
      <c r="AL94" s="90"/>
      <c r="AM94" s="90"/>
      <c r="AN94" s="92"/>
      <c r="AO94" s="92"/>
      <c r="AP94" s="93"/>
    </row>
    <row r="95" spans="1:42" x14ac:dyDescent="0.25">
      <c r="A95" s="94" t="s">
        <v>611</v>
      </c>
      <c r="B95" s="95"/>
      <c r="C95" s="95"/>
      <c r="D95" s="95"/>
      <c r="E95" s="95"/>
      <c r="F95" s="95"/>
      <c r="G95" s="95"/>
      <c r="H95" s="95"/>
      <c r="I95" s="95"/>
      <c r="J95" s="95"/>
      <c r="K95" s="95"/>
      <c r="L95" s="95"/>
      <c r="M95" s="95"/>
      <c r="N95" s="95"/>
      <c r="O95" s="96"/>
      <c r="P95" s="95"/>
      <c r="Q95" s="95"/>
      <c r="R95" s="95">
        <f>IF(char2ArtiToggle, 40%, 0)</f>
        <v>0.4</v>
      </c>
      <c r="S95" s="95">
        <f>IF(char2ArtiToggle, 40%, 0)</f>
        <v>0.4</v>
      </c>
      <c r="T95" s="95"/>
      <c r="U95" s="95"/>
      <c r="V95" s="95"/>
      <c r="W95" s="95"/>
      <c r="X95" s="95"/>
      <c r="Y95" s="95"/>
      <c r="Z95" s="95"/>
      <c r="AA95" s="95"/>
      <c r="AB95" s="95"/>
      <c r="AC95" s="95"/>
      <c r="AD95" s="95"/>
      <c r="AE95" s="95"/>
      <c r="AF95" s="95"/>
      <c r="AG95" s="95"/>
      <c r="AH95" s="95"/>
      <c r="AI95" s="95"/>
      <c r="AJ95" s="95"/>
      <c r="AK95" s="95"/>
      <c r="AL95" s="95"/>
      <c r="AM95" s="95"/>
      <c r="AN95" s="97"/>
      <c r="AO95" s="97"/>
      <c r="AP95" s="98"/>
    </row>
    <row r="96" spans="1:42" x14ac:dyDescent="0.25">
      <c r="A96" s="89" t="s">
        <v>612</v>
      </c>
      <c r="B96" s="90" t="s">
        <v>428</v>
      </c>
      <c r="C96" s="90"/>
      <c r="D96" s="90"/>
      <c r="E96" s="90"/>
      <c r="F96" s="90"/>
      <c r="G96" s="90"/>
      <c r="H96" s="90"/>
      <c r="I96" s="90"/>
      <c r="J96" s="90"/>
      <c r="K96" s="90"/>
      <c r="L96" s="90"/>
      <c r="M96" s="90"/>
      <c r="N96" s="90"/>
      <c r="O96" s="91"/>
      <c r="P96" s="90"/>
      <c r="Q96" s="90"/>
      <c r="R96" s="90"/>
      <c r="S96" s="90"/>
      <c r="T96" s="90"/>
      <c r="U96" s="90"/>
      <c r="V96" s="90"/>
      <c r="W96" s="90"/>
      <c r="X96" s="90"/>
      <c r="Y96" s="90"/>
      <c r="Z96" s="90">
        <v>0.4</v>
      </c>
      <c r="AA96" s="90"/>
      <c r="AB96" s="90">
        <v>0.4</v>
      </c>
      <c r="AC96" s="90">
        <v>0.4</v>
      </c>
      <c r="AD96" s="90"/>
      <c r="AE96" s="90"/>
      <c r="AF96" s="90"/>
      <c r="AG96" s="90"/>
      <c r="AH96" s="90"/>
      <c r="AI96" s="90"/>
      <c r="AJ96" s="90"/>
      <c r="AK96" s="90"/>
      <c r="AL96" s="90"/>
      <c r="AM96" s="90"/>
      <c r="AN96" s="92"/>
      <c r="AO96" s="92"/>
      <c r="AP96" s="93"/>
    </row>
    <row r="97" spans="1:42" x14ac:dyDescent="0.25">
      <c r="A97" s="94" t="s">
        <v>613</v>
      </c>
      <c r="B97" s="95"/>
      <c r="C97" s="95"/>
      <c r="D97" s="95"/>
      <c r="E97" s="95"/>
      <c r="F97" s="95"/>
      <c r="G97" s="95"/>
      <c r="H97" s="95"/>
      <c r="I97" s="95"/>
      <c r="J97" s="95"/>
      <c r="K97" s="95"/>
      <c r="L97" s="95"/>
      <c r="M97" s="95"/>
      <c r="N97" s="95"/>
      <c r="O97" s="96"/>
      <c r="P97" s="95"/>
      <c r="Q97" s="95"/>
      <c r="R97" s="95"/>
      <c r="S97" s="95"/>
      <c r="T97" s="95"/>
      <c r="U97" s="95"/>
      <c r="V97" s="95"/>
      <c r="W97" s="95">
        <f>IF(char2ArtiToggle, 35%, 0)</f>
        <v>0.35</v>
      </c>
      <c r="X97" s="95"/>
      <c r="Y97" s="95"/>
      <c r="Z97" s="95"/>
      <c r="AA97" s="95"/>
      <c r="AB97" s="95"/>
      <c r="AC97" s="95"/>
      <c r="AD97" s="95"/>
      <c r="AE97" s="95"/>
      <c r="AF97" s="95"/>
      <c r="AG97" s="95"/>
      <c r="AH97" s="95"/>
      <c r="AI97" s="95"/>
      <c r="AJ97" s="95"/>
      <c r="AK97" s="95"/>
      <c r="AL97" s="95"/>
      <c r="AM97" s="95"/>
      <c r="AN97" s="97"/>
      <c r="AO97" s="97"/>
      <c r="AP97" s="98"/>
    </row>
    <row r="98" spans="1:42" x14ac:dyDescent="0.25">
      <c r="A98" s="89" t="s">
        <v>614</v>
      </c>
      <c r="B98" s="90"/>
      <c r="C98" s="90"/>
      <c r="D98" s="90"/>
      <c r="E98" s="90"/>
      <c r="F98" s="90"/>
      <c r="G98" s="90"/>
      <c r="H98" s="90"/>
      <c r="I98" s="90"/>
      <c r="J98" s="90"/>
      <c r="K98" s="90"/>
      <c r="L98" s="90"/>
      <c r="M98" s="90"/>
      <c r="N98" s="90"/>
      <c r="O98" s="91"/>
      <c r="P98" s="90"/>
      <c r="Q98" s="90"/>
      <c r="R98" s="90"/>
      <c r="S98" s="90"/>
      <c r="T98" s="90"/>
      <c r="U98" s="90"/>
      <c r="V98" s="90"/>
      <c r="W98" s="90"/>
      <c r="X98" s="90"/>
      <c r="Y98" s="90">
        <v>0.6</v>
      </c>
      <c r="Z98" s="90"/>
      <c r="AA98" s="90"/>
      <c r="AB98" s="90"/>
      <c r="AC98" s="90"/>
      <c r="AD98" s="90"/>
      <c r="AE98" s="90"/>
      <c r="AF98" s="90"/>
      <c r="AG98" s="90"/>
      <c r="AH98" s="90"/>
      <c r="AI98" s="90"/>
      <c r="AJ98" s="90"/>
      <c r="AK98" s="90"/>
      <c r="AL98" s="90"/>
      <c r="AM98" s="90"/>
      <c r="AN98" s="92"/>
      <c r="AO98" s="92"/>
      <c r="AP98" s="93"/>
    </row>
    <row r="99" spans="1:42" x14ac:dyDescent="0.25">
      <c r="A99" s="94" t="s">
        <v>615</v>
      </c>
      <c r="B99" s="95"/>
      <c r="C99" s="95"/>
      <c r="D99" s="95"/>
      <c r="E99" s="95"/>
      <c r="F99" s="95"/>
      <c r="G99" s="95"/>
      <c r="H99" s="95"/>
      <c r="I99" s="95"/>
      <c r="J99" s="95"/>
      <c r="K99" s="95"/>
      <c r="L99" s="95"/>
      <c r="M99" s="95"/>
      <c r="N99" s="95"/>
      <c r="O99" s="96"/>
      <c r="P99" s="95"/>
      <c r="Q99" s="95"/>
      <c r="R99" s="95"/>
      <c r="S99" s="95">
        <f>IF(char2ArtiToggle, 35%, 0)</f>
        <v>0.35</v>
      </c>
      <c r="T99" s="95"/>
      <c r="U99" s="95"/>
      <c r="V99" s="95"/>
      <c r="W99" s="95"/>
      <c r="X99" s="95"/>
      <c r="Y99" s="95"/>
      <c r="Z99" s="95"/>
      <c r="AA99" s="95"/>
      <c r="AB99" s="95"/>
      <c r="AC99" s="95"/>
      <c r="AD99" s="95"/>
      <c r="AE99" s="95"/>
      <c r="AF99" s="95"/>
      <c r="AG99" s="95"/>
      <c r="AH99" s="95"/>
      <c r="AI99" s="95"/>
      <c r="AJ99" s="95"/>
      <c r="AK99" s="95"/>
      <c r="AL99" s="95"/>
      <c r="AM99" s="95"/>
      <c r="AN99" s="97"/>
      <c r="AO99" s="97"/>
      <c r="AP99" s="98"/>
    </row>
    <row r="100" spans="1:42" x14ac:dyDescent="0.25">
      <c r="A100" s="89" t="s">
        <v>616</v>
      </c>
      <c r="B100" s="90"/>
      <c r="C100" s="90"/>
      <c r="D100" s="90"/>
      <c r="E100" s="90">
        <f>char2ArtiStacks*(20%)</f>
        <v>0.2</v>
      </c>
      <c r="F100" s="90"/>
      <c r="G100" s="90"/>
      <c r="H100" s="90"/>
      <c r="I100" s="90"/>
      <c r="J100" s="90"/>
      <c r="K100" s="90"/>
      <c r="L100" s="90"/>
      <c r="M100" s="90"/>
      <c r="N100" s="90"/>
      <c r="O100" s="91"/>
      <c r="P100" s="90"/>
      <c r="Q100" s="90"/>
      <c r="R100" s="90"/>
      <c r="S100" s="90"/>
      <c r="T100" s="90"/>
      <c r="U100" s="90"/>
      <c r="V100" s="90"/>
      <c r="W100" s="90"/>
      <c r="X100" s="90"/>
      <c r="Y100" s="90"/>
      <c r="Z100" s="90"/>
      <c r="AA100" s="90"/>
      <c r="AB100" s="90"/>
      <c r="AC100" s="90"/>
      <c r="AD100" s="90"/>
      <c r="AE100" s="90"/>
      <c r="AF100" s="90"/>
      <c r="AG100" s="90"/>
      <c r="AH100" s="90"/>
      <c r="AI100" s="90"/>
      <c r="AJ100" s="90"/>
      <c r="AK100" s="90"/>
      <c r="AL100" s="90"/>
      <c r="AM100" s="90"/>
      <c r="AN100" s="92"/>
      <c r="AO100" s="92"/>
      <c r="AP100" s="93"/>
    </row>
    <row r="101" spans="1:42" x14ac:dyDescent="0.25">
      <c r="A101" s="94" t="s">
        <v>617</v>
      </c>
      <c r="B101" s="95"/>
      <c r="C101" s="95"/>
      <c r="D101" s="95"/>
      <c r="E101" s="95"/>
      <c r="F101" s="95"/>
      <c r="G101" s="95"/>
      <c r="H101" s="95"/>
      <c r="I101" s="95"/>
      <c r="J101" s="95"/>
      <c r="K101" s="95"/>
      <c r="L101" s="95"/>
      <c r="M101" s="95"/>
      <c r="N101" s="95"/>
      <c r="O101" s="96"/>
      <c r="P101" s="95"/>
      <c r="Q101" s="95"/>
      <c r="R101" s="95">
        <f>IF(char2ArtiToggle, 30%, 0)</f>
        <v>0.3</v>
      </c>
      <c r="S101" s="95">
        <f>IF(char2ArtiToggle, 30%, 0)</f>
        <v>0.3</v>
      </c>
      <c r="T101" s="95"/>
      <c r="U101" s="95"/>
      <c r="V101" s="95"/>
      <c r="W101" s="95"/>
      <c r="X101" s="95"/>
      <c r="Y101" s="95"/>
      <c r="Z101" s="95"/>
      <c r="AA101" s="95"/>
      <c r="AB101" s="95"/>
      <c r="AC101" s="95"/>
      <c r="AD101" s="95"/>
      <c r="AE101" s="95"/>
      <c r="AF101" s="95"/>
      <c r="AG101" s="95"/>
      <c r="AH101" s="95"/>
      <c r="AI101" s="95"/>
      <c r="AJ101" s="95"/>
      <c r="AK101" s="95"/>
      <c r="AL101" s="95"/>
      <c r="AM101" s="95"/>
      <c r="AN101" s="97"/>
      <c r="AO101" s="97"/>
      <c r="AP101" s="98"/>
    </row>
    <row r="102" spans="1:42" x14ac:dyDescent="0.25">
      <c r="A102" s="89" t="s">
        <v>618</v>
      </c>
      <c r="B102" s="90">
        <f>char2ArtiStacks*9%</f>
        <v>0.09</v>
      </c>
      <c r="C102" s="90"/>
      <c r="D102" s="90"/>
      <c r="E102" s="90"/>
      <c r="F102" s="90"/>
      <c r="G102" s="90"/>
      <c r="H102" s="90">
        <f>IF(char2ArtiStacks=2, 25%, 0)</f>
        <v>0</v>
      </c>
      <c r="I102" s="90"/>
      <c r="J102" s="90"/>
      <c r="K102" s="90"/>
      <c r="L102" s="90"/>
      <c r="M102" s="90"/>
      <c r="N102" s="90"/>
      <c r="O102" s="91"/>
      <c r="P102" s="90"/>
      <c r="Q102" s="90"/>
      <c r="R102" s="90"/>
      <c r="S102" s="90"/>
      <c r="T102" s="90"/>
      <c r="U102" s="90"/>
      <c r="V102" s="90"/>
      <c r="W102" s="90"/>
      <c r="X102" s="90"/>
      <c r="Y102" s="90"/>
      <c r="Z102" s="90"/>
      <c r="AA102" s="90"/>
      <c r="AB102" s="90"/>
      <c r="AC102" s="90"/>
      <c r="AD102" s="90"/>
      <c r="AE102" s="90"/>
      <c r="AF102" s="90"/>
      <c r="AG102" s="90"/>
      <c r="AH102" s="90"/>
      <c r="AI102" s="90"/>
      <c r="AJ102" s="90"/>
      <c r="AK102" s="90"/>
      <c r="AL102" s="90"/>
      <c r="AM102" s="90"/>
      <c r="AN102" s="92"/>
      <c r="AO102" s="92"/>
      <c r="AP102" s="93"/>
    </row>
    <row r="103" spans="1:42" x14ac:dyDescent="0.25">
      <c r="A103" s="94" t="s">
        <v>619</v>
      </c>
      <c r="B103" s="95">
        <f>IF(char2ArtiToggle, 20%, 0)</f>
        <v>0.2</v>
      </c>
      <c r="C103" s="95"/>
      <c r="D103" s="95"/>
      <c r="E103" s="95"/>
      <c r="F103" s="95"/>
      <c r="G103" s="95"/>
      <c r="H103" s="95"/>
      <c r="I103" s="95"/>
      <c r="J103" s="95"/>
      <c r="K103" s="95"/>
      <c r="L103" s="95"/>
      <c r="M103" s="95"/>
      <c r="N103" s="95"/>
      <c r="O103" s="96"/>
      <c r="P103" s="95"/>
      <c r="Q103" s="95"/>
      <c r="R103" s="95"/>
      <c r="S103" s="95"/>
      <c r="T103" s="95"/>
      <c r="U103" s="95"/>
      <c r="V103" s="95"/>
      <c r="W103" s="95"/>
      <c r="X103" s="95">
        <f>IF(char2ArtiToggle, 30%, 0)</f>
        <v>0.3</v>
      </c>
      <c r="Y103" s="95"/>
      <c r="Z103" s="95"/>
      <c r="AA103" s="95"/>
      <c r="AB103" s="95"/>
      <c r="AC103" s="95"/>
      <c r="AD103" s="95"/>
      <c r="AE103" s="95"/>
      <c r="AF103" s="95"/>
      <c r="AG103" s="95"/>
      <c r="AH103" s="95"/>
      <c r="AI103" s="95"/>
      <c r="AJ103" s="95"/>
      <c r="AK103" s="95"/>
      <c r="AL103" s="95"/>
      <c r="AM103" s="95"/>
      <c r="AN103" s="97"/>
      <c r="AO103" s="97"/>
      <c r="AP103" s="98"/>
    </row>
    <row r="104" spans="1:42" x14ac:dyDescent="0.25">
      <c r="A104" s="89" t="s">
        <v>620</v>
      </c>
      <c r="B104" s="90"/>
      <c r="C104" s="90"/>
      <c r="D104" s="90"/>
      <c r="E104" s="90"/>
      <c r="F104" s="90"/>
      <c r="G104" s="90"/>
      <c r="H104" s="90"/>
      <c r="I104" s="90"/>
      <c r="J104" s="90"/>
      <c r="K104" s="90"/>
      <c r="L104" s="90"/>
      <c r="M104" s="90"/>
      <c r="N104" s="90"/>
      <c r="O104" s="91"/>
      <c r="P104" s="90"/>
      <c r="Q104" s="90"/>
      <c r="R104" s="90">
        <f>IF(char2ArtiToggle, 50%, 0)</f>
        <v>0.5</v>
      </c>
      <c r="S104" s="90">
        <f>IF(char2ArtiToggle, 50%, 0)</f>
        <v>0.5</v>
      </c>
      <c r="T104" s="90">
        <f>IF(char2ArtiToggle, 50%, 0)</f>
        <v>0.5</v>
      </c>
      <c r="U104" s="90"/>
      <c r="V104" s="90"/>
      <c r="W104" s="90"/>
      <c r="X104" s="90"/>
      <c r="Y104" s="90"/>
      <c r="Z104" s="90"/>
      <c r="AA104" s="90"/>
      <c r="AB104" s="90"/>
      <c r="AC104" s="90"/>
      <c r="AD104" s="90"/>
      <c r="AE104" s="90"/>
      <c r="AF104" s="90"/>
      <c r="AG104" s="90"/>
      <c r="AH104" s="90"/>
      <c r="AI104" s="90"/>
      <c r="AJ104" s="90"/>
      <c r="AK104" s="90"/>
      <c r="AL104" s="90"/>
      <c r="AM104" s="90"/>
      <c r="AN104" s="92"/>
      <c r="AO104" s="92"/>
      <c r="AP104" s="93"/>
    </row>
    <row r="105" spans="1:42" x14ac:dyDescent="0.25">
      <c r="A105" s="94" t="s">
        <v>621</v>
      </c>
      <c r="B105" s="95"/>
      <c r="C105" s="95"/>
      <c r="D105" s="95"/>
      <c r="E105" s="95"/>
      <c r="F105" s="95"/>
      <c r="G105" s="95"/>
      <c r="H105" s="95"/>
      <c r="I105" s="95"/>
      <c r="J105" s="95"/>
      <c r="K105" s="95"/>
      <c r="L105" s="95"/>
      <c r="M105" s="95"/>
      <c r="N105" s="95"/>
      <c r="O105" s="96"/>
      <c r="P105" s="95"/>
      <c r="Q105" s="95"/>
      <c r="R105" s="95"/>
      <c r="S105" s="95"/>
      <c r="T105" s="95"/>
      <c r="U105" s="95"/>
      <c r="V105" s="95">
        <f>IF(char2FinalER*25%&gt;75%, 75%,char2FinalER*25%)</f>
        <v>0.461175</v>
      </c>
      <c r="W105" s="95"/>
      <c r="X105" s="95"/>
      <c r="Y105" s="95"/>
      <c r="Z105" s="95"/>
      <c r="AA105" s="95"/>
      <c r="AB105" s="95"/>
      <c r="AC105" s="95"/>
      <c r="AD105" s="95"/>
      <c r="AE105" s="95"/>
      <c r="AF105" s="95"/>
      <c r="AG105" s="95"/>
      <c r="AH105" s="95"/>
      <c r="AI105" s="95"/>
      <c r="AJ105" s="95"/>
      <c r="AK105" s="95"/>
      <c r="AL105" s="95"/>
      <c r="AM105" s="95"/>
      <c r="AN105" s="97"/>
      <c r="AO105" s="97"/>
      <c r="AP105" s="98"/>
    </row>
    <row r="106" spans="1:42" x14ac:dyDescent="0.25">
      <c r="A106" s="89" t="s">
        <v>622</v>
      </c>
      <c r="B106" s="90"/>
      <c r="C106" s="90"/>
      <c r="D106" s="90"/>
      <c r="E106" s="90"/>
      <c r="F106" s="90"/>
      <c r="G106" s="90"/>
      <c r="H106" s="90"/>
      <c r="I106" s="90"/>
      <c r="J106" s="90"/>
      <c r="K106" s="90"/>
      <c r="L106" s="90"/>
      <c r="M106" s="90"/>
      <c r="N106" s="90"/>
      <c r="O106" s="91"/>
      <c r="P106" s="90"/>
      <c r="Q106" s="90"/>
      <c r="R106" s="90"/>
      <c r="S106" s="90"/>
      <c r="T106" s="90"/>
      <c r="U106" s="90"/>
      <c r="V106" s="90"/>
      <c r="W106" s="90"/>
      <c r="X106" s="90"/>
      <c r="Y106" s="90"/>
      <c r="Z106" s="90"/>
      <c r="AA106" s="90"/>
      <c r="AB106" s="90"/>
      <c r="AC106" s="90"/>
      <c r="AD106" s="90"/>
      <c r="AE106" s="90"/>
      <c r="AF106" s="90"/>
      <c r="AG106" s="90"/>
      <c r="AH106" s="90"/>
      <c r="AI106" s="90"/>
      <c r="AJ106" s="90"/>
      <c r="AK106" s="90"/>
      <c r="AL106" s="90"/>
      <c r="AM106" s="90"/>
      <c r="AN106" s="92"/>
      <c r="AO106" s="92"/>
      <c r="AP106" s="93"/>
    </row>
    <row r="107" spans="1:42" x14ac:dyDescent="0.25">
      <c r="A107" s="84" t="s">
        <v>623</v>
      </c>
      <c r="B107" s="99"/>
      <c r="C107" s="99">
        <f>6%*char2ArtiStacks</f>
        <v>0.06</v>
      </c>
      <c r="D107" s="99"/>
      <c r="E107" s="99"/>
      <c r="F107" s="99"/>
      <c r="G107" s="99"/>
      <c r="H107" s="99"/>
      <c r="I107" s="99"/>
      <c r="J107" s="99">
        <f>6%*char2ArtiStacks</f>
        <v>0.06</v>
      </c>
      <c r="K107" s="99"/>
      <c r="L107" s="99"/>
      <c r="M107" s="99"/>
      <c r="N107" s="99"/>
      <c r="O107" s="100"/>
      <c r="P107" s="99"/>
      <c r="Q107" s="99"/>
      <c r="R107" s="99"/>
      <c r="S107" s="99"/>
      <c r="T107" s="99"/>
      <c r="U107" s="99"/>
      <c r="V107" s="99"/>
      <c r="W107" s="99"/>
      <c r="X107" s="99"/>
      <c r="Y107" s="99"/>
      <c r="Z107" s="99"/>
      <c r="AA107" s="99"/>
      <c r="AB107" s="99"/>
      <c r="AC107" s="99"/>
      <c r="AD107" s="99"/>
      <c r="AE107" s="99"/>
      <c r="AF107" s="99"/>
      <c r="AG107" s="99"/>
      <c r="AH107" s="99"/>
      <c r="AI107" s="99"/>
      <c r="AJ107" s="99"/>
      <c r="AK107" s="99"/>
      <c r="AL107" s="99"/>
      <c r="AM107" s="99"/>
      <c r="AN107" s="101"/>
      <c r="AO107" s="101"/>
      <c r="AP107" s="102"/>
    </row>
    <row r="109" spans="1:42" x14ac:dyDescent="0.25">
      <c r="A109" s="85" t="s">
        <v>571</v>
      </c>
      <c r="B109" s="86" t="s">
        <v>65</v>
      </c>
      <c r="C109" s="86" t="s">
        <v>66</v>
      </c>
      <c r="D109" s="87" t="s">
        <v>67</v>
      </c>
      <c r="E109" s="86" t="s">
        <v>413</v>
      </c>
      <c r="F109" s="86" t="s">
        <v>414</v>
      </c>
      <c r="G109" s="86" t="s">
        <v>68</v>
      </c>
      <c r="H109" s="86" t="s">
        <v>70</v>
      </c>
      <c r="I109" s="87" t="s">
        <v>71</v>
      </c>
      <c r="J109" s="86" t="s">
        <v>72</v>
      </c>
      <c r="K109" s="87" t="s">
        <v>73</v>
      </c>
      <c r="L109" s="87" t="s">
        <v>74</v>
      </c>
      <c r="M109" s="87" t="s">
        <v>75</v>
      </c>
      <c r="N109" s="87" t="s">
        <v>76</v>
      </c>
      <c r="O109" s="87" t="s">
        <v>69</v>
      </c>
      <c r="P109" s="87" t="s">
        <v>457</v>
      </c>
      <c r="Q109" s="87" t="s">
        <v>427</v>
      </c>
      <c r="R109" s="87" t="s">
        <v>77</v>
      </c>
      <c r="S109" s="87" t="s">
        <v>78</v>
      </c>
      <c r="T109" s="87" t="s">
        <v>79</v>
      </c>
      <c r="U109" s="87" t="s">
        <v>80</v>
      </c>
      <c r="V109" s="87" t="s">
        <v>81</v>
      </c>
      <c r="W109" s="86" t="s">
        <v>82</v>
      </c>
      <c r="X109" s="86" t="s">
        <v>458</v>
      </c>
      <c r="Y109" s="86" t="s">
        <v>83</v>
      </c>
      <c r="Z109" s="86" t="s">
        <v>84</v>
      </c>
      <c r="AA109" s="86" t="s">
        <v>85</v>
      </c>
      <c r="AB109" s="86" t="s">
        <v>87</v>
      </c>
      <c r="AC109" s="86" t="s">
        <v>86</v>
      </c>
      <c r="AD109" s="86" t="s">
        <v>88</v>
      </c>
      <c r="AE109" s="86" t="s">
        <v>89</v>
      </c>
      <c r="AF109" s="86" t="s">
        <v>90</v>
      </c>
      <c r="AG109" s="86" t="s">
        <v>459</v>
      </c>
      <c r="AH109" s="86" t="s">
        <v>460</v>
      </c>
      <c r="AI109" s="86" t="s">
        <v>461</v>
      </c>
      <c r="AJ109" s="86" t="s">
        <v>462</v>
      </c>
      <c r="AK109" s="86" t="s">
        <v>463</v>
      </c>
      <c r="AL109" s="86" t="s">
        <v>464</v>
      </c>
      <c r="AM109" s="86" t="s">
        <v>465</v>
      </c>
      <c r="AN109" s="87" t="s">
        <v>62</v>
      </c>
      <c r="AO109" s="87" t="s">
        <v>64</v>
      </c>
      <c r="AP109" s="88" t="s">
        <v>63</v>
      </c>
    </row>
    <row r="110" spans="1:42" x14ac:dyDescent="0.25">
      <c r="A110" s="89" t="s">
        <v>572</v>
      </c>
      <c r="B110" s="90"/>
      <c r="C110" s="90"/>
      <c r="D110" s="90"/>
      <c r="E110" s="90"/>
      <c r="F110" s="90"/>
      <c r="G110" s="90"/>
      <c r="H110" s="90"/>
      <c r="I110" s="90"/>
      <c r="J110" s="90">
        <v>0.15</v>
      </c>
      <c r="K110" s="90"/>
      <c r="L110" s="90"/>
      <c r="M110" s="90"/>
      <c r="N110" s="90"/>
      <c r="O110" s="91"/>
      <c r="P110" s="90"/>
      <c r="Q110" s="90"/>
      <c r="R110" s="90"/>
      <c r="S110" s="90"/>
      <c r="T110" s="90"/>
      <c r="U110" s="90"/>
      <c r="V110" s="90"/>
      <c r="W110" s="90"/>
      <c r="X110" s="90"/>
      <c r="Y110" s="90"/>
      <c r="Z110" s="90"/>
      <c r="AA110" s="90"/>
      <c r="AB110" s="90"/>
      <c r="AC110" s="90"/>
      <c r="AD110" s="90"/>
      <c r="AE110" s="90"/>
      <c r="AF110" s="90"/>
      <c r="AG110" s="90"/>
      <c r="AH110" s="90"/>
      <c r="AI110" s="90"/>
      <c r="AJ110" s="90"/>
      <c r="AK110" s="90"/>
      <c r="AL110" s="90"/>
      <c r="AM110" s="90"/>
      <c r="AN110" s="92"/>
      <c r="AO110" s="92"/>
      <c r="AP110" s="93"/>
    </row>
    <row r="111" spans="1:42" x14ac:dyDescent="0.25">
      <c r="A111" s="94" t="s">
        <v>573</v>
      </c>
      <c r="B111" s="95"/>
      <c r="C111" s="95"/>
      <c r="D111" s="95"/>
      <c r="E111" s="95">
        <v>0.12</v>
      </c>
      <c r="F111" s="95"/>
      <c r="G111" s="95"/>
      <c r="H111" s="95"/>
      <c r="I111" s="95"/>
      <c r="J111" s="95"/>
      <c r="K111" s="95"/>
      <c r="L111" s="95"/>
      <c r="M111" s="95"/>
      <c r="N111" s="95"/>
      <c r="O111" s="96"/>
      <c r="P111" s="95"/>
      <c r="Q111" s="95"/>
      <c r="R111" s="95"/>
      <c r="S111" s="95"/>
      <c r="T111" s="95"/>
      <c r="U111" s="95"/>
      <c r="V111" s="95"/>
      <c r="W111" s="95"/>
      <c r="X111" s="95"/>
      <c r="Y111" s="95"/>
      <c r="Z111" s="95"/>
      <c r="AA111" s="95"/>
      <c r="AB111" s="95"/>
      <c r="AC111" s="95"/>
      <c r="AD111" s="95"/>
      <c r="AE111" s="95"/>
      <c r="AF111" s="95"/>
      <c r="AG111" s="95"/>
      <c r="AH111" s="95"/>
      <c r="AI111" s="95"/>
      <c r="AJ111" s="95"/>
      <c r="AK111" s="95"/>
      <c r="AL111" s="95"/>
      <c r="AM111" s="95"/>
      <c r="AN111" s="97"/>
      <c r="AO111" s="97"/>
      <c r="AP111" s="98"/>
    </row>
    <row r="112" spans="1:42" x14ac:dyDescent="0.25">
      <c r="A112" s="89" t="s">
        <v>574</v>
      </c>
      <c r="B112" s="90"/>
      <c r="C112" s="90"/>
      <c r="D112" s="90"/>
      <c r="E112" s="90"/>
      <c r="F112" s="90"/>
      <c r="G112" s="90"/>
      <c r="H112" s="90">
        <v>0.25</v>
      </c>
      <c r="I112" s="90"/>
      <c r="J112" s="90"/>
      <c r="K112" s="90"/>
      <c r="L112" s="90"/>
      <c r="M112" s="90"/>
      <c r="N112" s="90"/>
      <c r="O112" s="91"/>
      <c r="P112" s="90"/>
      <c r="Q112" s="90"/>
      <c r="R112" s="90"/>
      <c r="S112" s="90"/>
      <c r="T112" s="90"/>
      <c r="U112" s="90"/>
      <c r="V112" s="90"/>
      <c r="W112" s="90"/>
      <c r="X112" s="90"/>
      <c r="Y112" s="90"/>
      <c r="Z112" s="90"/>
      <c r="AA112" s="90"/>
      <c r="AB112" s="90"/>
      <c r="AC112" s="90"/>
      <c r="AD112" s="90"/>
      <c r="AE112" s="90"/>
      <c r="AF112" s="90"/>
      <c r="AG112" s="90"/>
      <c r="AH112" s="90"/>
      <c r="AI112" s="90"/>
      <c r="AJ112" s="90"/>
      <c r="AK112" s="90"/>
      <c r="AL112" s="90"/>
      <c r="AM112" s="90"/>
      <c r="AN112" s="92"/>
      <c r="AO112" s="92"/>
      <c r="AP112" s="93"/>
    </row>
    <row r="113" spans="1:42" x14ac:dyDescent="0.25">
      <c r="A113" s="94" t="s">
        <v>575</v>
      </c>
      <c r="B113" s="95">
        <v>0.18</v>
      </c>
      <c r="C113" s="95"/>
      <c r="D113" s="95"/>
      <c r="E113" s="95"/>
      <c r="F113" s="95"/>
      <c r="G113" s="95"/>
      <c r="H113" s="95"/>
      <c r="I113" s="95"/>
      <c r="J113" s="95"/>
      <c r="K113" s="95"/>
      <c r="L113" s="95"/>
      <c r="M113" s="95"/>
      <c r="N113" s="95"/>
      <c r="O113" s="96"/>
      <c r="P113" s="95"/>
      <c r="Q113" s="95"/>
      <c r="R113" s="95"/>
      <c r="S113" s="95"/>
      <c r="T113" s="95"/>
      <c r="U113" s="95"/>
      <c r="V113" s="95"/>
      <c r="W113" s="95"/>
      <c r="X113" s="95"/>
      <c r="Y113" s="95"/>
      <c r="Z113" s="95"/>
      <c r="AA113" s="95"/>
      <c r="AB113" s="95"/>
      <c r="AC113" s="95"/>
      <c r="AD113" s="95"/>
      <c r="AE113" s="95"/>
      <c r="AF113" s="95"/>
      <c r="AG113" s="95"/>
      <c r="AH113" s="95"/>
      <c r="AI113" s="95"/>
      <c r="AJ113" s="95"/>
      <c r="AK113" s="95"/>
      <c r="AL113" s="95"/>
      <c r="AM113" s="95"/>
      <c r="AN113" s="97"/>
      <c r="AO113" s="97"/>
      <c r="AP113" s="98"/>
    </row>
    <row r="114" spans="1:42" x14ac:dyDescent="0.25">
      <c r="A114" s="89" t="s">
        <v>576</v>
      </c>
      <c r="B114" s="90"/>
      <c r="C114" s="90"/>
      <c r="D114" s="90"/>
      <c r="E114" s="90"/>
      <c r="F114" s="90"/>
      <c r="G114" s="90"/>
      <c r="H114" s="90"/>
      <c r="I114" s="90"/>
      <c r="J114" s="90"/>
      <c r="K114" s="90">
        <v>0.15</v>
      </c>
      <c r="L114" s="90"/>
      <c r="M114" s="90"/>
      <c r="N114" s="90"/>
      <c r="O114" s="91"/>
      <c r="P114" s="90"/>
      <c r="Q114" s="90"/>
      <c r="R114" s="90"/>
      <c r="S114" s="90"/>
      <c r="T114" s="90"/>
      <c r="U114" s="90"/>
      <c r="V114" s="90"/>
      <c r="W114" s="90"/>
      <c r="X114" s="90"/>
      <c r="Y114" s="90"/>
      <c r="Z114" s="90"/>
      <c r="AA114" s="90"/>
      <c r="AB114" s="90"/>
      <c r="AC114" s="90"/>
      <c r="AD114" s="90"/>
      <c r="AE114" s="90"/>
      <c r="AF114" s="90"/>
      <c r="AG114" s="90"/>
      <c r="AH114" s="90"/>
      <c r="AI114" s="90"/>
      <c r="AJ114" s="90"/>
      <c r="AK114" s="90"/>
      <c r="AL114" s="90"/>
      <c r="AM114" s="90"/>
      <c r="AN114" s="92"/>
      <c r="AO114" s="92"/>
      <c r="AP114" s="93"/>
    </row>
    <row r="115" spans="1:42" x14ac:dyDescent="0.25">
      <c r="A115" s="94" t="s">
        <v>577</v>
      </c>
      <c r="B115" s="95"/>
      <c r="C115" s="95">
        <v>0.3</v>
      </c>
      <c r="D115" s="95"/>
      <c r="E115" s="95"/>
      <c r="F115" s="95"/>
      <c r="G115" s="95"/>
      <c r="H115" s="95"/>
      <c r="I115" s="95"/>
      <c r="J115" s="95"/>
      <c r="K115" s="95"/>
      <c r="L115" s="95"/>
      <c r="M115" s="95"/>
      <c r="N115" s="95"/>
      <c r="O115" s="96"/>
      <c r="P115" s="95"/>
      <c r="Q115" s="95"/>
      <c r="R115" s="95"/>
      <c r="S115" s="95"/>
      <c r="T115" s="95"/>
      <c r="U115" s="95"/>
      <c r="V115" s="95"/>
      <c r="W115" s="95"/>
      <c r="X115" s="95"/>
      <c r="Y115" s="95"/>
      <c r="Z115" s="95"/>
      <c r="AA115" s="95"/>
      <c r="AB115" s="95"/>
      <c r="AC115" s="95"/>
      <c r="AD115" s="95"/>
      <c r="AE115" s="95"/>
      <c r="AF115" s="95"/>
      <c r="AG115" s="95"/>
      <c r="AH115" s="95"/>
      <c r="AI115" s="95"/>
      <c r="AJ115" s="95"/>
      <c r="AK115" s="95"/>
      <c r="AL115" s="95"/>
      <c r="AM115" s="95"/>
      <c r="AN115" s="97"/>
      <c r="AO115" s="97"/>
      <c r="AP115" s="98"/>
    </row>
    <row r="116" spans="1:42" x14ac:dyDescent="0.25">
      <c r="A116" s="89" t="s">
        <v>578</v>
      </c>
      <c r="B116" s="90"/>
      <c r="C116" s="90"/>
      <c r="D116" s="90"/>
      <c r="E116" s="90"/>
      <c r="F116" s="90"/>
      <c r="G116" s="90"/>
      <c r="H116" s="90"/>
      <c r="I116" s="90"/>
      <c r="J116" s="90"/>
      <c r="K116" s="90"/>
      <c r="L116" s="90"/>
      <c r="M116" s="90"/>
      <c r="N116" s="90"/>
      <c r="O116" s="91"/>
      <c r="P116" s="90"/>
      <c r="Q116" s="90"/>
      <c r="R116" s="90"/>
      <c r="S116" s="90"/>
      <c r="T116" s="90"/>
      <c r="U116" s="90">
        <v>0.2</v>
      </c>
      <c r="V116" s="90"/>
      <c r="W116" s="90"/>
      <c r="X116" s="90"/>
      <c r="Y116" s="90"/>
      <c r="Z116" s="90"/>
      <c r="AA116" s="90"/>
      <c r="AB116" s="90"/>
      <c r="AC116" s="90"/>
      <c r="AD116" s="90"/>
      <c r="AE116" s="90"/>
      <c r="AF116" s="90"/>
      <c r="AG116" s="90"/>
      <c r="AH116" s="90"/>
      <c r="AI116" s="90"/>
      <c r="AJ116" s="90"/>
      <c r="AK116" s="90"/>
      <c r="AL116" s="90"/>
      <c r="AM116" s="90"/>
      <c r="AN116" s="92"/>
      <c r="AO116" s="92"/>
      <c r="AP116" s="93"/>
    </row>
    <row r="117" spans="1:42" x14ac:dyDescent="0.25">
      <c r="A117" s="94" t="s">
        <v>579</v>
      </c>
      <c r="B117" s="95">
        <v>0.18</v>
      </c>
      <c r="C117" s="95"/>
      <c r="D117" s="95"/>
      <c r="E117" s="95"/>
      <c r="F117" s="95"/>
      <c r="G117" s="95"/>
      <c r="H117" s="95"/>
      <c r="I117" s="95"/>
      <c r="J117" s="95"/>
      <c r="K117" s="95"/>
      <c r="L117" s="95"/>
      <c r="M117" s="95"/>
      <c r="N117" s="95"/>
      <c r="O117" s="96"/>
      <c r="P117" s="95"/>
      <c r="Q117" s="95"/>
      <c r="R117" s="95"/>
      <c r="S117" s="95"/>
      <c r="T117" s="95"/>
      <c r="U117" s="95"/>
      <c r="V117" s="95"/>
      <c r="W117" s="95"/>
      <c r="X117" s="95"/>
      <c r="Y117" s="95"/>
      <c r="Z117" s="95"/>
      <c r="AA117" s="95"/>
      <c r="AB117" s="95"/>
      <c r="AC117" s="95"/>
      <c r="AD117" s="95"/>
      <c r="AE117" s="95"/>
      <c r="AF117" s="95"/>
      <c r="AG117" s="95"/>
      <c r="AH117" s="95"/>
      <c r="AI117" s="95"/>
      <c r="AJ117" s="95"/>
      <c r="AK117" s="95"/>
      <c r="AL117" s="95"/>
      <c r="AM117" s="95"/>
      <c r="AN117" s="97"/>
      <c r="AO117" s="97"/>
      <c r="AP117" s="98"/>
    </row>
    <row r="118" spans="1:42" x14ac:dyDescent="0.25">
      <c r="A118" s="89" t="s">
        <v>580</v>
      </c>
      <c r="B118" s="90"/>
      <c r="C118" s="90"/>
      <c r="D118" s="90"/>
      <c r="E118" s="90"/>
      <c r="F118" s="90"/>
      <c r="G118" s="90"/>
      <c r="H118" s="90"/>
      <c r="I118" s="90"/>
      <c r="J118" s="90"/>
      <c r="K118" s="90"/>
      <c r="L118" s="90"/>
      <c r="M118" s="90"/>
      <c r="N118" s="90"/>
      <c r="O118" s="91">
        <v>80</v>
      </c>
      <c r="P118" s="90"/>
      <c r="Q118" s="90"/>
      <c r="R118" s="90"/>
      <c r="S118" s="90"/>
      <c r="T118" s="90"/>
      <c r="U118" s="90"/>
      <c r="V118" s="90"/>
      <c r="W118" s="90"/>
      <c r="X118" s="90"/>
      <c r="Y118" s="90"/>
      <c r="Z118" s="90"/>
      <c r="AA118" s="90"/>
      <c r="AB118" s="90"/>
      <c r="AC118" s="90"/>
      <c r="AD118" s="90"/>
      <c r="AE118" s="90"/>
      <c r="AF118" s="90"/>
      <c r="AG118" s="90"/>
      <c r="AH118" s="90"/>
      <c r="AI118" s="90"/>
      <c r="AJ118" s="90"/>
      <c r="AK118" s="90"/>
      <c r="AL118" s="90"/>
      <c r="AM118" s="90"/>
      <c r="AN118" s="92"/>
      <c r="AO118" s="92"/>
      <c r="AP118" s="93"/>
    </row>
    <row r="119" spans="1:42" x14ac:dyDescent="0.25">
      <c r="A119" s="94" t="s">
        <v>581</v>
      </c>
      <c r="B119" s="95"/>
      <c r="C119" s="95"/>
      <c r="D119" s="95"/>
      <c r="E119" s="95"/>
      <c r="F119" s="95"/>
      <c r="G119" s="95"/>
      <c r="H119" s="95"/>
      <c r="I119" s="95"/>
      <c r="J119" s="95"/>
      <c r="K119" s="95"/>
      <c r="L119" s="95"/>
      <c r="M119" s="95"/>
      <c r="N119" s="95"/>
      <c r="O119" s="96"/>
      <c r="P119" s="95"/>
      <c r="Q119" s="95"/>
      <c r="R119" s="95"/>
      <c r="S119" s="95"/>
      <c r="T119" s="95"/>
      <c r="U119" s="95"/>
      <c r="V119" s="95"/>
      <c r="W119" s="95"/>
      <c r="X119" s="95"/>
      <c r="Y119" s="95"/>
      <c r="Z119" s="95"/>
      <c r="AA119" s="95"/>
      <c r="AB119" s="95"/>
      <c r="AC119" s="95"/>
      <c r="AD119" s="95"/>
      <c r="AE119" s="95"/>
      <c r="AF119" s="95"/>
      <c r="AG119" s="95"/>
      <c r="AH119" s="95"/>
      <c r="AI119" s="95">
        <v>0.4</v>
      </c>
      <c r="AJ119" s="95"/>
      <c r="AK119" s="95"/>
      <c r="AL119" s="95"/>
      <c r="AM119" s="95"/>
      <c r="AN119" s="97"/>
      <c r="AO119" s="97"/>
      <c r="AP119" s="98"/>
    </row>
    <row r="120" spans="1:42" x14ac:dyDescent="0.25">
      <c r="A120" s="89" t="s">
        <v>582</v>
      </c>
      <c r="B120" s="90"/>
      <c r="C120" s="90"/>
      <c r="D120" s="90"/>
      <c r="E120" s="90"/>
      <c r="F120" s="90"/>
      <c r="G120" s="90"/>
      <c r="H120" s="90"/>
      <c r="I120" s="90"/>
      <c r="J120" s="90"/>
      <c r="K120" s="90"/>
      <c r="L120" s="90"/>
      <c r="M120" s="90"/>
      <c r="N120" s="90"/>
      <c r="O120" s="91"/>
      <c r="P120" s="90"/>
      <c r="Q120" s="90">
        <v>0.15</v>
      </c>
      <c r="R120" s="90"/>
      <c r="S120" s="90"/>
      <c r="T120" s="90"/>
      <c r="U120" s="90"/>
      <c r="V120" s="90"/>
      <c r="W120" s="90"/>
      <c r="X120" s="90"/>
      <c r="Y120" s="90"/>
      <c r="Z120" s="90"/>
      <c r="AA120" s="90"/>
      <c r="AB120" s="90"/>
      <c r="AC120" s="90"/>
      <c r="AD120" s="90"/>
      <c r="AE120" s="90"/>
      <c r="AF120" s="90"/>
      <c r="AG120" s="90"/>
      <c r="AH120" s="90"/>
      <c r="AI120" s="90"/>
      <c r="AJ120" s="90"/>
      <c r="AK120" s="90"/>
      <c r="AL120" s="90"/>
      <c r="AM120" s="90"/>
      <c r="AN120" s="92"/>
      <c r="AO120" s="92"/>
      <c r="AP120" s="93"/>
    </row>
    <row r="121" spans="1:42" x14ac:dyDescent="0.25">
      <c r="A121" s="94" t="s">
        <v>583</v>
      </c>
      <c r="B121" s="95"/>
      <c r="C121" s="95"/>
      <c r="D121" s="95"/>
      <c r="E121" s="95"/>
      <c r="F121" s="95"/>
      <c r="G121" s="95"/>
      <c r="H121" s="95"/>
      <c r="I121" s="95"/>
      <c r="J121" s="95"/>
      <c r="K121" s="95"/>
      <c r="L121" s="95"/>
      <c r="M121" s="95"/>
      <c r="N121" s="95"/>
      <c r="O121" s="96"/>
      <c r="P121" s="95"/>
      <c r="Q121" s="95"/>
      <c r="R121" s="95">
        <v>0.15</v>
      </c>
      <c r="S121" s="95">
        <v>0.15</v>
      </c>
      <c r="T121" s="95"/>
      <c r="U121" s="95"/>
      <c r="V121" s="95"/>
      <c r="W121" s="95"/>
      <c r="X121" s="95"/>
      <c r="Y121" s="95"/>
      <c r="Z121" s="95"/>
      <c r="AA121" s="95"/>
      <c r="AB121" s="95"/>
      <c r="AC121" s="95"/>
      <c r="AD121" s="95"/>
      <c r="AE121" s="95"/>
      <c r="AF121" s="95"/>
      <c r="AG121" s="95"/>
      <c r="AH121" s="95"/>
      <c r="AI121" s="95"/>
      <c r="AJ121" s="95"/>
      <c r="AK121" s="95"/>
      <c r="AL121" s="95"/>
      <c r="AM121" s="95"/>
      <c r="AN121" s="97"/>
      <c r="AO121" s="97"/>
      <c r="AP121" s="98"/>
    </row>
    <row r="122" spans="1:42" x14ac:dyDescent="0.25">
      <c r="A122" s="89" t="s">
        <v>584</v>
      </c>
      <c r="B122" s="90"/>
      <c r="C122" s="90"/>
      <c r="D122" s="90"/>
      <c r="E122" s="90"/>
      <c r="F122" s="90"/>
      <c r="G122" s="90"/>
      <c r="H122" s="90"/>
      <c r="I122" s="90"/>
      <c r="J122" s="90"/>
      <c r="K122" s="90"/>
      <c r="L122" s="90"/>
      <c r="M122" s="90"/>
      <c r="N122" s="90"/>
      <c r="O122" s="91"/>
      <c r="P122" s="90"/>
      <c r="Q122" s="90"/>
      <c r="R122" s="90"/>
      <c r="S122" s="90"/>
      <c r="T122" s="90"/>
      <c r="U122" s="90"/>
      <c r="V122" s="90">
        <v>0.2</v>
      </c>
      <c r="W122" s="90"/>
      <c r="X122" s="90"/>
      <c r="Y122" s="90"/>
      <c r="Z122" s="90"/>
      <c r="AA122" s="90"/>
      <c r="AB122" s="90"/>
      <c r="AC122" s="90"/>
      <c r="AD122" s="90"/>
      <c r="AE122" s="90"/>
      <c r="AF122" s="90"/>
      <c r="AG122" s="90"/>
      <c r="AH122" s="90"/>
      <c r="AI122" s="90"/>
      <c r="AJ122" s="90"/>
      <c r="AK122" s="90"/>
      <c r="AL122" s="90"/>
      <c r="AM122" s="90"/>
      <c r="AN122" s="92"/>
      <c r="AO122" s="92"/>
      <c r="AP122" s="93"/>
    </row>
    <row r="123" spans="1:42" x14ac:dyDescent="0.25">
      <c r="A123" s="94" t="s">
        <v>585</v>
      </c>
      <c r="B123" s="95"/>
      <c r="C123" s="95"/>
      <c r="D123" s="95"/>
      <c r="E123" s="95"/>
      <c r="F123" s="95"/>
      <c r="G123" s="95"/>
      <c r="H123" s="95"/>
      <c r="I123" s="95"/>
      <c r="J123" s="95"/>
      <c r="K123" s="95"/>
      <c r="L123" s="95"/>
      <c r="M123" s="95"/>
      <c r="N123" s="95"/>
      <c r="O123" s="96"/>
      <c r="P123" s="95"/>
      <c r="Q123" s="95"/>
      <c r="R123" s="95"/>
      <c r="S123" s="95"/>
      <c r="T123" s="95"/>
      <c r="U123" s="95"/>
      <c r="V123" s="95"/>
      <c r="W123" s="95"/>
      <c r="X123" s="95">
        <v>0.35</v>
      </c>
      <c r="Y123" s="95"/>
      <c r="Z123" s="95"/>
      <c r="AA123" s="95"/>
      <c r="AB123" s="95"/>
      <c r="AC123" s="95"/>
      <c r="AD123" s="95"/>
      <c r="AE123" s="95"/>
      <c r="AF123" s="95"/>
      <c r="AG123" s="95"/>
      <c r="AH123" s="95"/>
      <c r="AI123" s="95"/>
      <c r="AJ123" s="95"/>
      <c r="AK123" s="95"/>
      <c r="AL123" s="95"/>
      <c r="AM123" s="95"/>
      <c r="AN123" s="97"/>
      <c r="AO123" s="97"/>
      <c r="AP123" s="98"/>
    </row>
    <row r="124" spans="1:42" x14ac:dyDescent="0.25">
      <c r="A124" s="89" t="s">
        <v>586</v>
      </c>
      <c r="B124" s="90"/>
      <c r="C124" s="90"/>
      <c r="D124" s="90"/>
      <c r="E124" s="90"/>
      <c r="F124" s="90"/>
      <c r="G124" s="90"/>
      <c r="H124" s="90"/>
      <c r="I124" s="90"/>
      <c r="J124" s="90"/>
      <c r="K124" s="90"/>
      <c r="L124" s="90"/>
      <c r="M124" s="90"/>
      <c r="N124" s="90">
        <v>0.15</v>
      </c>
      <c r="O124" s="91"/>
      <c r="P124" s="90"/>
      <c r="Q124" s="90"/>
      <c r="R124" s="90"/>
      <c r="S124" s="90"/>
      <c r="T124" s="90"/>
      <c r="U124" s="90"/>
      <c r="V124" s="90"/>
      <c r="W124" s="90"/>
      <c r="X124" s="90"/>
      <c r="Y124" s="90"/>
      <c r="Z124" s="90"/>
      <c r="AA124" s="90"/>
      <c r="AB124" s="90"/>
      <c r="AC124" s="90"/>
      <c r="AD124" s="90"/>
      <c r="AE124" s="90"/>
      <c r="AF124" s="90"/>
      <c r="AG124" s="90"/>
      <c r="AH124" s="90"/>
      <c r="AI124" s="90"/>
      <c r="AJ124" s="90"/>
      <c r="AK124" s="90"/>
      <c r="AL124" s="90"/>
      <c r="AM124" s="90"/>
      <c r="AN124" s="92"/>
      <c r="AO124" s="92"/>
      <c r="AP124" s="93"/>
    </row>
    <row r="125" spans="1:42" x14ac:dyDescent="0.25">
      <c r="A125" s="94" t="s">
        <v>587</v>
      </c>
      <c r="B125" s="95"/>
      <c r="C125" s="95"/>
      <c r="D125" s="95"/>
      <c r="E125" s="95"/>
      <c r="F125" s="95"/>
      <c r="G125" s="95"/>
      <c r="H125" s="95"/>
      <c r="I125" s="95"/>
      <c r="J125" s="95"/>
      <c r="K125" s="95"/>
      <c r="L125" s="95"/>
      <c r="M125" s="95"/>
      <c r="N125" s="95"/>
      <c r="O125" s="96"/>
      <c r="P125" s="95"/>
      <c r="Q125" s="95"/>
      <c r="R125" s="95"/>
      <c r="S125" s="95"/>
      <c r="T125" s="95"/>
      <c r="U125" s="95"/>
      <c r="V125" s="95"/>
      <c r="W125" s="95"/>
      <c r="X125" s="95"/>
      <c r="Y125" s="95"/>
      <c r="Z125" s="95"/>
      <c r="AA125" s="95"/>
      <c r="AB125" s="95"/>
      <c r="AC125" s="95"/>
      <c r="AD125" s="95"/>
      <c r="AE125" s="95"/>
      <c r="AF125" s="95"/>
      <c r="AG125" s="95"/>
      <c r="AH125" s="95"/>
      <c r="AI125" s="95"/>
      <c r="AJ125" s="95"/>
      <c r="AK125" s="95"/>
      <c r="AL125" s="95">
        <v>0.4</v>
      </c>
      <c r="AM125" s="95"/>
      <c r="AN125" s="97"/>
      <c r="AO125" s="97"/>
      <c r="AP125" s="98"/>
    </row>
    <row r="126" spans="1:42" x14ac:dyDescent="0.25">
      <c r="A126" s="89" t="s">
        <v>588</v>
      </c>
      <c r="B126" s="90"/>
      <c r="C126" s="90"/>
      <c r="D126" s="90"/>
      <c r="E126" s="90"/>
      <c r="F126" s="90"/>
      <c r="G126" s="90"/>
      <c r="H126" s="90"/>
      <c r="I126" s="90">
        <v>0.15</v>
      </c>
      <c r="J126" s="90"/>
      <c r="K126" s="90"/>
      <c r="L126" s="90"/>
      <c r="M126" s="90"/>
      <c r="N126" s="90"/>
      <c r="O126" s="91"/>
      <c r="P126" s="90"/>
      <c r="Q126" s="90"/>
      <c r="R126" s="90"/>
      <c r="S126" s="90"/>
      <c r="T126" s="90"/>
      <c r="U126" s="90"/>
      <c r="V126" s="90"/>
      <c r="W126" s="90"/>
      <c r="X126" s="90"/>
      <c r="Y126" s="90"/>
      <c r="Z126" s="90"/>
      <c r="AA126" s="90"/>
      <c r="AB126" s="90"/>
      <c r="AC126" s="90"/>
      <c r="AD126" s="90"/>
      <c r="AE126" s="90"/>
      <c r="AF126" s="90"/>
      <c r="AG126" s="90"/>
      <c r="AH126" s="90"/>
      <c r="AI126" s="90"/>
      <c r="AJ126" s="90"/>
      <c r="AK126" s="90"/>
      <c r="AL126" s="90"/>
      <c r="AM126" s="90"/>
      <c r="AN126" s="92"/>
      <c r="AO126" s="92"/>
      <c r="AP126" s="93"/>
    </row>
    <row r="127" spans="1:42" x14ac:dyDescent="0.25">
      <c r="A127" s="94" t="s">
        <v>589</v>
      </c>
      <c r="B127" s="95"/>
      <c r="C127" s="95"/>
      <c r="D127" s="95"/>
      <c r="E127" s="95"/>
      <c r="F127" s="95"/>
      <c r="G127" s="95"/>
      <c r="H127" s="95"/>
      <c r="I127" s="95"/>
      <c r="J127" s="95"/>
      <c r="K127" s="95"/>
      <c r="L127" s="95"/>
      <c r="M127" s="95"/>
      <c r="N127" s="95"/>
      <c r="O127" s="96">
        <v>80</v>
      </c>
      <c r="P127" s="95"/>
      <c r="Q127" s="95"/>
      <c r="R127" s="95"/>
      <c r="S127" s="95"/>
      <c r="T127" s="95"/>
      <c r="U127" s="95"/>
      <c r="V127" s="95"/>
      <c r="W127" s="95"/>
      <c r="X127" s="95"/>
      <c r="Y127" s="95"/>
      <c r="Z127" s="95"/>
      <c r="AA127" s="95"/>
      <c r="AB127" s="95"/>
      <c r="AC127" s="95"/>
      <c r="AD127" s="95"/>
      <c r="AE127" s="95"/>
      <c r="AF127" s="95"/>
      <c r="AG127" s="95"/>
      <c r="AH127" s="95"/>
      <c r="AI127" s="95"/>
      <c r="AJ127" s="95"/>
      <c r="AK127" s="95"/>
      <c r="AL127" s="95"/>
      <c r="AM127" s="95"/>
      <c r="AN127" s="97"/>
      <c r="AO127" s="97"/>
      <c r="AP127" s="98"/>
    </row>
    <row r="128" spans="1:42" x14ac:dyDescent="0.25">
      <c r="A128" s="89" t="s">
        <v>590</v>
      </c>
      <c r="B128" s="90"/>
      <c r="C128" s="90"/>
      <c r="D128" s="90"/>
      <c r="E128" s="90"/>
      <c r="F128" s="90"/>
      <c r="G128" s="90"/>
      <c r="H128" s="90"/>
      <c r="I128" s="90"/>
      <c r="J128" s="90"/>
      <c r="K128" s="90"/>
      <c r="L128" s="90">
        <v>0.15</v>
      </c>
      <c r="M128" s="90"/>
      <c r="N128" s="90"/>
      <c r="O128" s="91"/>
      <c r="P128" s="90"/>
      <c r="Q128" s="90"/>
      <c r="R128" s="90"/>
      <c r="S128" s="90"/>
      <c r="T128" s="90"/>
      <c r="U128" s="90"/>
      <c r="V128" s="90"/>
      <c r="W128" s="90"/>
      <c r="X128" s="90"/>
      <c r="Y128" s="90"/>
      <c r="Z128" s="90"/>
      <c r="AA128" s="90"/>
      <c r="AB128" s="90"/>
      <c r="AC128" s="90"/>
      <c r="AD128" s="90"/>
      <c r="AE128" s="90"/>
      <c r="AF128" s="90"/>
      <c r="AG128" s="90"/>
      <c r="AH128" s="90"/>
      <c r="AI128" s="90"/>
      <c r="AJ128" s="90"/>
      <c r="AK128" s="90"/>
      <c r="AL128" s="90"/>
      <c r="AM128" s="90"/>
      <c r="AN128" s="92"/>
      <c r="AO128" s="92"/>
      <c r="AP128" s="93"/>
    </row>
    <row r="129" spans="1:42" x14ac:dyDescent="0.25">
      <c r="A129" s="94" t="s">
        <v>591</v>
      </c>
      <c r="B129" s="95"/>
      <c r="C129" s="95"/>
      <c r="D129" s="95"/>
      <c r="E129" s="95"/>
      <c r="F129" s="95"/>
      <c r="G129" s="95"/>
      <c r="H129" s="95"/>
      <c r="I129" s="95"/>
      <c r="J129" s="95"/>
      <c r="K129" s="95"/>
      <c r="L129" s="95"/>
      <c r="M129" s="95">
        <v>0.15</v>
      </c>
      <c r="N129" s="95"/>
      <c r="O129" s="96"/>
      <c r="P129" s="95"/>
      <c r="Q129" s="95"/>
      <c r="R129" s="95"/>
      <c r="S129" s="95"/>
      <c r="T129" s="95"/>
      <c r="U129" s="95"/>
      <c r="V129" s="95"/>
      <c r="W129" s="95"/>
      <c r="X129" s="95"/>
      <c r="Y129" s="95"/>
      <c r="Z129" s="95"/>
      <c r="AA129" s="95"/>
      <c r="AB129" s="95"/>
      <c r="AC129" s="95"/>
      <c r="AD129" s="95"/>
      <c r="AE129" s="95"/>
      <c r="AF129" s="95"/>
      <c r="AG129" s="95"/>
      <c r="AH129" s="95"/>
      <c r="AI129" s="95"/>
      <c r="AJ129" s="95"/>
      <c r="AK129" s="95"/>
      <c r="AL129" s="95"/>
      <c r="AM129" s="95"/>
      <c r="AN129" s="97"/>
      <c r="AO129" s="97"/>
      <c r="AP129" s="98"/>
    </row>
    <row r="130" spans="1:42" x14ac:dyDescent="0.25">
      <c r="A130" s="89" t="s">
        <v>592</v>
      </c>
      <c r="B130" s="90"/>
      <c r="C130" s="90"/>
      <c r="D130" s="90"/>
      <c r="E130" s="90"/>
      <c r="F130" s="90"/>
      <c r="G130" s="90"/>
      <c r="H130" s="90">
        <v>0.25</v>
      </c>
      <c r="I130" s="90"/>
      <c r="J130" s="90"/>
      <c r="K130" s="90"/>
      <c r="L130" s="90"/>
      <c r="M130" s="90"/>
      <c r="N130" s="90"/>
      <c r="O130" s="91"/>
      <c r="P130" s="90"/>
      <c r="Q130" s="90"/>
      <c r="R130" s="90"/>
      <c r="S130" s="90"/>
      <c r="T130" s="90"/>
      <c r="U130" s="90"/>
      <c r="V130" s="90"/>
      <c r="W130" s="90"/>
      <c r="X130" s="90"/>
      <c r="Y130" s="90"/>
      <c r="Z130" s="90"/>
      <c r="AA130" s="90"/>
      <c r="AB130" s="90"/>
      <c r="AC130" s="90"/>
      <c r="AD130" s="90"/>
      <c r="AE130" s="90"/>
      <c r="AF130" s="90"/>
      <c r="AG130" s="90"/>
      <c r="AH130" s="90"/>
      <c r="AI130" s="90"/>
      <c r="AJ130" s="90"/>
      <c r="AK130" s="90"/>
      <c r="AL130" s="90"/>
      <c r="AM130" s="90"/>
      <c r="AN130" s="92"/>
      <c r="AO130" s="92"/>
      <c r="AP130" s="93"/>
    </row>
    <row r="131" spans="1:42" x14ac:dyDescent="0.25">
      <c r="A131" s="94" t="s">
        <v>593</v>
      </c>
      <c r="B131" s="95"/>
      <c r="C131" s="95"/>
      <c r="D131" s="95">
        <v>0.2</v>
      </c>
      <c r="E131" s="95"/>
      <c r="F131" s="95"/>
      <c r="G131" s="95"/>
      <c r="H131" s="95"/>
      <c r="I131" s="95"/>
      <c r="J131" s="95"/>
      <c r="K131" s="95"/>
      <c r="L131" s="95"/>
      <c r="M131" s="95"/>
      <c r="N131" s="95"/>
      <c r="O131" s="96"/>
      <c r="P131" s="95"/>
      <c r="Q131" s="95"/>
      <c r="R131" s="95"/>
      <c r="S131" s="95"/>
      <c r="T131" s="95"/>
      <c r="U131" s="95"/>
      <c r="V131" s="95"/>
      <c r="W131" s="95"/>
      <c r="X131" s="95"/>
      <c r="Y131" s="95"/>
      <c r="Z131" s="95"/>
      <c r="AA131" s="95"/>
      <c r="AB131" s="95"/>
      <c r="AC131" s="95"/>
      <c r="AD131" s="95"/>
      <c r="AE131" s="95"/>
      <c r="AF131" s="95"/>
      <c r="AG131" s="95"/>
      <c r="AH131" s="95"/>
      <c r="AI131" s="95"/>
      <c r="AJ131" s="95"/>
      <c r="AK131" s="95"/>
      <c r="AL131" s="95"/>
      <c r="AM131" s="95"/>
      <c r="AN131" s="97"/>
      <c r="AO131" s="97"/>
      <c r="AP131" s="98"/>
    </row>
    <row r="132" spans="1:42" x14ac:dyDescent="0.25">
      <c r="A132" s="89" t="s">
        <v>594</v>
      </c>
      <c r="B132" s="90">
        <v>0.18</v>
      </c>
      <c r="C132" s="90"/>
      <c r="D132" s="90"/>
      <c r="E132" s="90"/>
      <c r="F132" s="90"/>
      <c r="G132" s="90"/>
      <c r="H132" s="90"/>
      <c r="I132" s="90"/>
      <c r="J132" s="90"/>
      <c r="K132" s="90"/>
      <c r="L132" s="90"/>
      <c r="M132" s="90"/>
      <c r="N132" s="90"/>
      <c r="O132" s="91"/>
      <c r="P132" s="90"/>
      <c r="Q132" s="90"/>
      <c r="R132" s="90"/>
      <c r="S132" s="90"/>
      <c r="T132" s="90"/>
      <c r="U132" s="90"/>
      <c r="V132" s="90"/>
      <c r="W132" s="90"/>
      <c r="X132" s="90"/>
      <c r="Y132" s="90"/>
      <c r="Z132" s="90"/>
      <c r="AA132" s="90"/>
      <c r="AB132" s="90"/>
      <c r="AC132" s="90"/>
      <c r="AD132" s="90"/>
      <c r="AE132" s="90"/>
      <c r="AF132" s="90"/>
      <c r="AG132" s="90"/>
      <c r="AH132" s="90"/>
      <c r="AI132" s="90"/>
      <c r="AJ132" s="90"/>
      <c r="AK132" s="90"/>
      <c r="AL132" s="90"/>
      <c r="AM132" s="90"/>
      <c r="AN132" s="92"/>
      <c r="AO132" s="92"/>
      <c r="AP132" s="93"/>
    </row>
    <row r="133" spans="1:42" x14ac:dyDescent="0.25">
      <c r="A133" s="94" t="s">
        <v>595</v>
      </c>
      <c r="B133" s="95"/>
      <c r="C133" s="95"/>
      <c r="D133" s="95"/>
      <c r="E133" s="95"/>
      <c r="F133" s="95"/>
      <c r="G133" s="95">
        <v>0.2</v>
      </c>
      <c r="H133" s="95"/>
      <c r="I133" s="95"/>
      <c r="J133" s="95"/>
      <c r="K133" s="95"/>
      <c r="L133" s="95"/>
      <c r="M133" s="95"/>
      <c r="N133" s="95"/>
      <c r="O133" s="96"/>
      <c r="P133" s="95"/>
      <c r="Q133" s="95"/>
      <c r="R133" s="95"/>
      <c r="S133" s="95"/>
      <c r="T133" s="95"/>
      <c r="U133" s="95"/>
      <c r="V133" s="95"/>
      <c r="W133" s="95"/>
      <c r="X133" s="95"/>
      <c r="Y133" s="95"/>
      <c r="Z133" s="95"/>
      <c r="AA133" s="95"/>
      <c r="AB133" s="95"/>
      <c r="AC133" s="95"/>
      <c r="AD133" s="95"/>
      <c r="AE133" s="95"/>
      <c r="AF133" s="95"/>
      <c r="AG133" s="95"/>
      <c r="AH133" s="95"/>
      <c r="AI133" s="95"/>
      <c r="AJ133" s="95"/>
      <c r="AK133" s="95"/>
      <c r="AL133" s="95"/>
      <c r="AM133" s="95"/>
      <c r="AN133" s="97"/>
      <c r="AO133" s="97"/>
      <c r="AP133" s="98"/>
    </row>
    <row r="134" spans="1:42" x14ac:dyDescent="0.25">
      <c r="A134" s="89" t="s">
        <v>596</v>
      </c>
      <c r="B134" s="90"/>
      <c r="C134" s="90"/>
      <c r="D134" s="90"/>
      <c r="E134" s="90"/>
      <c r="F134" s="90"/>
      <c r="G134" s="90"/>
      <c r="H134" s="90"/>
      <c r="I134" s="90"/>
      <c r="J134" s="90"/>
      <c r="K134" s="90"/>
      <c r="L134" s="90"/>
      <c r="M134" s="90"/>
      <c r="N134" s="90"/>
      <c r="O134" s="91"/>
      <c r="P134" s="90"/>
      <c r="Q134" s="90">
        <v>0.15</v>
      </c>
      <c r="R134" s="90"/>
      <c r="S134" s="90"/>
      <c r="T134" s="90"/>
      <c r="U134" s="90"/>
      <c r="V134" s="90"/>
      <c r="W134" s="90"/>
      <c r="X134" s="90"/>
      <c r="Y134" s="90"/>
      <c r="Z134" s="90"/>
      <c r="AA134" s="90"/>
      <c r="AB134" s="90"/>
      <c r="AC134" s="90"/>
      <c r="AD134" s="90"/>
      <c r="AE134" s="90"/>
      <c r="AF134" s="90"/>
      <c r="AG134" s="90"/>
      <c r="AH134" s="90"/>
      <c r="AI134" s="90"/>
      <c r="AJ134" s="90"/>
      <c r="AK134" s="90"/>
      <c r="AL134" s="90"/>
      <c r="AM134" s="90"/>
      <c r="AN134" s="92"/>
      <c r="AO134" s="92"/>
      <c r="AP134" s="93"/>
    </row>
    <row r="135" spans="1:42" x14ac:dyDescent="0.25">
      <c r="A135" s="94" t="s">
        <v>597</v>
      </c>
      <c r="B135" s="95"/>
      <c r="C135" s="95">
        <v>0.3</v>
      </c>
      <c r="D135" s="95"/>
      <c r="E135" s="95"/>
      <c r="F135" s="95"/>
      <c r="G135" s="95"/>
      <c r="H135" s="95"/>
      <c r="I135" s="95"/>
      <c r="J135" s="95"/>
      <c r="K135" s="95"/>
      <c r="L135" s="95"/>
      <c r="M135" s="95"/>
      <c r="N135" s="95"/>
      <c r="O135" s="96"/>
      <c r="P135" s="95"/>
      <c r="Q135" s="95"/>
      <c r="R135" s="95"/>
      <c r="S135" s="95"/>
      <c r="T135" s="95"/>
      <c r="U135" s="95"/>
      <c r="V135" s="95"/>
      <c r="W135" s="95"/>
      <c r="X135" s="95"/>
      <c r="Y135" s="95"/>
      <c r="Z135" s="95"/>
      <c r="AA135" s="95"/>
      <c r="AB135" s="95"/>
      <c r="AC135" s="95"/>
      <c r="AD135" s="95"/>
      <c r="AE135" s="95"/>
      <c r="AF135" s="95"/>
      <c r="AG135" s="95"/>
      <c r="AH135" s="95"/>
      <c r="AI135" s="95"/>
      <c r="AJ135" s="95"/>
      <c r="AK135" s="95"/>
      <c r="AL135" s="95"/>
      <c r="AM135" s="95"/>
      <c r="AN135" s="97"/>
      <c r="AO135" s="97"/>
      <c r="AP135" s="98"/>
    </row>
    <row r="136" spans="1:42" x14ac:dyDescent="0.25">
      <c r="A136" s="89" t="s">
        <v>598</v>
      </c>
      <c r="B136" s="90"/>
      <c r="C136" s="90"/>
      <c r="D136" s="90"/>
      <c r="E136" s="90"/>
      <c r="F136" s="90"/>
      <c r="G136" s="90"/>
      <c r="H136" s="90"/>
      <c r="I136" s="90"/>
      <c r="J136" s="90"/>
      <c r="K136" s="90">
        <f>IF(char3ArtiToggle, 35%, 0%)</f>
        <v>0.35</v>
      </c>
      <c r="L136" s="90">
        <f>IF(char3ArtiToggle, 35%, 0%)</f>
        <v>0.35</v>
      </c>
      <c r="M136" s="90">
        <f>IF(char3ArtiToggle, 35%, 0%)</f>
        <v>0.35</v>
      </c>
      <c r="N136" s="90">
        <f>IF(char3ArtiToggle, 35%, 0%)</f>
        <v>0.35</v>
      </c>
      <c r="O136" s="91"/>
      <c r="P136" s="90"/>
      <c r="Q136" s="90"/>
      <c r="R136" s="90"/>
      <c r="S136" s="90"/>
      <c r="T136" s="90"/>
      <c r="U136" s="90"/>
      <c r="V136" s="90"/>
      <c r="W136" s="90"/>
      <c r="X136" s="90"/>
      <c r="Y136" s="90"/>
      <c r="Z136" s="90"/>
      <c r="AA136" s="90"/>
      <c r="AB136" s="90"/>
      <c r="AC136" s="90"/>
      <c r="AD136" s="90"/>
      <c r="AE136" s="90"/>
      <c r="AF136" s="90"/>
      <c r="AG136" s="90"/>
      <c r="AH136" s="90"/>
      <c r="AI136" s="90"/>
      <c r="AJ136" s="90"/>
      <c r="AK136" s="90"/>
      <c r="AL136" s="90"/>
      <c r="AM136" s="90"/>
      <c r="AN136" s="92"/>
      <c r="AO136" s="92"/>
      <c r="AP136" s="93"/>
    </row>
    <row r="137" spans="1:42" x14ac:dyDescent="0.25">
      <c r="A137" s="94" t="s">
        <v>599</v>
      </c>
      <c r="B137" s="95"/>
      <c r="C137" s="95"/>
      <c r="D137" s="95"/>
      <c r="E137" s="95">
        <f>IF(char3ArtiToggle, 24%, 0%)</f>
        <v>0.24</v>
      </c>
      <c r="F137" s="95"/>
      <c r="G137" s="95"/>
      <c r="H137" s="95"/>
      <c r="I137" s="95"/>
      <c r="J137" s="95"/>
      <c r="K137" s="95"/>
      <c r="L137" s="95"/>
      <c r="M137" s="95"/>
      <c r="N137" s="95"/>
      <c r="O137" s="96"/>
      <c r="P137" s="95"/>
      <c r="Q137" s="95"/>
      <c r="R137" s="95"/>
      <c r="S137" s="95"/>
      <c r="T137" s="95"/>
      <c r="U137" s="95"/>
      <c r="V137" s="95"/>
      <c r="W137" s="95"/>
      <c r="X137" s="95"/>
      <c r="Y137" s="95"/>
      <c r="Z137" s="95"/>
      <c r="AA137" s="95"/>
      <c r="AB137" s="95"/>
      <c r="AC137" s="95"/>
      <c r="AD137" s="95"/>
      <c r="AE137" s="95"/>
      <c r="AF137" s="95"/>
      <c r="AG137" s="95"/>
      <c r="AH137" s="95"/>
      <c r="AI137" s="95"/>
      <c r="AJ137" s="95"/>
      <c r="AK137" s="95"/>
      <c r="AL137" s="95"/>
      <c r="AM137" s="95"/>
      <c r="AN137" s="97"/>
      <c r="AO137" s="97"/>
      <c r="AP137" s="98"/>
    </row>
    <row r="138" spans="1:42" x14ac:dyDescent="0.25">
      <c r="A138" s="89" t="s">
        <v>600</v>
      </c>
      <c r="B138" s="90"/>
      <c r="C138" s="90"/>
      <c r="D138" s="90"/>
      <c r="E138" s="90"/>
      <c r="F138" s="90"/>
      <c r="G138" s="90"/>
      <c r="H138" s="90"/>
      <c r="I138" s="90"/>
      <c r="J138" s="90"/>
      <c r="K138" s="90"/>
      <c r="L138" s="90"/>
      <c r="M138" s="90"/>
      <c r="N138" s="90"/>
      <c r="O138" s="91"/>
      <c r="P138" s="90"/>
      <c r="Q138" s="90"/>
      <c r="R138" s="90"/>
      <c r="S138" s="90">
        <f>IF(char3ArtiToggle, 50%, 0%)</f>
        <v>0.5</v>
      </c>
      <c r="T138" s="90"/>
      <c r="U138" s="90"/>
      <c r="V138" s="90"/>
      <c r="W138" s="90"/>
      <c r="X138" s="90"/>
      <c r="Y138" s="90"/>
      <c r="Z138" s="90"/>
      <c r="AA138" s="90"/>
      <c r="AB138" s="90"/>
      <c r="AC138" s="90"/>
      <c r="AD138" s="90"/>
      <c r="AE138" s="90"/>
      <c r="AF138" s="90"/>
      <c r="AG138" s="90"/>
      <c r="AH138" s="90"/>
      <c r="AI138" s="90"/>
      <c r="AJ138" s="90"/>
      <c r="AK138" s="90"/>
      <c r="AL138" s="90"/>
      <c r="AM138" s="90"/>
      <c r="AN138" s="92"/>
      <c r="AO138" s="92"/>
      <c r="AP138" s="93"/>
    </row>
    <row r="139" spans="1:42" x14ac:dyDescent="0.25">
      <c r="A139" s="94" t="s">
        <v>601</v>
      </c>
      <c r="B139" s="95"/>
      <c r="C139" s="95"/>
      <c r="D139" s="95"/>
      <c r="E139" s="95"/>
      <c r="F139" s="95"/>
      <c r="G139" s="95"/>
      <c r="H139" s="95"/>
      <c r="I139" s="95"/>
      <c r="J139" s="95"/>
      <c r="K139" s="95"/>
      <c r="L139" s="95"/>
      <c r="M139" s="95"/>
      <c r="N139" s="95"/>
      <c r="O139" s="96"/>
      <c r="P139" s="95"/>
      <c r="Q139" s="95"/>
      <c r="R139" s="95"/>
      <c r="S139" s="95"/>
      <c r="T139" s="95"/>
      <c r="U139" s="95"/>
      <c r="V139" s="95"/>
      <c r="W139" s="95">
        <f>IF(char3ArtiToggle, 30%, 0%)</f>
        <v>0.3</v>
      </c>
      <c r="X139" s="95"/>
      <c r="Y139" s="95"/>
      <c r="Z139" s="95"/>
      <c r="AA139" s="95"/>
      <c r="AB139" s="95"/>
      <c r="AC139" s="95"/>
      <c r="AD139" s="95"/>
      <c r="AE139" s="95"/>
      <c r="AF139" s="95"/>
      <c r="AG139" s="95"/>
      <c r="AH139" s="95"/>
      <c r="AI139" s="95"/>
      <c r="AJ139" s="95"/>
      <c r="AK139" s="95"/>
      <c r="AL139" s="95"/>
      <c r="AM139" s="95"/>
      <c r="AN139" s="97"/>
      <c r="AO139" s="97"/>
      <c r="AP139" s="98"/>
    </row>
    <row r="140" spans="1:42" x14ac:dyDescent="0.25">
      <c r="A140" s="89" t="s">
        <v>602</v>
      </c>
      <c r="B140" s="90"/>
      <c r="C140" s="90"/>
      <c r="D140" s="90"/>
      <c r="E140" s="90"/>
      <c r="F140" s="90"/>
      <c r="G140" s="90"/>
      <c r="H140" s="90"/>
      <c r="I140" s="90"/>
      <c r="J140" s="90"/>
      <c r="K140" s="90">
        <f>char3ArtiStacks*(7.5%)</f>
        <v>0</v>
      </c>
      <c r="L140" s="90"/>
      <c r="M140" s="90"/>
      <c r="N140" s="90"/>
      <c r="O140" s="91"/>
      <c r="P140" s="90"/>
      <c r="Q140" s="90"/>
      <c r="R140" s="90"/>
      <c r="S140" s="90"/>
      <c r="T140" s="90"/>
      <c r="U140" s="90"/>
      <c r="V140" s="90"/>
      <c r="W140" s="90"/>
      <c r="X140" s="90"/>
      <c r="Y140" s="90"/>
      <c r="Z140" s="90">
        <v>0.4</v>
      </c>
      <c r="AA140" s="90"/>
      <c r="AB140" s="90"/>
      <c r="AC140" s="90"/>
      <c r="AD140" s="90">
        <v>0.15</v>
      </c>
      <c r="AE140" s="90">
        <v>0.15</v>
      </c>
      <c r="AF140" s="90"/>
      <c r="AG140" s="90"/>
      <c r="AH140" s="90"/>
      <c r="AI140" s="90"/>
      <c r="AJ140" s="90"/>
      <c r="AK140" s="90"/>
      <c r="AL140" s="90"/>
      <c r="AM140" s="90"/>
      <c r="AN140" s="92"/>
      <c r="AO140" s="92"/>
      <c r="AP140" s="93"/>
    </row>
    <row r="141" spans="1:42" x14ac:dyDescent="0.25">
      <c r="A141" s="94" t="s">
        <v>603</v>
      </c>
      <c r="B141" s="95"/>
      <c r="C141" s="95"/>
      <c r="D141" s="95"/>
      <c r="E141" s="95"/>
      <c r="F141" s="95"/>
      <c r="G141" s="95"/>
      <c r="H141" s="95"/>
      <c r="I141" s="95"/>
      <c r="J141" s="95"/>
      <c r="K141" s="95"/>
      <c r="L141" s="95"/>
      <c r="M141" s="95"/>
      <c r="N141" s="95"/>
      <c r="O141" s="96"/>
      <c r="P141" s="95"/>
      <c r="Q141" s="95"/>
      <c r="R141" s="95"/>
      <c r="S141" s="95"/>
      <c r="T141" s="95"/>
      <c r="U141" s="95"/>
      <c r="V141" s="95"/>
      <c r="W141" s="95"/>
      <c r="X141" s="95"/>
      <c r="Y141" s="95"/>
      <c r="Z141" s="95"/>
      <c r="AA141" s="95"/>
      <c r="AB141" s="95"/>
      <c r="AC141" s="95"/>
      <c r="AD141" s="95"/>
      <c r="AE141" s="95"/>
      <c r="AF141" s="95"/>
      <c r="AG141" s="95">
        <v>0.3</v>
      </c>
      <c r="AH141" s="95">
        <v>0.3</v>
      </c>
      <c r="AI141" s="95">
        <v>0.3</v>
      </c>
      <c r="AJ141" s="95">
        <v>0.3</v>
      </c>
      <c r="AK141" s="95">
        <v>0.3</v>
      </c>
      <c r="AL141" s="95">
        <v>0.3</v>
      </c>
      <c r="AM141" s="95"/>
      <c r="AN141" s="97"/>
      <c r="AO141" s="97"/>
      <c r="AP141" s="98"/>
    </row>
    <row r="142" spans="1:42" x14ac:dyDescent="0.25">
      <c r="A142" s="89" t="s">
        <v>604</v>
      </c>
      <c r="B142" s="90"/>
      <c r="C142" s="90"/>
      <c r="D142" s="90"/>
      <c r="E142" s="90"/>
      <c r="F142" s="90"/>
      <c r="G142" s="90"/>
      <c r="H142" s="90"/>
      <c r="I142" s="90"/>
      <c r="J142" s="90"/>
      <c r="K142" s="90"/>
      <c r="L142" s="90"/>
      <c r="M142" s="90"/>
      <c r="N142" s="90"/>
      <c r="O142" s="91"/>
      <c r="P142" s="90"/>
      <c r="Q142" s="90"/>
      <c r="R142" s="90"/>
      <c r="S142" s="90"/>
      <c r="T142" s="90"/>
      <c r="U142" s="90"/>
      <c r="V142" s="90"/>
      <c r="W142" s="90"/>
      <c r="X142" s="90"/>
      <c r="Y142" s="90"/>
      <c r="Z142" s="90"/>
      <c r="AA142" s="90"/>
      <c r="AB142" s="90"/>
      <c r="AC142" s="90"/>
      <c r="AD142" s="90"/>
      <c r="AE142" s="90"/>
      <c r="AF142" s="90"/>
      <c r="AG142" s="90"/>
      <c r="AH142" s="90"/>
      <c r="AI142" s="90"/>
      <c r="AJ142" s="90"/>
      <c r="AK142" s="90"/>
      <c r="AL142" s="90"/>
      <c r="AM142" s="90"/>
      <c r="AN142" s="92"/>
      <c r="AO142" s="92"/>
      <c r="AP142" s="93"/>
    </row>
    <row r="143" spans="1:42" x14ac:dyDescent="0.25">
      <c r="A143" s="94" t="s">
        <v>605</v>
      </c>
      <c r="B143" s="95"/>
      <c r="C143" s="95"/>
      <c r="D143" s="95"/>
      <c r="E143" s="95"/>
      <c r="F143" s="95"/>
      <c r="G143" s="95"/>
      <c r="H143" s="95"/>
      <c r="I143" s="95"/>
      <c r="J143" s="95"/>
      <c r="K143" s="95"/>
      <c r="L143" s="95"/>
      <c r="M143" s="95"/>
      <c r="N143" s="95"/>
      <c r="O143" s="96"/>
      <c r="P143" s="95"/>
      <c r="Q143" s="95"/>
      <c r="R143" s="95">
        <v>0.35</v>
      </c>
      <c r="S143" s="95"/>
      <c r="T143" s="95"/>
      <c r="U143" s="95"/>
      <c r="V143" s="95"/>
      <c r="W143" s="95"/>
      <c r="X143" s="95"/>
      <c r="Y143" s="95"/>
      <c r="Z143" s="95"/>
      <c r="AA143" s="95"/>
      <c r="AB143" s="95"/>
      <c r="AC143" s="95"/>
      <c r="AD143" s="95"/>
      <c r="AE143" s="95"/>
      <c r="AF143" s="95"/>
      <c r="AG143" s="95"/>
      <c r="AH143" s="95"/>
      <c r="AI143" s="95"/>
      <c r="AJ143" s="95"/>
      <c r="AK143" s="95"/>
      <c r="AL143" s="95"/>
      <c r="AM143" s="95"/>
      <c r="AN143" s="97"/>
      <c r="AO143" s="97"/>
      <c r="AP143" s="98"/>
    </row>
    <row r="144" spans="1:42" x14ac:dyDescent="0.25">
      <c r="A144" s="89" t="s">
        <v>606</v>
      </c>
      <c r="B144" s="90"/>
      <c r="C144" s="90"/>
      <c r="D144" s="90"/>
      <c r="E144" s="90"/>
      <c r="F144" s="90"/>
      <c r="G144" s="90"/>
      <c r="H144" s="90"/>
      <c r="I144" s="90"/>
      <c r="J144" s="90"/>
      <c r="K144" s="90"/>
      <c r="L144" s="90"/>
      <c r="M144" s="90"/>
      <c r="N144" s="90"/>
      <c r="O144" s="91">
        <f>IF(char3ArtiToggle, 120, 0)</f>
        <v>120</v>
      </c>
      <c r="P144" s="90"/>
      <c r="Q144" s="90"/>
      <c r="R144" s="90"/>
      <c r="S144" s="90"/>
      <c r="T144" s="90"/>
      <c r="U144" s="90"/>
      <c r="V144" s="90"/>
      <c r="W144" s="90"/>
      <c r="X144" s="90"/>
      <c r="Y144" s="90"/>
      <c r="Z144" s="90"/>
      <c r="AA144" s="90"/>
      <c r="AB144" s="90"/>
      <c r="AC144" s="90"/>
      <c r="AD144" s="90"/>
      <c r="AE144" s="90"/>
      <c r="AF144" s="90"/>
      <c r="AG144" s="90"/>
      <c r="AH144" s="90"/>
      <c r="AI144" s="90"/>
      <c r="AJ144" s="90"/>
      <c r="AK144" s="90"/>
      <c r="AL144" s="90"/>
      <c r="AM144" s="90"/>
      <c r="AN144" s="92"/>
      <c r="AO144" s="92"/>
      <c r="AP144" s="93"/>
    </row>
    <row r="145" spans="1:42" x14ac:dyDescent="0.25">
      <c r="A145" s="94" t="s">
        <v>607</v>
      </c>
      <c r="B145" s="95"/>
      <c r="C145" s="95"/>
      <c r="D145" s="95"/>
      <c r="E145" s="95"/>
      <c r="F145" s="95"/>
      <c r="G145" s="95"/>
      <c r="H145" s="95">
        <f t="shared" ref="H145:N145" si="2">IF(char3ArtiToggle, 35%, 0)</f>
        <v>0.35</v>
      </c>
      <c r="I145" s="95">
        <f t="shared" si="2"/>
        <v>0.35</v>
      </c>
      <c r="J145" s="95">
        <f t="shared" si="2"/>
        <v>0.35</v>
      </c>
      <c r="K145" s="95">
        <f t="shared" si="2"/>
        <v>0.35</v>
      </c>
      <c r="L145" s="95">
        <f t="shared" si="2"/>
        <v>0.35</v>
      </c>
      <c r="M145" s="95">
        <f t="shared" si="2"/>
        <v>0.35</v>
      </c>
      <c r="N145" s="95">
        <f t="shared" si="2"/>
        <v>0.35</v>
      </c>
      <c r="O145" s="96"/>
      <c r="P145" s="95"/>
      <c r="Q145" s="95"/>
      <c r="R145" s="95"/>
      <c r="S145" s="95"/>
      <c r="T145" s="95"/>
      <c r="U145" s="95"/>
      <c r="V145" s="95"/>
      <c r="W145" s="95"/>
      <c r="X145" s="95"/>
      <c r="Y145" s="95"/>
      <c r="Z145" s="95"/>
      <c r="AA145" s="95"/>
      <c r="AB145" s="95"/>
      <c r="AC145" s="95"/>
      <c r="AD145" s="95"/>
      <c r="AE145" s="95"/>
      <c r="AF145" s="95"/>
      <c r="AG145" s="95"/>
      <c r="AH145" s="95"/>
      <c r="AI145" s="95"/>
      <c r="AJ145" s="95"/>
      <c r="AK145" s="95"/>
      <c r="AL145" s="95"/>
      <c r="AM145" s="95"/>
      <c r="AN145" s="97"/>
      <c r="AO145" s="97"/>
      <c r="AP145" s="98"/>
    </row>
    <row r="146" spans="1:42" x14ac:dyDescent="0.25">
      <c r="A146" s="89" t="s">
        <v>608</v>
      </c>
      <c r="B146" s="90"/>
      <c r="C146" s="90"/>
      <c r="D146" s="90"/>
      <c r="E146" s="90"/>
      <c r="F146" s="90"/>
      <c r="G146" s="90"/>
      <c r="H146" s="90"/>
      <c r="I146" s="90"/>
      <c r="J146" s="90"/>
      <c r="K146" s="90"/>
      <c r="L146" s="90"/>
      <c r="M146" s="90"/>
      <c r="N146" s="90"/>
      <c r="O146" s="91"/>
      <c r="P146" s="90">
        <v>0.2</v>
      </c>
      <c r="Q146" s="90"/>
      <c r="R146" s="90"/>
      <c r="S146" s="90"/>
      <c r="T146" s="90"/>
      <c r="U146" s="90"/>
      <c r="V146" s="90"/>
      <c r="W146" s="90"/>
      <c r="X146" s="90"/>
      <c r="Y146" s="90"/>
      <c r="Z146" s="90"/>
      <c r="AA146" s="90"/>
      <c r="AB146" s="90"/>
      <c r="AC146" s="90"/>
      <c r="AD146" s="90"/>
      <c r="AE146" s="90"/>
      <c r="AF146" s="90"/>
      <c r="AG146" s="90"/>
      <c r="AH146" s="90"/>
      <c r="AI146" s="90"/>
      <c r="AJ146" s="90"/>
      <c r="AK146" s="90"/>
      <c r="AL146" s="90"/>
      <c r="AM146" s="90"/>
      <c r="AN146" s="92"/>
      <c r="AO146" s="92"/>
      <c r="AP146" s="93"/>
    </row>
    <row r="147" spans="1:42" x14ac:dyDescent="0.25">
      <c r="A147" s="94" t="s">
        <v>609</v>
      </c>
      <c r="B147" s="95"/>
      <c r="C147" s="95"/>
      <c r="D147" s="95"/>
      <c r="E147" s="95"/>
      <c r="F147" s="95"/>
      <c r="G147" s="95"/>
      <c r="H147" s="95"/>
      <c r="I147" s="95"/>
      <c r="J147" s="95"/>
      <c r="K147" s="95"/>
      <c r="L147" s="95"/>
      <c r="M147" s="95"/>
      <c r="N147" s="95"/>
      <c r="O147" s="96"/>
      <c r="P147" s="95"/>
      <c r="Q147" s="95"/>
      <c r="R147" s="95">
        <f>IF(char3ArtiToggle, 25%, 0)</f>
        <v>0.25</v>
      </c>
      <c r="S147" s="95">
        <f>IF(char3ArtiToggle, 25%, 0)</f>
        <v>0.25</v>
      </c>
      <c r="T147" s="95"/>
      <c r="U147" s="95"/>
      <c r="V147" s="95"/>
      <c r="W147" s="95"/>
      <c r="X147" s="95"/>
      <c r="Y147" s="95"/>
      <c r="Z147" s="95"/>
      <c r="AA147" s="95"/>
      <c r="AB147" s="95"/>
      <c r="AC147" s="95"/>
      <c r="AD147" s="95"/>
      <c r="AE147" s="95"/>
      <c r="AF147" s="95"/>
      <c r="AG147" s="95"/>
      <c r="AH147" s="95"/>
      <c r="AI147" s="95"/>
      <c r="AJ147" s="95"/>
      <c r="AK147" s="95"/>
      <c r="AL147" s="95"/>
      <c r="AM147" s="95"/>
      <c r="AN147" s="97"/>
      <c r="AO147" s="97"/>
      <c r="AP147" s="98"/>
    </row>
    <row r="148" spans="1:42" x14ac:dyDescent="0.25">
      <c r="A148" s="89" t="s">
        <v>610</v>
      </c>
      <c r="B148" s="90">
        <f>IF(char3ArtiToggle, 20%, 0)</f>
        <v>0.2</v>
      </c>
      <c r="C148" s="90"/>
      <c r="D148" s="90"/>
      <c r="E148" s="90"/>
      <c r="F148" s="90"/>
      <c r="G148" s="90"/>
      <c r="H148" s="90"/>
      <c r="I148" s="90"/>
      <c r="J148" s="90"/>
      <c r="K148" s="90"/>
      <c r="L148" s="90"/>
      <c r="M148" s="90"/>
      <c r="N148" s="90"/>
      <c r="O148" s="91"/>
      <c r="P148" s="90"/>
      <c r="Q148" s="90"/>
      <c r="R148" s="90"/>
      <c r="S148" s="90"/>
      <c r="T148" s="90"/>
      <c r="U148" s="90"/>
      <c r="V148" s="90"/>
      <c r="W148" s="90"/>
      <c r="X148" s="90"/>
      <c r="Y148" s="90"/>
      <c r="Z148" s="90"/>
      <c r="AA148" s="90"/>
      <c r="AB148" s="90"/>
      <c r="AC148" s="90"/>
      <c r="AD148" s="90"/>
      <c r="AE148" s="90"/>
      <c r="AF148" s="90"/>
      <c r="AG148" s="90"/>
      <c r="AH148" s="90"/>
      <c r="AI148" s="90"/>
      <c r="AJ148" s="90"/>
      <c r="AK148" s="90"/>
      <c r="AL148" s="90"/>
      <c r="AM148" s="90"/>
      <c r="AN148" s="92"/>
      <c r="AO148" s="92"/>
      <c r="AP148" s="93"/>
    </row>
    <row r="149" spans="1:42" x14ac:dyDescent="0.25">
      <c r="A149" s="94" t="s">
        <v>611</v>
      </c>
      <c r="B149" s="95"/>
      <c r="C149" s="95"/>
      <c r="D149" s="95"/>
      <c r="E149" s="95"/>
      <c r="F149" s="95"/>
      <c r="G149" s="95"/>
      <c r="H149" s="95"/>
      <c r="I149" s="95"/>
      <c r="J149" s="95"/>
      <c r="K149" s="95"/>
      <c r="L149" s="95"/>
      <c r="M149" s="95"/>
      <c r="N149" s="95"/>
      <c r="O149" s="96"/>
      <c r="P149" s="95"/>
      <c r="Q149" s="95"/>
      <c r="R149" s="95">
        <f>IF(char3ArtiToggle, 40%, 0)</f>
        <v>0.4</v>
      </c>
      <c r="S149" s="95">
        <f>IF(char3ArtiToggle, 40%, 0)</f>
        <v>0.4</v>
      </c>
      <c r="T149" s="95"/>
      <c r="U149" s="95"/>
      <c r="V149" s="95"/>
      <c r="W149" s="95"/>
      <c r="X149" s="95"/>
      <c r="Y149" s="95"/>
      <c r="Z149" s="95"/>
      <c r="AA149" s="95"/>
      <c r="AB149" s="95"/>
      <c r="AC149" s="95"/>
      <c r="AD149" s="95"/>
      <c r="AE149" s="95"/>
      <c r="AF149" s="95"/>
      <c r="AG149" s="95"/>
      <c r="AH149" s="95"/>
      <c r="AI149" s="95"/>
      <c r="AJ149" s="95"/>
      <c r="AK149" s="95"/>
      <c r="AL149" s="95"/>
      <c r="AM149" s="95"/>
      <c r="AN149" s="97"/>
      <c r="AO149" s="97"/>
      <c r="AP149" s="98"/>
    </row>
    <row r="150" spans="1:42" x14ac:dyDescent="0.25">
      <c r="A150" s="89" t="s">
        <v>612</v>
      </c>
      <c r="B150" s="90" t="s">
        <v>428</v>
      </c>
      <c r="C150" s="90"/>
      <c r="D150" s="90"/>
      <c r="E150" s="90"/>
      <c r="F150" s="90"/>
      <c r="G150" s="90"/>
      <c r="H150" s="90"/>
      <c r="I150" s="90"/>
      <c r="J150" s="90"/>
      <c r="K150" s="90"/>
      <c r="L150" s="90"/>
      <c r="M150" s="90"/>
      <c r="N150" s="90"/>
      <c r="O150" s="91"/>
      <c r="P150" s="90"/>
      <c r="Q150" s="90"/>
      <c r="R150" s="90"/>
      <c r="S150" s="90"/>
      <c r="T150" s="90"/>
      <c r="U150" s="90"/>
      <c r="V150" s="90"/>
      <c r="W150" s="90"/>
      <c r="X150" s="90"/>
      <c r="Y150" s="90"/>
      <c r="Z150" s="90">
        <v>0.4</v>
      </c>
      <c r="AA150" s="90"/>
      <c r="AB150" s="90">
        <v>0.4</v>
      </c>
      <c r="AC150" s="90">
        <v>0.4</v>
      </c>
      <c r="AD150" s="90"/>
      <c r="AE150" s="90"/>
      <c r="AF150" s="90"/>
      <c r="AG150" s="90"/>
      <c r="AH150" s="90"/>
      <c r="AI150" s="90"/>
      <c r="AJ150" s="90"/>
      <c r="AK150" s="90"/>
      <c r="AL150" s="90"/>
      <c r="AM150" s="90"/>
      <c r="AN150" s="92"/>
      <c r="AO150" s="92"/>
      <c r="AP150" s="93"/>
    </row>
    <row r="151" spans="1:42" x14ac:dyDescent="0.25">
      <c r="A151" s="94" t="s">
        <v>613</v>
      </c>
      <c r="B151" s="95"/>
      <c r="C151" s="95"/>
      <c r="D151" s="95"/>
      <c r="E151" s="95"/>
      <c r="F151" s="95"/>
      <c r="G151" s="95"/>
      <c r="H151" s="95"/>
      <c r="I151" s="95"/>
      <c r="J151" s="95"/>
      <c r="K151" s="95"/>
      <c r="L151" s="95"/>
      <c r="M151" s="95"/>
      <c r="N151" s="95"/>
      <c r="O151" s="96"/>
      <c r="P151" s="95"/>
      <c r="Q151" s="95"/>
      <c r="R151" s="95"/>
      <c r="S151" s="95"/>
      <c r="T151" s="95"/>
      <c r="U151" s="95"/>
      <c r="V151" s="95"/>
      <c r="W151" s="95">
        <f>IF(char3ArtiToggle, 35%, 0)</f>
        <v>0.35</v>
      </c>
      <c r="X151" s="95"/>
      <c r="Y151" s="95"/>
      <c r="Z151" s="95"/>
      <c r="AA151" s="95"/>
      <c r="AB151" s="95"/>
      <c r="AC151" s="95"/>
      <c r="AD151" s="95"/>
      <c r="AE151" s="95"/>
      <c r="AF151" s="95"/>
      <c r="AG151" s="95"/>
      <c r="AH151" s="95"/>
      <c r="AI151" s="95"/>
      <c r="AJ151" s="95"/>
      <c r="AK151" s="95"/>
      <c r="AL151" s="95"/>
      <c r="AM151" s="95"/>
      <c r="AN151" s="97"/>
      <c r="AO151" s="97"/>
      <c r="AP151" s="98"/>
    </row>
    <row r="152" spans="1:42" x14ac:dyDescent="0.25">
      <c r="A152" s="89" t="s">
        <v>614</v>
      </c>
      <c r="B152" s="90"/>
      <c r="C152" s="90"/>
      <c r="D152" s="90"/>
      <c r="E152" s="90"/>
      <c r="F152" s="90"/>
      <c r="G152" s="90"/>
      <c r="H152" s="90"/>
      <c r="I152" s="90"/>
      <c r="J152" s="90"/>
      <c r="K152" s="90"/>
      <c r="L152" s="90"/>
      <c r="M152" s="90"/>
      <c r="N152" s="90"/>
      <c r="O152" s="91"/>
      <c r="P152" s="90"/>
      <c r="Q152" s="90"/>
      <c r="R152" s="90"/>
      <c r="S152" s="90"/>
      <c r="T152" s="90"/>
      <c r="U152" s="90"/>
      <c r="V152" s="90"/>
      <c r="W152" s="90"/>
      <c r="X152" s="90"/>
      <c r="Y152" s="90">
        <v>0.6</v>
      </c>
      <c r="Z152" s="90"/>
      <c r="AA152" s="90"/>
      <c r="AB152" s="90"/>
      <c r="AC152" s="90"/>
      <c r="AD152" s="90"/>
      <c r="AE152" s="90"/>
      <c r="AF152" s="90"/>
      <c r="AG152" s="90"/>
      <c r="AH152" s="90"/>
      <c r="AI152" s="90"/>
      <c r="AJ152" s="90"/>
      <c r="AK152" s="90"/>
      <c r="AL152" s="90"/>
      <c r="AM152" s="90"/>
      <c r="AN152" s="92"/>
      <c r="AO152" s="92"/>
      <c r="AP152" s="93"/>
    </row>
    <row r="153" spans="1:42" x14ac:dyDescent="0.25">
      <c r="A153" s="94" t="s">
        <v>615</v>
      </c>
      <c r="B153" s="95"/>
      <c r="C153" s="95"/>
      <c r="D153" s="95"/>
      <c r="E153" s="95"/>
      <c r="F153" s="95"/>
      <c r="G153" s="95"/>
      <c r="H153" s="95"/>
      <c r="I153" s="95"/>
      <c r="J153" s="95"/>
      <c r="K153" s="95"/>
      <c r="L153" s="95"/>
      <c r="M153" s="95"/>
      <c r="N153" s="95"/>
      <c r="O153" s="96"/>
      <c r="P153" s="95"/>
      <c r="Q153" s="95"/>
      <c r="R153" s="95"/>
      <c r="S153" s="95">
        <f>IF(char3ArtiToggle, 35%, 0)</f>
        <v>0.35</v>
      </c>
      <c r="T153" s="95"/>
      <c r="U153" s="95"/>
      <c r="V153" s="95"/>
      <c r="W153" s="95"/>
      <c r="X153" s="95"/>
      <c r="Y153" s="95"/>
      <c r="Z153" s="95"/>
      <c r="AA153" s="95"/>
      <c r="AB153" s="95"/>
      <c r="AC153" s="95"/>
      <c r="AD153" s="95"/>
      <c r="AE153" s="95"/>
      <c r="AF153" s="95"/>
      <c r="AG153" s="95"/>
      <c r="AH153" s="95"/>
      <c r="AI153" s="95"/>
      <c r="AJ153" s="95"/>
      <c r="AK153" s="95"/>
      <c r="AL153" s="95"/>
      <c r="AM153" s="95"/>
      <c r="AN153" s="97"/>
      <c r="AO153" s="97"/>
      <c r="AP153" s="98"/>
    </row>
    <row r="154" spans="1:42" x14ac:dyDescent="0.25">
      <c r="A154" s="89" t="s">
        <v>616</v>
      </c>
      <c r="B154" s="90"/>
      <c r="C154" s="90"/>
      <c r="D154" s="90"/>
      <c r="E154" s="90">
        <f>char3ArtiStacks*(20%)</f>
        <v>0</v>
      </c>
      <c r="F154" s="90"/>
      <c r="G154" s="90"/>
      <c r="H154" s="90"/>
      <c r="I154" s="90"/>
      <c r="J154" s="90"/>
      <c r="K154" s="90"/>
      <c r="L154" s="90"/>
      <c r="M154" s="90"/>
      <c r="N154" s="90"/>
      <c r="O154" s="91"/>
      <c r="P154" s="90"/>
      <c r="Q154" s="90"/>
      <c r="R154" s="90"/>
      <c r="S154" s="90"/>
      <c r="T154" s="90"/>
      <c r="U154" s="90"/>
      <c r="V154" s="90"/>
      <c r="W154" s="90"/>
      <c r="X154" s="90"/>
      <c r="Y154" s="90"/>
      <c r="Z154" s="90"/>
      <c r="AA154" s="90"/>
      <c r="AB154" s="90"/>
      <c r="AC154" s="90"/>
      <c r="AD154" s="90"/>
      <c r="AE154" s="90"/>
      <c r="AF154" s="90"/>
      <c r="AG154" s="90"/>
      <c r="AH154" s="90"/>
      <c r="AI154" s="90"/>
      <c r="AJ154" s="90"/>
      <c r="AK154" s="90"/>
      <c r="AL154" s="90"/>
      <c r="AM154" s="90"/>
      <c r="AN154" s="92"/>
      <c r="AO154" s="92"/>
      <c r="AP154" s="93"/>
    </row>
    <row r="155" spans="1:42" x14ac:dyDescent="0.25">
      <c r="A155" s="94" t="s">
        <v>617</v>
      </c>
      <c r="B155" s="95"/>
      <c r="C155" s="95"/>
      <c r="D155" s="95"/>
      <c r="E155" s="95"/>
      <c r="F155" s="95"/>
      <c r="G155" s="95"/>
      <c r="H155" s="95"/>
      <c r="I155" s="95"/>
      <c r="J155" s="95"/>
      <c r="K155" s="95"/>
      <c r="L155" s="95"/>
      <c r="M155" s="95"/>
      <c r="N155" s="95"/>
      <c r="O155" s="96"/>
      <c r="P155" s="95"/>
      <c r="Q155" s="95"/>
      <c r="R155" s="95">
        <f>IF(char3ArtiToggle, 30%, 0)</f>
        <v>0.3</v>
      </c>
      <c r="S155" s="95">
        <f>IF(char3ArtiToggle, 30%, 0)</f>
        <v>0.3</v>
      </c>
      <c r="T155" s="95"/>
      <c r="U155" s="95"/>
      <c r="V155" s="95"/>
      <c r="W155" s="95"/>
      <c r="X155" s="95"/>
      <c r="Y155" s="95"/>
      <c r="Z155" s="95"/>
      <c r="AA155" s="95"/>
      <c r="AB155" s="95"/>
      <c r="AC155" s="95"/>
      <c r="AD155" s="95"/>
      <c r="AE155" s="95"/>
      <c r="AF155" s="95"/>
      <c r="AG155" s="95"/>
      <c r="AH155" s="95"/>
      <c r="AI155" s="95"/>
      <c r="AJ155" s="95"/>
      <c r="AK155" s="95"/>
      <c r="AL155" s="95"/>
      <c r="AM155" s="95"/>
      <c r="AN155" s="97"/>
      <c r="AO155" s="97"/>
      <c r="AP155" s="98"/>
    </row>
    <row r="156" spans="1:42" x14ac:dyDescent="0.25">
      <c r="A156" s="89" t="s">
        <v>618</v>
      </c>
      <c r="B156" s="90">
        <f>char3ArtiStacks*9%</f>
        <v>0</v>
      </c>
      <c r="C156" s="90"/>
      <c r="D156" s="90"/>
      <c r="E156" s="90"/>
      <c r="F156" s="90"/>
      <c r="G156" s="90"/>
      <c r="H156" s="90">
        <f>IF(char3ArtiStacks=2, 25%, 0)</f>
        <v>0</v>
      </c>
      <c r="I156" s="90"/>
      <c r="J156" s="90"/>
      <c r="K156" s="90"/>
      <c r="L156" s="90"/>
      <c r="M156" s="90"/>
      <c r="N156" s="90"/>
      <c r="O156" s="91"/>
      <c r="P156" s="90"/>
      <c r="Q156" s="90"/>
      <c r="R156" s="90"/>
      <c r="S156" s="90"/>
      <c r="T156" s="90"/>
      <c r="U156" s="90"/>
      <c r="V156" s="90"/>
      <c r="W156" s="90"/>
      <c r="X156" s="90"/>
      <c r="Y156" s="90"/>
      <c r="Z156" s="90"/>
      <c r="AA156" s="90"/>
      <c r="AB156" s="90"/>
      <c r="AC156" s="90"/>
      <c r="AD156" s="90"/>
      <c r="AE156" s="90"/>
      <c r="AF156" s="90"/>
      <c r="AG156" s="90"/>
      <c r="AH156" s="90"/>
      <c r="AI156" s="90"/>
      <c r="AJ156" s="90"/>
      <c r="AK156" s="90"/>
      <c r="AL156" s="90"/>
      <c r="AM156" s="90"/>
      <c r="AN156" s="92"/>
      <c r="AO156" s="92"/>
      <c r="AP156" s="93"/>
    </row>
    <row r="157" spans="1:42" x14ac:dyDescent="0.25">
      <c r="A157" s="94" t="s">
        <v>619</v>
      </c>
      <c r="B157" s="95">
        <f>IF(char3ArtiToggle, 20%, 0)</f>
        <v>0.2</v>
      </c>
      <c r="C157" s="95"/>
      <c r="D157" s="95"/>
      <c r="E157" s="95"/>
      <c r="F157" s="95"/>
      <c r="G157" s="95"/>
      <c r="H157" s="95"/>
      <c r="I157" s="95"/>
      <c r="J157" s="95"/>
      <c r="K157" s="95"/>
      <c r="L157" s="95"/>
      <c r="M157" s="95"/>
      <c r="N157" s="95"/>
      <c r="O157" s="96"/>
      <c r="P157" s="95"/>
      <c r="Q157" s="95"/>
      <c r="R157" s="95"/>
      <c r="S157" s="95"/>
      <c r="T157" s="95"/>
      <c r="U157" s="95"/>
      <c r="V157" s="95"/>
      <c r="W157" s="95"/>
      <c r="X157" s="95">
        <f>IF(char3ArtiToggle, 30%, 0)</f>
        <v>0.3</v>
      </c>
      <c r="Y157" s="95"/>
      <c r="Z157" s="95"/>
      <c r="AA157" s="95"/>
      <c r="AB157" s="95"/>
      <c r="AC157" s="95"/>
      <c r="AD157" s="95"/>
      <c r="AE157" s="95"/>
      <c r="AF157" s="95"/>
      <c r="AG157" s="95"/>
      <c r="AH157" s="95"/>
      <c r="AI157" s="95"/>
      <c r="AJ157" s="95"/>
      <c r="AK157" s="95"/>
      <c r="AL157" s="95"/>
      <c r="AM157" s="95"/>
      <c r="AN157" s="97"/>
      <c r="AO157" s="97"/>
      <c r="AP157" s="98"/>
    </row>
    <row r="158" spans="1:42" x14ac:dyDescent="0.25">
      <c r="A158" s="89" t="s">
        <v>620</v>
      </c>
      <c r="B158" s="90"/>
      <c r="C158" s="90"/>
      <c r="D158" s="90"/>
      <c r="E158" s="90"/>
      <c r="F158" s="90"/>
      <c r="G158" s="90"/>
      <c r="H158" s="90"/>
      <c r="I158" s="90"/>
      <c r="J158" s="90"/>
      <c r="K158" s="90"/>
      <c r="L158" s="90"/>
      <c r="M158" s="90"/>
      <c r="N158" s="90"/>
      <c r="O158" s="91"/>
      <c r="P158" s="90"/>
      <c r="Q158" s="90"/>
      <c r="R158" s="90">
        <f>IF(char3ArtiToggle, 50%, 0)</f>
        <v>0.5</v>
      </c>
      <c r="S158" s="90">
        <f>IF(char3ArtiToggle, 50%, 0)</f>
        <v>0.5</v>
      </c>
      <c r="T158" s="90">
        <f>IF(char3ArtiToggle, 50%, 0)</f>
        <v>0.5</v>
      </c>
      <c r="U158" s="90"/>
      <c r="V158" s="90"/>
      <c r="W158" s="90"/>
      <c r="X158" s="90"/>
      <c r="Y158" s="90"/>
      <c r="Z158" s="90"/>
      <c r="AA158" s="90"/>
      <c r="AB158" s="90"/>
      <c r="AC158" s="90"/>
      <c r="AD158" s="90"/>
      <c r="AE158" s="90"/>
      <c r="AF158" s="90"/>
      <c r="AG158" s="90"/>
      <c r="AH158" s="90"/>
      <c r="AI158" s="90"/>
      <c r="AJ158" s="90"/>
      <c r="AK158" s="90"/>
      <c r="AL158" s="90"/>
      <c r="AM158" s="90"/>
      <c r="AN158" s="92"/>
      <c r="AO158" s="92"/>
      <c r="AP158" s="93"/>
    </row>
    <row r="159" spans="1:42" x14ac:dyDescent="0.25">
      <c r="A159" s="94" t="s">
        <v>621</v>
      </c>
      <c r="B159" s="95"/>
      <c r="C159" s="95"/>
      <c r="D159" s="95"/>
      <c r="E159" s="95"/>
      <c r="F159" s="95"/>
      <c r="G159" s="95"/>
      <c r="H159" s="95"/>
      <c r="I159" s="95"/>
      <c r="J159" s="95"/>
      <c r="K159" s="95"/>
      <c r="L159" s="95"/>
      <c r="M159" s="95"/>
      <c r="N159" s="95"/>
      <c r="O159" s="96"/>
      <c r="P159" s="95"/>
      <c r="Q159" s="95"/>
      <c r="R159" s="95"/>
      <c r="S159" s="95"/>
      <c r="T159" s="95"/>
      <c r="U159" s="95"/>
      <c r="V159" s="95">
        <f ca="1">IF(char3FinalER*25%&gt;75%, 75%,char3FinalER*25%)</f>
        <v>0.34429999999999999</v>
      </c>
      <c r="W159" s="95"/>
      <c r="X159" s="95"/>
      <c r="Y159" s="95"/>
      <c r="Z159" s="95"/>
      <c r="AA159" s="95"/>
      <c r="AB159" s="95"/>
      <c r="AC159" s="95"/>
      <c r="AD159" s="95"/>
      <c r="AE159" s="95"/>
      <c r="AF159" s="95"/>
      <c r="AG159" s="95"/>
      <c r="AH159" s="95"/>
      <c r="AI159" s="95"/>
      <c r="AJ159" s="95"/>
      <c r="AK159" s="95"/>
      <c r="AL159" s="95"/>
      <c r="AM159" s="95"/>
      <c r="AN159" s="97"/>
      <c r="AO159" s="97"/>
      <c r="AP159" s="98"/>
    </row>
    <row r="160" spans="1:42" x14ac:dyDescent="0.25">
      <c r="A160" s="89" t="s">
        <v>622</v>
      </c>
      <c r="B160" s="90"/>
      <c r="C160" s="90"/>
      <c r="D160" s="90"/>
      <c r="E160" s="90"/>
      <c r="F160" s="90"/>
      <c r="G160" s="90"/>
      <c r="H160" s="90"/>
      <c r="I160" s="90"/>
      <c r="J160" s="90"/>
      <c r="K160" s="90"/>
      <c r="L160" s="90"/>
      <c r="M160" s="90"/>
      <c r="N160" s="90"/>
      <c r="O160" s="91"/>
      <c r="P160" s="90"/>
      <c r="Q160" s="90"/>
      <c r="R160" s="90"/>
      <c r="S160" s="90"/>
      <c r="T160" s="90"/>
      <c r="U160" s="90"/>
      <c r="V160" s="90"/>
      <c r="W160" s="90"/>
      <c r="X160" s="90"/>
      <c r="Y160" s="90"/>
      <c r="Z160" s="90"/>
      <c r="AA160" s="90"/>
      <c r="AB160" s="90"/>
      <c r="AC160" s="90"/>
      <c r="AD160" s="90"/>
      <c r="AE160" s="90"/>
      <c r="AF160" s="90"/>
      <c r="AG160" s="90"/>
      <c r="AH160" s="90"/>
      <c r="AI160" s="90"/>
      <c r="AJ160" s="90"/>
      <c r="AK160" s="90"/>
      <c r="AL160" s="90"/>
      <c r="AM160" s="90"/>
      <c r="AN160" s="92"/>
      <c r="AO160" s="92"/>
      <c r="AP160" s="93"/>
    </row>
    <row r="161" spans="1:42" x14ac:dyDescent="0.25">
      <c r="A161" s="84" t="s">
        <v>623</v>
      </c>
      <c r="B161" s="99"/>
      <c r="C161" s="99">
        <f>6%*char3ArtiStacks</f>
        <v>0</v>
      </c>
      <c r="D161" s="99"/>
      <c r="E161" s="99"/>
      <c r="F161" s="99"/>
      <c r="G161" s="99"/>
      <c r="H161" s="99"/>
      <c r="I161" s="99"/>
      <c r="J161" s="99">
        <f>6%*char3ArtiStacks</f>
        <v>0</v>
      </c>
      <c r="K161" s="99"/>
      <c r="L161" s="99"/>
      <c r="M161" s="99"/>
      <c r="N161" s="99"/>
      <c r="O161" s="100"/>
      <c r="P161" s="99"/>
      <c r="Q161" s="99"/>
      <c r="R161" s="99"/>
      <c r="S161" s="99"/>
      <c r="T161" s="99"/>
      <c r="U161" s="99"/>
      <c r="V161" s="99"/>
      <c r="W161" s="99"/>
      <c r="X161" s="99"/>
      <c r="Y161" s="99"/>
      <c r="Z161" s="99"/>
      <c r="AA161" s="99"/>
      <c r="AB161" s="99"/>
      <c r="AC161" s="99"/>
      <c r="AD161" s="99"/>
      <c r="AE161" s="99"/>
      <c r="AF161" s="99"/>
      <c r="AG161" s="99"/>
      <c r="AH161" s="99"/>
      <c r="AI161" s="99"/>
      <c r="AJ161" s="99"/>
      <c r="AK161" s="99"/>
      <c r="AL161" s="99"/>
      <c r="AM161" s="99"/>
      <c r="AN161" s="101"/>
      <c r="AO161" s="101"/>
      <c r="AP161" s="102"/>
    </row>
    <row r="163" spans="1:42" x14ac:dyDescent="0.25">
      <c r="A163" s="85" t="s">
        <v>571</v>
      </c>
      <c r="B163" s="86" t="s">
        <v>65</v>
      </c>
      <c r="C163" s="86" t="s">
        <v>66</v>
      </c>
      <c r="D163" s="87" t="s">
        <v>67</v>
      </c>
      <c r="E163" s="86" t="s">
        <v>413</v>
      </c>
      <c r="F163" s="86" t="s">
        <v>414</v>
      </c>
      <c r="G163" s="86" t="s">
        <v>68</v>
      </c>
      <c r="H163" s="86" t="s">
        <v>70</v>
      </c>
      <c r="I163" s="87" t="s">
        <v>71</v>
      </c>
      <c r="J163" s="86" t="s">
        <v>72</v>
      </c>
      <c r="K163" s="87" t="s">
        <v>73</v>
      </c>
      <c r="L163" s="87" t="s">
        <v>74</v>
      </c>
      <c r="M163" s="87" t="s">
        <v>75</v>
      </c>
      <c r="N163" s="87" t="s">
        <v>76</v>
      </c>
      <c r="O163" s="87" t="s">
        <v>69</v>
      </c>
      <c r="P163" s="87" t="s">
        <v>457</v>
      </c>
      <c r="Q163" s="87" t="s">
        <v>427</v>
      </c>
      <c r="R163" s="87" t="s">
        <v>77</v>
      </c>
      <c r="S163" s="87" t="s">
        <v>78</v>
      </c>
      <c r="T163" s="87" t="s">
        <v>79</v>
      </c>
      <c r="U163" s="87" t="s">
        <v>80</v>
      </c>
      <c r="V163" s="87" t="s">
        <v>81</v>
      </c>
      <c r="W163" s="86" t="s">
        <v>82</v>
      </c>
      <c r="X163" s="86" t="s">
        <v>458</v>
      </c>
      <c r="Y163" s="86" t="s">
        <v>83</v>
      </c>
      <c r="Z163" s="86" t="s">
        <v>84</v>
      </c>
      <c r="AA163" s="86" t="s">
        <v>85</v>
      </c>
      <c r="AB163" s="86" t="s">
        <v>87</v>
      </c>
      <c r="AC163" s="86" t="s">
        <v>86</v>
      </c>
      <c r="AD163" s="86" t="s">
        <v>88</v>
      </c>
      <c r="AE163" s="86" t="s">
        <v>89</v>
      </c>
      <c r="AF163" s="86" t="s">
        <v>90</v>
      </c>
      <c r="AG163" s="86" t="s">
        <v>459</v>
      </c>
      <c r="AH163" s="86" t="s">
        <v>460</v>
      </c>
      <c r="AI163" s="86" t="s">
        <v>461</v>
      </c>
      <c r="AJ163" s="86" t="s">
        <v>462</v>
      </c>
      <c r="AK163" s="86" t="s">
        <v>463</v>
      </c>
      <c r="AL163" s="86" t="s">
        <v>464</v>
      </c>
      <c r="AM163" s="86" t="s">
        <v>465</v>
      </c>
      <c r="AN163" s="87" t="s">
        <v>62</v>
      </c>
      <c r="AO163" s="87" t="s">
        <v>64</v>
      </c>
      <c r="AP163" s="88" t="s">
        <v>63</v>
      </c>
    </row>
    <row r="164" spans="1:42" x14ac:dyDescent="0.25">
      <c r="A164" s="89" t="s">
        <v>572</v>
      </c>
      <c r="B164" s="90"/>
      <c r="C164" s="90"/>
      <c r="D164" s="90"/>
      <c r="E164" s="90"/>
      <c r="F164" s="90"/>
      <c r="G164" s="90"/>
      <c r="H164" s="90"/>
      <c r="I164" s="90"/>
      <c r="J164" s="90">
        <v>0.15</v>
      </c>
      <c r="K164" s="90"/>
      <c r="L164" s="90"/>
      <c r="M164" s="90"/>
      <c r="N164" s="90"/>
      <c r="O164" s="91"/>
      <c r="P164" s="90"/>
      <c r="Q164" s="90"/>
      <c r="R164" s="90"/>
      <c r="S164" s="90"/>
      <c r="T164" s="90"/>
      <c r="U164" s="90"/>
      <c r="V164" s="90"/>
      <c r="W164" s="90"/>
      <c r="X164" s="90"/>
      <c r="Y164" s="90"/>
      <c r="Z164" s="90"/>
      <c r="AA164" s="90"/>
      <c r="AB164" s="90"/>
      <c r="AC164" s="90"/>
      <c r="AD164" s="90"/>
      <c r="AE164" s="90"/>
      <c r="AF164" s="90"/>
      <c r="AG164" s="90"/>
      <c r="AH164" s="90"/>
      <c r="AI164" s="90"/>
      <c r="AJ164" s="90"/>
      <c r="AK164" s="90"/>
      <c r="AL164" s="90"/>
      <c r="AM164" s="90"/>
      <c r="AN164" s="92"/>
      <c r="AO164" s="92"/>
      <c r="AP164" s="93"/>
    </row>
    <row r="165" spans="1:42" x14ac:dyDescent="0.25">
      <c r="A165" s="94" t="s">
        <v>573</v>
      </c>
      <c r="B165" s="95"/>
      <c r="C165" s="95"/>
      <c r="D165" s="95"/>
      <c r="E165" s="95">
        <v>0.12</v>
      </c>
      <c r="F165" s="95"/>
      <c r="G165" s="95"/>
      <c r="H165" s="95"/>
      <c r="I165" s="95"/>
      <c r="J165" s="95"/>
      <c r="K165" s="95"/>
      <c r="L165" s="95"/>
      <c r="M165" s="95"/>
      <c r="N165" s="95"/>
      <c r="O165" s="96"/>
      <c r="P165" s="95"/>
      <c r="Q165" s="95"/>
      <c r="R165" s="95"/>
      <c r="S165" s="95"/>
      <c r="T165" s="95"/>
      <c r="U165" s="95"/>
      <c r="V165" s="95"/>
      <c r="W165" s="95"/>
      <c r="X165" s="95"/>
      <c r="Y165" s="95"/>
      <c r="Z165" s="95"/>
      <c r="AA165" s="95"/>
      <c r="AB165" s="95"/>
      <c r="AC165" s="95"/>
      <c r="AD165" s="95"/>
      <c r="AE165" s="95"/>
      <c r="AF165" s="95"/>
      <c r="AG165" s="95"/>
      <c r="AH165" s="95"/>
      <c r="AI165" s="95"/>
      <c r="AJ165" s="95"/>
      <c r="AK165" s="95"/>
      <c r="AL165" s="95"/>
      <c r="AM165" s="95"/>
      <c r="AN165" s="97"/>
      <c r="AO165" s="97"/>
      <c r="AP165" s="98"/>
    </row>
    <row r="166" spans="1:42" x14ac:dyDescent="0.25">
      <c r="A166" s="89" t="s">
        <v>574</v>
      </c>
      <c r="B166" s="90"/>
      <c r="C166" s="90"/>
      <c r="D166" s="90"/>
      <c r="E166" s="90"/>
      <c r="F166" s="90"/>
      <c r="G166" s="90"/>
      <c r="H166" s="90">
        <v>0.25</v>
      </c>
      <c r="I166" s="90"/>
      <c r="J166" s="90"/>
      <c r="K166" s="90"/>
      <c r="L166" s="90"/>
      <c r="M166" s="90"/>
      <c r="N166" s="90"/>
      <c r="O166" s="91"/>
      <c r="P166" s="90"/>
      <c r="Q166" s="90"/>
      <c r="R166" s="90"/>
      <c r="S166" s="90"/>
      <c r="T166" s="90"/>
      <c r="U166" s="90"/>
      <c r="V166" s="90"/>
      <c r="W166" s="90"/>
      <c r="X166" s="90"/>
      <c r="Y166" s="90"/>
      <c r="Z166" s="90"/>
      <c r="AA166" s="90"/>
      <c r="AB166" s="90"/>
      <c r="AC166" s="90"/>
      <c r="AD166" s="90"/>
      <c r="AE166" s="90"/>
      <c r="AF166" s="90"/>
      <c r="AG166" s="90"/>
      <c r="AH166" s="90"/>
      <c r="AI166" s="90"/>
      <c r="AJ166" s="90"/>
      <c r="AK166" s="90"/>
      <c r="AL166" s="90"/>
      <c r="AM166" s="90"/>
      <c r="AN166" s="92"/>
      <c r="AO166" s="92"/>
      <c r="AP166" s="93"/>
    </row>
    <row r="167" spans="1:42" x14ac:dyDescent="0.25">
      <c r="A167" s="94" t="s">
        <v>575</v>
      </c>
      <c r="B167" s="95">
        <v>0.18</v>
      </c>
      <c r="C167" s="95"/>
      <c r="D167" s="95"/>
      <c r="E167" s="95"/>
      <c r="F167" s="95"/>
      <c r="G167" s="95"/>
      <c r="H167" s="95"/>
      <c r="I167" s="95"/>
      <c r="J167" s="95"/>
      <c r="K167" s="95"/>
      <c r="L167" s="95"/>
      <c r="M167" s="95"/>
      <c r="N167" s="95"/>
      <c r="O167" s="96"/>
      <c r="P167" s="95"/>
      <c r="Q167" s="95"/>
      <c r="R167" s="95"/>
      <c r="S167" s="95"/>
      <c r="T167" s="95"/>
      <c r="U167" s="95"/>
      <c r="V167" s="95"/>
      <c r="W167" s="95"/>
      <c r="X167" s="95"/>
      <c r="Y167" s="95"/>
      <c r="Z167" s="95"/>
      <c r="AA167" s="95"/>
      <c r="AB167" s="95"/>
      <c r="AC167" s="95"/>
      <c r="AD167" s="95"/>
      <c r="AE167" s="95"/>
      <c r="AF167" s="95"/>
      <c r="AG167" s="95"/>
      <c r="AH167" s="95"/>
      <c r="AI167" s="95"/>
      <c r="AJ167" s="95"/>
      <c r="AK167" s="95"/>
      <c r="AL167" s="95"/>
      <c r="AM167" s="95"/>
      <c r="AN167" s="97"/>
      <c r="AO167" s="97"/>
      <c r="AP167" s="98"/>
    </row>
    <row r="168" spans="1:42" x14ac:dyDescent="0.25">
      <c r="A168" s="89" t="s">
        <v>576</v>
      </c>
      <c r="B168" s="90"/>
      <c r="C168" s="90"/>
      <c r="D168" s="90"/>
      <c r="E168" s="90"/>
      <c r="F168" s="90"/>
      <c r="G168" s="90"/>
      <c r="H168" s="90"/>
      <c r="I168" s="90"/>
      <c r="J168" s="90"/>
      <c r="K168" s="90">
        <v>0.15</v>
      </c>
      <c r="L168" s="90"/>
      <c r="M168" s="90"/>
      <c r="N168" s="90"/>
      <c r="O168" s="91"/>
      <c r="P168" s="90"/>
      <c r="Q168" s="90"/>
      <c r="R168" s="90"/>
      <c r="S168" s="90"/>
      <c r="T168" s="90"/>
      <c r="U168" s="90"/>
      <c r="V168" s="90"/>
      <c r="W168" s="90"/>
      <c r="X168" s="90"/>
      <c r="Y168" s="90"/>
      <c r="Z168" s="90"/>
      <c r="AA168" s="90"/>
      <c r="AB168" s="90"/>
      <c r="AC168" s="90"/>
      <c r="AD168" s="90"/>
      <c r="AE168" s="90"/>
      <c r="AF168" s="90"/>
      <c r="AG168" s="90"/>
      <c r="AH168" s="90"/>
      <c r="AI168" s="90"/>
      <c r="AJ168" s="90"/>
      <c r="AK168" s="90"/>
      <c r="AL168" s="90"/>
      <c r="AM168" s="90"/>
      <c r="AN168" s="92"/>
      <c r="AO168" s="92"/>
      <c r="AP168" s="93"/>
    </row>
    <row r="169" spans="1:42" x14ac:dyDescent="0.25">
      <c r="A169" s="94" t="s">
        <v>577</v>
      </c>
      <c r="B169" s="95"/>
      <c r="C169" s="95">
        <v>0.3</v>
      </c>
      <c r="D169" s="95"/>
      <c r="E169" s="95"/>
      <c r="F169" s="95"/>
      <c r="G169" s="95"/>
      <c r="H169" s="95"/>
      <c r="I169" s="95"/>
      <c r="J169" s="95"/>
      <c r="K169" s="95"/>
      <c r="L169" s="95"/>
      <c r="M169" s="95"/>
      <c r="N169" s="95"/>
      <c r="O169" s="96"/>
      <c r="P169" s="95"/>
      <c r="Q169" s="95"/>
      <c r="R169" s="95"/>
      <c r="S169" s="95"/>
      <c r="T169" s="95"/>
      <c r="U169" s="95"/>
      <c r="V169" s="95"/>
      <c r="W169" s="95"/>
      <c r="X169" s="95"/>
      <c r="Y169" s="95"/>
      <c r="Z169" s="95"/>
      <c r="AA169" s="95"/>
      <c r="AB169" s="95"/>
      <c r="AC169" s="95"/>
      <c r="AD169" s="95"/>
      <c r="AE169" s="95"/>
      <c r="AF169" s="95"/>
      <c r="AG169" s="95"/>
      <c r="AH169" s="95"/>
      <c r="AI169" s="95"/>
      <c r="AJ169" s="95"/>
      <c r="AK169" s="95"/>
      <c r="AL169" s="95"/>
      <c r="AM169" s="95"/>
      <c r="AN169" s="97"/>
      <c r="AO169" s="97"/>
      <c r="AP169" s="98"/>
    </row>
    <row r="170" spans="1:42" x14ac:dyDescent="0.25">
      <c r="A170" s="89" t="s">
        <v>578</v>
      </c>
      <c r="B170" s="90"/>
      <c r="C170" s="90"/>
      <c r="D170" s="90"/>
      <c r="E170" s="90"/>
      <c r="F170" s="90"/>
      <c r="G170" s="90"/>
      <c r="H170" s="90"/>
      <c r="I170" s="90"/>
      <c r="J170" s="90"/>
      <c r="K170" s="90"/>
      <c r="L170" s="90"/>
      <c r="M170" s="90"/>
      <c r="N170" s="90"/>
      <c r="O170" s="91"/>
      <c r="P170" s="90"/>
      <c r="Q170" s="90"/>
      <c r="R170" s="90"/>
      <c r="S170" s="90"/>
      <c r="T170" s="90"/>
      <c r="U170" s="90">
        <v>0.2</v>
      </c>
      <c r="V170" s="90"/>
      <c r="W170" s="90"/>
      <c r="X170" s="90"/>
      <c r="Y170" s="90"/>
      <c r="Z170" s="90"/>
      <c r="AA170" s="90"/>
      <c r="AB170" s="90"/>
      <c r="AC170" s="90"/>
      <c r="AD170" s="90"/>
      <c r="AE170" s="90"/>
      <c r="AF170" s="90"/>
      <c r="AG170" s="90"/>
      <c r="AH170" s="90"/>
      <c r="AI170" s="90"/>
      <c r="AJ170" s="90"/>
      <c r="AK170" s="90"/>
      <c r="AL170" s="90"/>
      <c r="AM170" s="90"/>
      <c r="AN170" s="92"/>
      <c r="AO170" s="92"/>
      <c r="AP170" s="93"/>
    </row>
    <row r="171" spans="1:42" x14ac:dyDescent="0.25">
      <c r="A171" s="94" t="s">
        <v>579</v>
      </c>
      <c r="B171" s="95">
        <v>0.18</v>
      </c>
      <c r="C171" s="95"/>
      <c r="D171" s="95"/>
      <c r="E171" s="95"/>
      <c r="F171" s="95"/>
      <c r="G171" s="95"/>
      <c r="H171" s="95"/>
      <c r="I171" s="95"/>
      <c r="J171" s="95"/>
      <c r="K171" s="95"/>
      <c r="L171" s="95"/>
      <c r="M171" s="95"/>
      <c r="N171" s="95"/>
      <c r="O171" s="96"/>
      <c r="P171" s="95"/>
      <c r="Q171" s="95"/>
      <c r="R171" s="95"/>
      <c r="S171" s="95"/>
      <c r="T171" s="95"/>
      <c r="U171" s="95"/>
      <c r="V171" s="95"/>
      <c r="W171" s="95"/>
      <c r="X171" s="95"/>
      <c r="Y171" s="95"/>
      <c r="Z171" s="95"/>
      <c r="AA171" s="95"/>
      <c r="AB171" s="95"/>
      <c r="AC171" s="95"/>
      <c r="AD171" s="95"/>
      <c r="AE171" s="95"/>
      <c r="AF171" s="95"/>
      <c r="AG171" s="95"/>
      <c r="AH171" s="95"/>
      <c r="AI171" s="95"/>
      <c r="AJ171" s="95"/>
      <c r="AK171" s="95"/>
      <c r="AL171" s="95"/>
      <c r="AM171" s="95"/>
      <c r="AN171" s="97"/>
      <c r="AO171" s="97"/>
      <c r="AP171" s="98"/>
    </row>
    <row r="172" spans="1:42" x14ac:dyDescent="0.25">
      <c r="A172" s="89" t="s">
        <v>580</v>
      </c>
      <c r="B172" s="90"/>
      <c r="C172" s="90"/>
      <c r="D172" s="90"/>
      <c r="E172" s="90"/>
      <c r="F172" s="90"/>
      <c r="G172" s="90"/>
      <c r="H172" s="90"/>
      <c r="I172" s="90"/>
      <c r="J172" s="90"/>
      <c r="K172" s="90"/>
      <c r="L172" s="90"/>
      <c r="M172" s="90"/>
      <c r="N172" s="90"/>
      <c r="O172" s="91">
        <v>80</v>
      </c>
      <c r="P172" s="90"/>
      <c r="Q172" s="90"/>
      <c r="R172" s="90"/>
      <c r="S172" s="90"/>
      <c r="T172" s="90"/>
      <c r="U172" s="90"/>
      <c r="V172" s="90"/>
      <c r="W172" s="90"/>
      <c r="X172" s="90"/>
      <c r="Y172" s="90"/>
      <c r="Z172" s="90"/>
      <c r="AA172" s="90"/>
      <c r="AB172" s="90"/>
      <c r="AC172" s="90"/>
      <c r="AD172" s="90"/>
      <c r="AE172" s="90"/>
      <c r="AF172" s="90"/>
      <c r="AG172" s="90"/>
      <c r="AH172" s="90"/>
      <c r="AI172" s="90"/>
      <c r="AJ172" s="90"/>
      <c r="AK172" s="90"/>
      <c r="AL172" s="90"/>
      <c r="AM172" s="90"/>
      <c r="AN172" s="92"/>
      <c r="AO172" s="92"/>
      <c r="AP172" s="93"/>
    </row>
    <row r="173" spans="1:42" x14ac:dyDescent="0.25">
      <c r="A173" s="94" t="s">
        <v>581</v>
      </c>
      <c r="B173" s="95"/>
      <c r="C173" s="95"/>
      <c r="D173" s="95"/>
      <c r="E173" s="95"/>
      <c r="F173" s="95"/>
      <c r="G173" s="95"/>
      <c r="H173" s="95"/>
      <c r="I173" s="95"/>
      <c r="J173" s="95"/>
      <c r="K173" s="95"/>
      <c r="L173" s="95"/>
      <c r="M173" s="95"/>
      <c r="N173" s="95"/>
      <c r="O173" s="96"/>
      <c r="P173" s="95"/>
      <c r="Q173" s="95"/>
      <c r="R173" s="95"/>
      <c r="S173" s="95"/>
      <c r="T173" s="95"/>
      <c r="U173" s="95"/>
      <c r="V173" s="95"/>
      <c r="W173" s="95"/>
      <c r="X173" s="95"/>
      <c r="Y173" s="95"/>
      <c r="Z173" s="95"/>
      <c r="AA173" s="95"/>
      <c r="AB173" s="95"/>
      <c r="AC173" s="95"/>
      <c r="AD173" s="95"/>
      <c r="AE173" s="95"/>
      <c r="AF173" s="95"/>
      <c r="AG173" s="95"/>
      <c r="AH173" s="95"/>
      <c r="AI173" s="95">
        <v>0.4</v>
      </c>
      <c r="AJ173" s="95"/>
      <c r="AK173" s="95"/>
      <c r="AL173" s="95"/>
      <c r="AM173" s="95"/>
      <c r="AN173" s="97"/>
      <c r="AO173" s="97"/>
      <c r="AP173" s="98"/>
    </row>
    <row r="174" spans="1:42" x14ac:dyDescent="0.25">
      <c r="A174" s="89" t="s">
        <v>582</v>
      </c>
      <c r="B174" s="90"/>
      <c r="C174" s="90"/>
      <c r="D174" s="90"/>
      <c r="E174" s="90"/>
      <c r="F174" s="90"/>
      <c r="G174" s="90"/>
      <c r="H174" s="90"/>
      <c r="I174" s="90"/>
      <c r="J174" s="90"/>
      <c r="K174" s="90"/>
      <c r="L174" s="90"/>
      <c r="M174" s="90"/>
      <c r="N174" s="90"/>
      <c r="O174" s="91"/>
      <c r="P174" s="90"/>
      <c r="Q174" s="90">
        <v>0.15</v>
      </c>
      <c r="R174" s="90"/>
      <c r="S174" s="90"/>
      <c r="T174" s="90"/>
      <c r="U174" s="90"/>
      <c r="V174" s="90"/>
      <c r="W174" s="90"/>
      <c r="X174" s="90"/>
      <c r="Y174" s="90"/>
      <c r="Z174" s="90"/>
      <c r="AA174" s="90"/>
      <c r="AB174" s="90"/>
      <c r="AC174" s="90"/>
      <c r="AD174" s="90"/>
      <c r="AE174" s="90"/>
      <c r="AF174" s="90"/>
      <c r="AG174" s="90"/>
      <c r="AH174" s="90"/>
      <c r="AI174" s="90"/>
      <c r="AJ174" s="90"/>
      <c r="AK174" s="90"/>
      <c r="AL174" s="90"/>
      <c r="AM174" s="90"/>
      <c r="AN174" s="92"/>
      <c r="AO174" s="92"/>
      <c r="AP174" s="93"/>
    </row>
    <row r="175" spans="1:42" x14ac:dyDescent="0.25">
      <c r="A175" s="94" t="s">
        <v>583</v>
      </c>
      <c r="B175" s="95"/>
      <c r="C175" s="95"/>
      <c r="D175" s="95"/>
      <c r="E175" s="95"/>
      <c r="F175" s="95"/>
      <c r="G175" s="95"/>
      <c r="H175" s="95"/>
      <c r="I175" s="95"/>
      <c r="J175" s="95"/>
      <c r="K175" s="95"/>
      <c r="L175" s="95"/>
      <c r="M175" s="95"/>
      <c r="N175" s="95"/>
      <c r="O175" s="96"/>
      <c r="P175" s="95"/>
      <c r="Q175" s="95"/>
      <c r="R175" s="95">
        <v>0.15</v>
      </c>
      <c r="S175" s="95">
        <v>0.15</v>
      </c>
      <c r="T175" s="95"/>
      <c r="U175" s="95"/>
      <c r="V175" s="95"/>
      <c r="W175" s="95"/>
      <c r="X175" s="95"/>
      <c r="Y175" s="95"/>
      <c r="Z175" s="95"/>
      <c r="AA175" s="95"/>
      <c r="AB175" s="95"/>
      <c r="AC175" s="95"/>
      <c r="AD175" s="95"/>
      <c r="AE175" s="95"/>
      <c r="AF175" s="95"/>
      <c r="AG175" s="95"/>
      <c r="AH175" s="95"/>
      <c r="AI175" s="95"/>
      <c r="AJ175" s="95"/>
      <c r="AK175" s="95"/>
      <c r="AL175" s="95"/>
      <c r="AM175" s="95"/>
      <c r="AN175" s="97"/>
      <c r="AO175" s="97"/>
      <c r="AP175" s="98"/>
    </row>
    <row r="176" spans="1:42" x14ac:dyDescent="0.25">
      <c r="A176" s="89" t="s">
        <v>584</v>
      </c>
      <c r="B176" s="90"/>
      <c r="C176" s="90"/>
      <c r="D176" s="90"/>
      <c r="E176" s="90"/>
      <c r="F176" s="90"/>
      <c r="G176" s="90"/>
      <c r="H176" s="90"/>
      <c r="I176" s="90"/>
      <c r="J176" s="90"/>
      <c r="K176" s="90"/>
      <c r="L176" s="90"/>
      <c r="M176" s="90"/>
      <c r="N176" s="90"/>
      <c r="O176" s="91"/>
      <c r="P176" s="90"/>
      <c r="Q176" s="90"/>
      <c r="R176" s="90"/>
      <c r="S176" s="90"/>
      <c r="T176" s="90"/>
      <c r="U176" s="90"/>
      <c r="V176" s="90">
        <v>0.2</v>
      </c>
      <c r="W176" s="90"/>
      <c r="X176" s="90"/>
      <c r="Y176" s="90"/>
      <c r="Z176" s="90"/>
      <c r="AA176" s="90"/>
      <c r="AB176" s="90"/>
      <c r="AC176" s="90"/>
      <c r="AD176" s="90"/>
      <c r="AE176" s="90"/>
      <c r="AF176" s="90"/>
      <c r="AG176" s="90"/>
      <c r="AH176" s="90"/>
      <c r="AI176" s="90"/>
      <c r="AJ176" s="90"/>
      <c r="AK176" s="90"/>
      <c r="AL176" s="90"/>
      <c r="AM176" s="90"/>
      <c r="AN176" s="92"/>
      <c r="AO176" s="92"/>
      <c r="AP176" s="93"/>
    </row>
    <row r="177" spans="1:42" x14ac:dyDescent="0.25">
      <c r="A177" s="94" t="s">
        <v>585</v>
      </c>
      <c r="B177" s="95"/>
      <c r="C177" s="95"/>
      <c r="D177" s="95"/>
      <c r="E177" s="95"/>
      <c r="F177" s="95"/>
      <c r="G177" s="95"/>
      <c r="H177" s="95"/>
      <c r="I177" s="95"/>
      <c r="J177" s="95"/>
      <c r="K177" s="95"/>
      <c r="L177" s="95"/>
      <c r="M177" s="95"/>
      <c r="N177" s="95"/>
      <c r="O177" s="96"/>
      <c r="P177" s="95"/>
      <c r="Q177" s="95"/>
      <c r="R177" s="95"/>
      <c r="S177" s="95"/>
      <c r="T177" s="95"/>
      <c r="U177" s="95"/>
      <c r="V177" s="95"/>
      <c r="W177" s="95"/>
      <c r="X177" s="95">
        <v>0.35</v>
      </c>
      <c r="Y177" s="95"/>
      <c r="Z177" s="95"/>
      <c r="AA177" s="95"/>
      <c r="AB177" s="95"/>
      <c r="AC177" s="95"/>
      <c r="AD177" s="95"/>
      <c r="AE177" s="95"/>
      <c r="AF177" s="95"/>
      <c r="AG177" s="95"/>
      <c r="AH177" s="95"/>
      <c r="AI177" s="95"/>
      <c r="AJ177" s="95"/>
      <c r="AK177" s="95"/>
      <c r="AL177" s="95"/>
      <c r="AM177" s="95"/>
      <c r="AN177" s="97"/>
      <c r="AO177" s="97"/>
      <c r="AP177" s="98"/>
    </row>
    <row r="178" spans="1:42" x14ac:dyDescent="0.25">
      <c r="A178" s="89" t="s">
        <v>586</v>
      </c>
      <c r="B178" s="90"/>
      <c r="C178" s="90"/>
      <c r="D178" s="90"/>
      <c r="E178" s="90"/>
      <c r="F178" s="90"/>
      <c r="G178" s="90"/>
      <c r="H178" s="90"/>
      <c r="I178" s="90"/>
      <c r="J178" s="90"/>
      <c r="K178" s="90"/>
      <c r="L178" s="90"/>
      <c r="M178" s="90"/>
      <c r="N178" s="90">
        <v>0.15</v>
      </c>
      <c r="O178" s="91"/>
      <c r="P178" s="90"/>
      <c r="Q178" s="90"/>
      <c r="R178" s="90"/>
      <c r="S178" s="90"/>
      <c r="T178" s="90"/>
      <c r="U178" s="90"/>
      <c r="V178" s="90"/>
      <c r="W178" s="90"/>
      <c r="X178" s="90"/>
      <c r="Y178" s="90"/>
      <c r="Z178" s="90"/>
      <c r="AA178" s="90"/>
      <c r="AB178" s="90"/>
      <c r="AC178" s="90"/>
      <c r="AD178" s="90"/>
      <c r="AE178" s="90"/>
      <c r="AF178" s="90"/>
      <c r="AG178" s="90"/>
      <c r="AH178" s="90"/>
      <c r="AI178" s="90"/>
      <c r="AJ178" s="90"/>
      <c r="AK178" s="90"/>
      <c r="AL178" s="90"/>
      <c r="AM178" s="90"/>
      <c r="AN178" s="92"/>
      <c r="AO178" s="92"/>
      <c r="AP178" s="93"/>
    </row>
    <row r="179" spans="1:42" x14ac:dyDescent="0.25">
      <c r="A179" s="94" t="s">
        <v>587</v>
      </c>
      <c r="B179" s="95"/>
      <c r="C179" s="95"/>
      <c r="D179" s="95"/>
      <c r="E179" s="95"/>
      <c r="F179" s="95"/>
      <c r="G179" s="95"/>
      <c r="H179" s="95"/>
      <c r="I179" s="95"/>
      <c r="J179" s="95"/>
      <c r="K179" s="95"/>
      <c r="L179" s="95"/>
      <c r="M179" s="95"/>
      <c r="N179" s="95"/>
      <c r="O179" s="96"/>
      <c r="P179" s="95"/>
      <c r="Q179" s="95"/>
      <c r="R179" s="95"/>
      <c r="S179" s="95"/>
      <c r="T179" s="95"/>
      <c r="U179" s="95"/>
      <c r="V179" s="95"/>
      <c r="W179" s="95"/>
      <c r="X179" s="95"/>
      <c r="Y179" s="95"/>
      <c r="Z179" s="95"/>
      <c r="AA179" s="95"/>
      <c r="AB179" s="95"/>
      <c r="AC179" s="95"/>
      <c r="AD179" s="95"/>
      <c r="AE179" s="95"/>
      <c r="AF179" s="95"/>
      <c r="AG179" s="95"/>
      <c r="AH179" s="95"/>
      <c r="AI179" s="95"/>
      <c r="AJ179" s="95"/>
      <c r="AK179" s="95"/>
      <c r="AL179" s="95">
        <v>0.4</v>
      </c>
      <c r="AM179" s="95"/>
      <c r="AN179" s="97"/>
      <c r="AO179" s="97"/>
      <c r="AP179" s="98"/>
    </row>
    <row r="180" spans="1:42" x14ac:dyDescent="0.25">
      <c r="A180" s="89" t="s">
        <v>588</v>
      </c>
      <c r="B180" s="90"/>
      <c r="C180" s="90"/>
      <c r="D180" s="90"/>
      <c r="E180" s="90"/>
      <c r="F180" s="90"/>
      <c r="G180" s="90"/>
      <c r="H180" s="90"/>
      <c r="I180" s="90">
        <v>0.15</v>
      </c>
      <c r="J180" s="90"/>
      <c r="K180" s="90"/>
      <c r="L180" s="90"/>
      <c r="M180" s="90"/>
      <c r="N180" s="90"/>
      <c r="O180" s="91"/>
      <c r="P180" s="90"/>
      <c r="Q180" s="90"/>
      <c r="R180" s="90"/>
      <c r="S180" s="90"/>
      <c r="T180" s="90"/>
      <c r="U180" s="90"/>
      <c r="V180" s="90"/>
      <c r="W180" s="90"/>
      <c r="X180" s="90"/>
      <c r="Y180" s="90"/>
      <c r="Z180" s="90"/>
      <c r="AA180" s="90"/>
      <c r="AB180" s="90"/>
      <c r="AC180" s="90"/>
      <c r="AD180" s="90"/>
      <c r="AE180" s="90"/>
      <c r="AF180" s="90"/>
      <c r="AG180" s="90"/>
      <c r="AH180" s="90"/>
      <c r="AI180" s="90"/>
      <c r="AJ180" s="90"/>
      <c r="AK180" s="90"/>
      <c r="AL180" s="90"/>
      <c r="AM180" s="90"/>
      <c r="AN180" s="92"/>
      <c r="AO180" s="92"/>
      <c r="AP180" s="93"/>
    </row>
    <row r="181" spans="1:42" x14ac:dyDescent="0.25">
      <c r="A181" s="94" t="s">
        <v>589</v>
      </c>
      <c r="B181" s="95"/>
      <c r="C181" s="95"/>
      <c r="D181" s="95"/>
      <c r="E181" s="95"/>
      <c r="F181" s="95"/>
      <c r="G181" s="95"/>
      <c r="H181" s="95"/>
      <c r="I181" s="95"/>
      <c r="J181" s="95"/>
      <c r="K181" s="95"/>
      <c r="L181" s="95"/>
      <c r="M181" s="95"/>
      <c r="N181" s="95"/>
      <c r="O181" s="96">
        <v>80</v>
      </c>
      <c r="P181" s="95"/>
      <c r="Q181" s="95"/>
      <c r="R181" s="95"/>
      <c r="S181" s="95"/>
      <c r="T181" s="95"/>
      <c r="U181" s="95"/>
      <c r="V181" s="95"/>
      <c r="W181" s="95"/>
      <c r="X181" s="95"/>
      <c r="Y181" s="95"/>
      <c r="Z181" s="95"/>
      <c r="AA181" s="95"/>
      <c r="AB181" s="95"/>
      <c r="AC181" s="95"/>
      <c r="AD181" s="95"/>
      <c r="AE181" s="95"/>
      <c r="AF181" s="95"/>
      <c r="AG181" s="95"/>
      <c r="AH181" s="95"/>
      <c r="AI181" s="95"/>
      <c r="AJ181" s="95"/>
      <c r="AK181" s="95"/>
      <c r="AL181" s="95"/>
      <c r="AM181" s="95"/>
      <c r="AN181" s="97"/>
      <c r="AO181" s="97"/>
      <c r="AP181" s="98"/>
    </row>
    <row r="182" spans="1:42" x14ac:dyDescent="0.25">
      <c r="A182" s="89" t="s">
        <v>590</v>
      </c>
      <c r="B182" s="90"/>
      <c r="C182" s="90"/>
      <c r="D182" s="90"/>
      <c r="E182" s="90"/>
      <c r="F182" s="90"/>
      <c r="G182" s="90"/>
      <c r="H182" s="90"/>
      <c r="I182" s="90"/>
      <c r="J182" s="90"/>
      <c r="K182" s="90"/>
      <c r="L182" s="90">
        <v>0.15</v>
      </c>
      <c r="M182" s="90"/>
      <c r="N182" s="90"/>
      <c r="O182" s="91"/>
      <c r="P182" s="90"/>
      <c r="Q182" s="90"/>
      <c r="R182" s="90"/>
      <c r="S182" s="90"/>
      <c r="T182" s="90"/>
      <c r="U182" s="90"/>
      <c r="V182" s="90"/>
      <c r="W182" s="90"/>
      <c r="X182" s="90"/>
      <c r="Y182" s="90"/>
      <c r="Z182" s="90"/>
      <c r="AA182" s="90"/>
      <c r="AB182" s="90"/>
      <c r="AC182" s="90"/>
      <c r="AD182" s="90"/>
      <c r="AE182" s="90"/>
      <c r="AF182" s="90"/>
      <c r="AG182" s="90"/>
      <c r="AH182" s="90"/>
      <c r="AI182" s="90"/>
      <c r="AJ182" s="90"/>
      <c r="AK182" s="90"/>
      <c r="AL182" s="90"/>
      <c r="AM182" s="90"/>
      <c r="AN182" s="92"/>
      <c r="AO182" s="92"/>
      <c r="AP182" s="93"/>
    </row>
    <row r="183" spans="1:42" x14ac:dyDescent="0.25">
      <c r="A183" s="94" t="s">
        <v>591</v>
      </c>
      <c r="B183" s="95"/>
      <c r="C183" s="95"/>
      <c r="D183" s="95"/>
      <c r="E183" s="95"/>
      <c r="F183" s="95"/>
      <c r="G183" s="95"/>
      <c r="H183" s="95"/>
      <c r="I183" s="95"/>
      <c r="J183" s="95"/>
      <c r="K183" s="95"/>
      <c r="L183" s="95"/>
      <c r="M183" s="95">
        <v>0.15</v>
      </c>
      <c r="N183" s="95"/>
      <c r="O183" s="96"/>
      <c r="P183" s="95"/>
      <c r="Q183" s="95"/>
      <c r="R183" s="95"/>
      <c r="S183" s="95"/>
      <c r="T183" s="95"/>
      <c r="U183" s="95"/>
      <c r="V183" s="95"/>
      <c r="W183" s="95"/>
      <c r="X183" s="95"/>
      <c r="Y183" s="95"/>
      <c r="Z183" s="95"/>
      <c r="AA183" s="95"/>
      <c r="AB183" s="95"/>
      <c r="AC183" s="95"/>
      <c r="AD183" s="95"/>
      <c r="AE183" s="95"/>
      <c r="AF183" s="95"/>
      <c r="AG183" s="95"/>
      <c r="AH183" s="95"/>
      <c r="AI183" s="95"/>
      <c r="AJ183" s="95"/>
      <c r="AK183" s="95"/>
      <c r="AL183" s="95"/>
      <c r="AM183" s="95"/>
      <c r="AN183" s="97"/>
      <c r="AO183" s="97"/>
      <c r="AP183" s="98"/>
    </row>
    <row r="184" spans="1:42" x14ac:dyDescent="0.25">
      <c r="A184" s="89" t="s">
        <v>592</v>
      </c>
      <c r="B184" s="90"/>
      <c r="C184" s="90"/>
      <c r="D184" s="90"/>
      <c r="E184" s="90"/>
      <c r="F184" s="90"/>
      <c r="G184" s="90"/>
      <c r="H184" s="90">
        <v>0.25</v>
      </c>
      <c r="I184" s="90"/>
      <c r="J184" s="90"/>
      <c r="K184" s="90"/>
      <c r="L184" s="90"/>
      <c r="M184" s="90"/>
      <c r="N184" s="90"/>
      <c r="O184" s="91"/>
      <c r="P184" s="90"/>
      <c r="Q184" s="90"/>
      <c r="R184" s="90"/>
      <c r="S184" s="90"/>
      <c r="T184" s="90"/>
      <c r="U184" s="90"/>
      <c r="V184" s="90"/>
      <c r="W184" s="90"/>
      <c r="X184" s="90"/>
      <c r="Y184" s="90"/>
      <c r="Z184" s="90"/>
      <c r="AA184" s="90"/>
      <c r="AB184" s="90"/>
      <c r="AC184" s="90"/>
      <c r="AD184" s="90"/>
      <c r="AE184" s="90"/>
      <c r="AF184" s="90"/>
      <c r="AG184" s="90"/>
      <c r="AH184" s="90"/>
      <c r="AI184" s="90"/>
      <c r="AJ184" s="90"/>
      <c r="AK184" s="90"/>
      <c r="AL184" s="90"/>
      <c r="AM184" s="90"/>
      <c r="AN184" s="92"/>
      <c r="AO184" s="92"/>
      <c r="AP184" s="93"/>
    </row>
    <row r="185" spans="1:42" x14ac:dyDescent="0.25">
      <c r="A185" s="94" t="s">
        <v>593</v>
      </c>
      <c r="B185" s="95"/>
      <c r="C185" s="95"/>
      <c r="D185" s="95">
        <v>0.2</v>
      </c>
      <c r="E185" s="95"/>
      <c r="F185" s="95"/>
      <c r="G185" s="95"/>
      <c r="H185" s="95"/>
      <c r="I185" s="95"/>
      <c r="J185" s="95"/>
      <c r="K185" s="95"/>
      <c r="L185" s="95"/>
      <c r="M185" s="95"/>
      <c r="N185" s="95"/>
      <c r="O185" s="96"/>
      <c r="P185" s="95"/>
      <c r="Q185" s="95"/>
      <c r="R185" s="95"/>
      <c r="S185" s="95"/>
      <c r="T185" s="95"/>
      <c r="U185" s="95"/>
      <c r="V185" s="95"/>
      <c r="W185" s="95"/>
      <c r="X185" s="95"/>
      <c r="Y185" s="95"/>
      <c r="Z185" s="95"/>
      <c r="AA185" s="95"/>
      <c r="AB185" s="95"/>
      <c r="AC185" s="95"/>
      <c r="AD185" s="95"/>
      <c r="AE185" s="95"/>
      <c r="AF185" s="95"/>
      <c r="AG185" s="95"/>
      <c r="AH185" s="95"/>
      <c r="AI185" s="95"/>
      <c r="AJ185" s="95"/>
      <c r="AK185" s="95"/>
      <c r="AL185" s="95"/>
      <c r="AM185" s="95"/>
      <c r="AN185" s="97"/>
      <c r="AO185" s="97"/>
      <c r="AP185" s="98"/>
    </row>
    <row r="186" spans="1:42" x14ac:dyDescent="0.25">
      <c r="A186" s="89" t="s">
        <v>594</v>
      </c>
      <c r="B186" s="90">
        <v>0.18</v>
      </c>
      <c r="C186" s="90"/>
      <c r="D186" s="90"/>
      <c r="E186" s="90"/>
      <c r="F186" s="90"/>
      <c r="G186" s="90"/>
      <c r="H186" s="90"/>
      <c r="I186" s="90"/>
      <c r="J186" s="90"/>
      <c r="K186" s="90"/>
      <c r="L186" s="90"/>
      <c r="M186" s="90"/>
      <c r="N186" s="90"/>
      <c r="O186" s="91"/>
      <c r="P186" s="90"/>
      <c r="Q186" s="90"/>
      <c r="R186" s="90"/>
      <c r="S186" s="90"/>
      <c r="T186" s="90"/>
      <c r="U186" s="90"/>
      <c r="V186" s="90"/>
      <c r="W186" s="90"/>
      <c r="X186" s="90"/>
      <c r="Y186" s="90"/>
      <c r="Z186" s="90"/>
      <c r="AA186" s="90"/>
      <c r="AB186" s="90"/>
      <c r="AC186" s="90"/>
      <c r="AD186" s="90"/>
      <c r="AE186" s="90"/>
      <c r="AF186" s="90"/>
      <c r="AG186" s="90"/>
      <c r="AH186" s="90"/>
      <c r="AI186" s="90"/>
      <c r="AJ186" s="90"/>
      <c r="AK186" s="90"/>
      <c r="AL186" s="90"/>
      <c r="AM186" s="90"/>
      <c r="AN186" s="92"/>
      <c r="AO186" s="92"/>
      <c r="AP186" s="93"/>
    </row>
    <row r="187" spans="1:42" x14ac:dyDescent="0.25">
      <c r="A187" s="94" t="s">
        <v>595</v>
      </c>
      <c r="B187" s="95"/>
      <c r="C187" s="95"/>
      <c r="D187" s="95"/>
      <c r="E187" s="95"/>
      <c r="F187" s="95"/>
      <c r="G187" s="95">
        <v>0.2</v>
      </c>
      <c r="H187" s="95"/>
      <c r="I187" s="95"/>
      <c r="J187" s="95"/>
      <c r="K187" s="95"/>
      <c r="L187" s="95"/>
      <c r="M187" s="95"/>
      <c r="N187" s="95"/>
      <c r="O187" s="96"/>
      <c r="P187" s="95"/>
      <c r="Q187" s="95"/>
      <c r="R187" s="95"/>
      <c r="S187" s="95"/>
      <c r="T187" s="95"/>
      <c r="U187" s="95"/>
      <c r="V187" s="95"/>
      <c r="W187" s="95"/>
      <c r="X187" s="95"/>
      <c r="Y187" s="95"/>
      <c r="Z187" s="95"/>
      <c r="AA187" s="95"/>
      <c r="AB187" s="95"/>
      <c r="AC187" s="95"/>
      <c r="AD187" s="95"/>
      <c r="AE187" s="95"/>
      <c r="AF187" s="95"/>
      <c r="AG187" s="95"/>
      <c r="AH187" s="95"/>
      <c r="AI187" s="95"/>
      <c r="AJ187" s="95"/>
      <c r="AK187" s="95"/>
      <c r="AL187" s="95"/>
      <c r="AM187" s="95"/>
      <c r="AN187" s="97"/>
      <c r="AO187" s="97"/>
      <c r="AP187" s="98"/>
    </row>
    <row r="188" spans="1:42" x14ac:dyDescent="0.25">
      <c r="A188" s="89" t="s">
        <v>596</v>
      </c>
      <c r="B188" s="90"/>
      <c r="C188" s="90"/>
      <c r="D188" s="90"/>
      <c r="E188" s="90"/>
      <c r="F188" s="90"/>
      <c r="G188" s="90"/>
      <c r="H188" s="90"/>
      <c r="I188" s="90"/>
      <c r="J188" s="90"/>
      <c r="K188" s="90"/>
      <c r="L188" s="90"/>
      <c r="M188" s="90"/>
      <c r="N188" s="90"/>
      <c r="O188" s="91"/>
      <c r="P188" s="90"/>
      <c r="Q188" s="90">
        <v>0.15</v>
      </c>
      <c r="R188" s="90"/>
      <c r="S188" s="90"/>
      <c r="T188" s="90"/>
      <c r="U188" s="90"/>
      <c r="V188" s="90"/>
      <c r="W188" s="90"/>
      <c r="X188" s="90"/>
      <c r="Y188" s="90"/>
      <c r="Z188" s="90"/>
      <c r="AA188" s="90"/>
      <c r="AB188" s="90"/>
      <c r="AC188" s="90"/>
      <c r="AD188" s="90"/>
      <c r="AE188" s="90"/>
      <c r="AF188" s="90"/>
      <c r="AG188" s="90"/>
      <c r="AH188" s="90"/>
      <c r="AI188" s="90"/>
      <c r="AJ188" s="90"/>
      <c r="AK188" s="90"/>
      <c r="AL188" s="90"/>
      <c r="AM188" s="90"/>
      <c r="AN188" s="92"/>
      <c r="AO188" s="92"/>
      <c r="AP188" s="93"/>
    </row>
    <row r="189" spans="1:42" x14ac:dyDescent="0.25">
      <c r="A189" s="94" t="s">
        <v>597</v>
      </c>
      <c r="B189" s="95"/>
      <c r="C189" s="95">
        <v>0.3</v>
      </c>
      <c r="D189" s="95"/>
      <c r="E189" s="95"/>
      <c r="F189" s="95"/>
      <c r="G189" s="95"/>
      <c r="H189" s="95"/>
      <c r="I189" s="95"/>
      <c r="J189" s="95"/>
      <c r="K189" s="95"/>
      <c r="L189" s="95"/>
      <c r="M189" s="95"/>
      <c r="N189" s="95"/>
      <c r="O189" s="96"/>
      <c r="P189" s="95"/>
      <c r="Q189" s="95"/>
      <c r="R189" s="95"/>
      <c r="S189" s="95"/>
      <c r="T189" s="95"/>
      <c r="U189" s="95"/>
      <c r="V189" s="95"/>
      <c r="W189" s="95"/>
      <c r="X189" s="95"/>
      <c r="Y189" s="95"/>
      <c r="Z189" s="95"/>
      <c r="AA189" s="95"/>
      <c r="AB189" s="95"/>
      <c r="AC189" s="95"/>
      <c r="AD189" s="95"/>
      <c r="AE189" s="95"/>
      <c r="AF189" s="95"/>
      <c r="AG189" s="95"/>
      <c r="AH189" s="95"/>
      <c r="AI189" s="95"/>
      <c r="AJ189" s="95"/>
      <c r="AK189" s="95"/>
      <c r="AL189" s="95"/>
      <c r="AM189" s="95"/>
      <c r="AN189" s="97"/>
      <c r="AO189" s="97"/>
      <c r="AP189" s="98"/>
    </row>
    <row r="190" spans="1:42" x14ac:dyDescent="0.25">
      <c r="A190" s="89" t="s">
        <v>598</v>
      </c>
      <c r="B190" s="90"/>
      <c r="C190" s="90"/>
      <c r="D190" s="90"/>
      <c r="E190" s="90"/>
      <c r="F190" s="90"/>
      <c r="G190" s="90"/>
      <c r="H190" s="90"/>
      <c r="I190" s="90"/>
      <c r="J190" s="90"/>
      <c r="K190" s="90">
        <f>IF(char4ArtiToggle, 35%, 0%)</f>
        <v>0.35</v>
      </c>
      <c r="L190" s="90">
        <f>IF(char4ArtiToggle, 35%, 0%)</f>
        <v>0.35</v>
      </c>
      <c r="M190" s="90">
        <f>IF(char4ArtiToggle, 35%, 0%)</f>
        <v>0.35</v>
      </c>
      <c r="N190" s="90">
        <f>IF(char4ArtiToggle, 35%, 0%)</f>
        <v>0.35</v>
      </c>
      <c r="O190" s="91"/>
      <c r="P190" s="90"/>
      <c r="Q190" s="90"/>
      <c r="R190" s="90"/>
      <c r="S190" s="90"/>
      <c r="T190" s="90"/>
      <c r="U190" s="90"/>
      <c r="V190" s="90"/>
      <c r="W190" s="90"/>
      <c r="X190" s="90"/>
      <c r="Y190" s="90"/>
      <c r="Z190" s="90"/>
      <c r="AA190" s="90"/>
      <c r="AB190" s="90"/>
      <c r="AC190" s="90"/>
      <c r="AD190" s="90"/>
      <c r="AE190" s="90"/>
      <c r="AF190" s="90"/>
      <c r="AG190" s="90"/>
      <c r="AH190" s="90"/>
      <c r="AI190" s="90"/>
      <c r="AJ190" s="90"/>
      <c r="AK190" s="90"/>
      <c r="AL190" s="90"/>
      <c r="AM190" s="90"/>
      <c r="AN190" s="92"/>
      <c r="AO190" s="92"/>
      <c r="AP190" s="93"/>
    </row>
    <row r="191" spans="1:42" x14ac:dyDescent="0.25">
      <c r="A191" s="94" t="s">
        <v>599</v>
      </c>
      <c r="B191" s="95"/>
      <c r="C191" s="95"/>
      <c r="D191" s="95"/>
      <c r="E191" s="95">
        <f>IF(char4ArtiToggle, 24%, 0%)</f>
        <v>0.24</v>
      </c>
      <c r="F191" s="95"/>
      <c r="G191" s="95"/>
      <c r="H191" s="95"/>
      <c r="I191" s="95"/>
      <c r="J191" s="95"/>
      <c r="K191" s="95"/>
      <c r="L191" s="95"/>
      <c r="M191" s="95"/>
      <c r="N191" s="95"/>
      <c r="O191" s="96"/>
      <c r="P191" s="95"/>
      <c r="Q191" s="95"/>
      <c r="R191" s="95"/>
      <c r="S191" s="95"/>
      <c r="T191" s="95"/>
      <c r="U191" s="95"/>
      <c r="V191" s="95"/>
      <c r="W191" s="95"/>
      <c r="X191" s="95"/>
      <c r="Y191" s="95"/>
      <c r="Z191" s="95"/>
      <c r="AA191" s="95"/>
      <c r="AB191" s="95"/>
      <c r="AC191" s="95"/>
      <c r="AD191" s="95"/>
      <c r="AE191" s="95"/>
      <c r="AF191" s="95"/>
      <c r="AG191" s="95"/>
      <c r="AH191" s="95"/>
      <c r="AI191" s="95"/>
      <c r="AJ191" s="95"/>
      <c r="AK191" s="95"/>
      <c r="AL191" s="95"/>
      <c r="AM191" s="95"/>
      <c r="AN191" s="97"/>
      <c r="AO191" s="97"/>
      <c r="AP191" s="98"/>
    </row>
    <row r="192" spans="1:42" x14ac:dyDescent="0.25">
      <c r="A192" s="89" t="s">
        <v>600</v>
      </c>
      <c r="B192" s="90"/>
      <c r="C192" s="90"/>
      <c r="D192" s="90"/>
      <c r="E192" s="90"/>
      <c r="F192" s="90"/>
      <c r="G192" s="90"/>
      <c r="H192" s="90"/>
      <c r="I192" s="90"/>
      <c r="J192" s="90"/>
      <c r="K192" s="90"/>
      <c r="L192" s="90"/>
      <c r="M192" s="90"/>
      <c r="N192" s="90"/>
      <c r="O192" s="91"/>
      <c r="P192" s="90"/>
      <c r="Q192" s="90"/>
      <c r="R192" s="90"/>
      <c r="S192" s="90">
        <f>IF(char4ArtiToggle, 50%, 0%)</f>
        <v>0.5</v>
      </c>
      <c r="T192" s="90"/>
      <c r="U192" s="90"/>
      <c r="V192" s="90"/>
      <c r="W192" s="90"/>
      <c r="X192" s="90"/>
      <c r="Y192" s="90"/>
      <c r="Z192" s="90"/>
      <c r="AA192" s="90"/>
      <c r="AB192" s="90"/>
      <c r="AC192" s="90"/>
      <c r="AD192" s="90"/>
      <c r="AE192" s="90"/>
      <c r="AF192" s="90"/>
      <c r="AG192" s="90"/>
      <c r="AH192" s="90"/>
      <c r="AI192" s="90"/>
      <c r="AJ192" s="90"/>
      <c r="AK192" s="90"/>
      <c r="AL192" s="90"/>
      <c r="AM192" s="90"/>
      <c r="AN192" s="92"/>
      <c r="AO192" s="92"/>
      <c r="AP192" s="93"/>
    </row>
    <row r="193" spans="1:42" x14ac:dyDescent="0.25">
      <c r="A193" s="94" t="s">
        <v>601</v>
      </c>
      <c r="B193" s="95"/>
      <c r="C193" s="95"/>
      <c r="D193" s="95"/>
      <c r="E193" s="95"/>
      <c r="F193" s="95"/>
      <c r="G193" s="95"/>
      <c r="H193" s="95"/>
      <c r="I193" s="95"/>
      <c r="J193" s="95"/>
      <c r="K193" s="95"/>
      <c r="L193" s="95"/>
      <c r="M193" s="95"/>
      <c r="N193" s="95"/>
      <c r="O193" s="96"/>
      <c r="P193" s="95"/>
      <c r="Q193" s="95"/>
      <c r="R193" s="95"/>
      <c r="S193" s="95"/>
      <c r="T193" s="95"/>
      <c r="U193" s="95"/>
      <c r="V193" s="95"/>
      <c r="W193" s="95">
        <f>IF(char4ArtiToggle, 30%, 0%)</f>
        <v>0.3</v>
      </c>
      <c r="X193" s="95"/>
      <c r="Y193" s="95"/>
      <c r="Z193" s="95"/>
      <c r="AA193" s="95"/>
      <c r="AB193" s="95"/>
      <c r="AC193" s="95"/>
      <c r="AD193" s="95"/>
      <c r="AE193" s="95"/>
      <c r="AF193" s="95"/>
      <c r="AG193" s="95"/>
      <c r="AH193" s="95"/>
      <c r="AI193" s="95"/>
      <c r="AJ193" s="95"/>
      <c r="AK193" s="95"/>
      <c r="AL193" s="95"/>
      <c r="AM193" s="95"/>
      <c r="AN193" s="97"/>
      <c r="AO193" s="97"/>
      <c r="AP193" s="98"/>
    </row>
    <row r="194" spans="1:42" x14ac:dyDescent="0.25">
      <c r="A194" s="89" t="s">
        <v>602</v>
      </c>
      <c r="B194" s="90"/>
      <c r="C194" s="90"/>
      <c r="D194" s="90"/>
      <c r="E194" s="90"/>
      <c r="F194" s="90"/>
      <c r="G194" s="90"/>
      <c r="H194" s="90"/>
      <c r="I194" s="90"/>
      <c r="J194" s="90"/>
      <c r="K194" s="90">
        <f>char4ArtiStacks*(7.5%)</f>
        <v>0</v>
      </c>
      <c r="L194" s="90"/>
      <c r="M194" s="90"/>
      <c r="N194" s="90"/>
      <c r="O194" s="91"/>
      <c r="P194" s="90"/>
      <c r="Q194" s="90"/>
      <c r="R194" s="90"/>
      <c r="S194" s="90"/>
      <c r="T194" s="90"/>
      <c r="U194" s="90"/>
      <c r="V194" s="90"/>
      <c r="W194" s="90"/>
      <c r="X194" s="90"/>
      <c r="Y194" s="90"/>
      <c r="Z194" s="90">
        <v>0.4</v>
      </c>
      <c r="AA194" s="90"/>
      <c r="AB194" s="90"/>
      <c r="AC194" s="90"/>
      <c r="AD194" s="90">
        <v>0.15</v>
      </c>
      <c r="AE194" s="90">
        <v>0.15</v>
      </c>
      <c r="AF194" s="90"/>
      <c r="AG194" s="90"/>
      <c r="AH194" s="90"/>
      <c r="AI194" s="90"/>
      <c r="AJ194" s="90"/>
      <c r="AK194" s="90"/>
      <c r="AL194" s="90"/>
      <c r="AM194" s="90"/>
      <c r="AN194" s="92"/>
      <c r="AO194" s="92"/>
      <c r="AP194" s="93"/>
    </row>
    <row r="195" spans="1:42" x14ac:dyDescent="0.25">
      <c r="A195" s="94" t="s">
        <v>603</v>
      </c>
      <c r="B195" s="95"/>
      <c r="C195" s="95"/>
      <c r="D195" s="95"/>
      <c r="E195" s="95"/>
      <c r="F195" s="95"/>
      <c r="G195" s="95"/>
      <c r="H195" s="95"/>
      <c r="I195" s="95"/>
      <c r="J195" s="95"/>
      <c r="K195" s="95"/>
      <c r="L195" s="95"/>
      <c r="M195" s="95"/>
      <c r="N195" s="95"/>
      <c r="O195" s="96"/>
      <c r="P195" s="95"/>
      <c r="Q195" s="95"/>
      <c r="R195" s="95"/>
      <c r="S195" s="95"/>
      <c r="T195" s="95"/>
      <c r="U195" s="95"/>
      <c r="V195" s="95"/>
      <c r="W195" s="95"/>
      <c r="X195" s="95"/>
      <c r="Y195" s="95"/>
      <c r="Z195" s="95"/>
      <c r="AA195" s="95"/>
      <c r="AB195" s="95"/>
      <c r="AC195" s="95"/>
      <c r="AD195" s="95"/>
      <c r="AE195" s="95"/>
      <c r="AF195" s="95"/>
      <c r="AG195" s="95">
        <v>0.3</v>
      </c>
      <c r="AH195" s="95">
        <v>0.3</v>
      </c>
      <c r="AI195" s="95">
        <v>0.3</v>
      </c>
      <c r="AJ195" s="95">
        <v>0.3</v>
      </c>
      <c r="AK195" s="95">
        <v>0.3</v>
      </c>
      <c r="AL195" s="95">
        <v>0.3</v>
      </c>
      <c r="AM195" s="95"/>
      <c r="AN195" s="97"/>
      <c r="AO195" s="97"/>
      <c r="AP195" s="98"/>
    </row>
    <row r="196" spans="1:42" x14ac:dyDescent="0.25">
      <c r="A196" s="89" t="s">
        <v>604</v>
      </c>
      <c r="B196" s="90"/>
      <c r="C196" s="90"/>
      <c r="D196" s="90"/>
      <c r="E196" s="90"/>
      <c r="F196" s="90"/>
      <c r="G196" s="90"/>
      <c r="H196" s="90"/>
      <c r="I196" s="90"/>
      <c r="J196" s="90"/>
      <c r="K196" s="90"/>
      <c r="L196" s="90"/>
      <c r="M196" s="90"/>
      <c r="N196" s="90"/>
      <c r="O196" s="91"/>
      <c r="P196" s="90"/>
      <c r="Q196" s="90"/>
      <c r="R196" s="90"/>
      <c r="S196" s="90"/>
      <c r="T196" s="90"/>
      <c r="U196" s="90"/>
      <c r="V196" s="90"/>
      <c r="W196" s="90"/>
      <c r="X196" s="90"/>
      <c r="Y196" s="90"/>
      <c r="Z196" s="90"/>
      <c r="AA196" s="90"/>
      <c r="AB196" s="90"/>
      <c r="AC196" s="90"/>
      <c r="AD196" s="90"/>
      <c r="AE196" s="90"/>
      <c r="AF196" s="90"/>
      <c r="AG196" s="90"/>
      <c r="AH196" s="90"/>
      <c r="AI196" s="90"/>
      <c r="AJ196" s="90"/>
      <c r="AK196" s="90"/>
      <c r="AL196" s="90"/>
      <c r="AM196" s="90"/>
      <c r="AN196" s="92"/>
      <c r="AO196" s="92"/>
      <c r="AP196" s="93"/>
    </row>
    <row r="197" spans="1:42" x14ac:dyDescent="0.25">
      <c r="A197" s="94" t="s">
        <v>605</v>
      </c>
      <c r="B197" s="95"/>
      <c r="C197" s="95"/>
      <c r="D197" s="95"/>
      <c r="E197" s="95"/>
      <c r="F197" s="95"/>
      <c r="G197" s="95"/>
      <c r="H197" s="95"/>
      <c r="I197" s="95"/>
      <c r="J197" s="95"/>
      <c r="K197" s="95"/>
      <c r="L197" s="95"/>
      <c r="M197" s="95"/>
      <c r="N197" s="95"/>
      <c r="O197" s="96"/>
      <c r="P197" s="95"/>
      <c r="Q197" s="95"/>
      <c r="R197" s="95">
        <v>0.35</v>
      </c>
      <c r="S197" s="95"/>
      <c r="T197" s="95"/>
      <c r="U197" s="95"/>
      <c r="V197" s="95"/>
      <c r="W197" s="95"/>
      <c r="X197" s="95"/>
      <c r="Y197" s="95"/>
      <c r="Z197" s="95"/>
      <c r="AA197" s="95"/>
      <c r="AB197" s="95"/>
      <c r="AC197" s="95"/>
      <c r="AD197" s="95"/>
      <c r="AE197" s="95"/>
      <c r="AF197" s="95"/>
      <c r="AG197" s="95"/>
      <c r="AH197" s="95"/>
      <c r="AI197" s="95"/>
      <c r="AJ197" s="95"/>
      <c r="AK197" s="95"/>
      <c r="AL197" s="95"/>
      <c r="AM197" s="95"/>
      <c r="AN197" s="97"/>
      <c r="AO197" s="97"/>
      <c r="AP197" s="98"/>
    </row>
    <row r="198" spans="1:42" x14ac:dyDescent="0.25">
      <c r="A198" s="89" t="s">
        <v>606</v>
      </c>
      <c r="B198" s="90"/>
      <c r="C198" s="90"/>
      <c r="D198" s="90"/>
      <c r="E198" s="90"/>
      <c r="F198" s="90"/>
      <c r="G198" s="90"/>
      <c r="H198" s="90"/>
      <c r="I198" s="90"/>
      <c r="J198" s="90"/>
      <c r="K198" s="90"/>
      <c r="L198" s="90"/>
      <c r="M198" s="90"/>
      <c r="N198" s="90"/>
      <c r="O198" s="91">
        <f>IF(char4ArtiToggle, 120, 0)</f>
        <v>120</v>
      </c>
      <c r="P198" s="90"/>
      <c r="Q198" s="90"/>
      <c r="R198" s="90"/>
      <c r="S198" s="90"/>
      <c r="T198" s="90"/>
      <c r="U198" s="90"/>
      <c r="V198" s="90"/>
      <c r="W198" s="90"/>
      <c r="X198" s="90"/>
      <c r="Y198" s="90"/>
      <c r="Z198" s="90"/>
      <c r="AA198" s="90"/>
      <c r="AB198" s="90"/>
      <c r="AC198" s="90"/>
      <c r="AD198" s="90"/>
      <c r="AE198" s="90"/>
      <c r="AF198" s="90"/>
      <c r="AG198" s="90"/>
      <c r="AH198" s="90"/>
      <c r="AI198" s="90"/>
      <c r="AJ198" s="90"/>
      <c r="AK198" s="90"/>
      <c r="AL198" s="90"/>
      <c r="AM198" s="90"/>
      <c r="AN198" s="92"/>
      <c r="AO198" s="92"/>
      <c r="AP198" s="93"/>
    </row>
    <row r="199" spans="1:42" x14ac:dyDescent="0.25">
      <c r="A199" s="94" t="s">
        <v>607</v>
      </c>
      <c r="B199" s="95"/>
      <c r="C199" s="95"/>
      <c r="D199" s="95"/>
      <c r="E199" s="95"/>
      <c r="F199" s="95"/>
      <c r="G199" s="95"/>
      <c r="H199" s="95">
        <f t="shared" ref="H199:N199" si="3">IF(char4ArtiToggle, 35%, 0)</f>
        <v>0.35</v>
      </c>
      <c r="I199" s="95">
        <f t="shared" si="3"/>
        <v>0.35</v>
      </c>
      <c r="J199" s="95">
        <f t="shared" si="3"/>
        <v>0.35</v>
      </c>
      <c r="K199" s="95">
        <f t="shared" si="3"/>
        <v>0.35</v>
      </c>
      <c r="L199" s="95">
        <f t="shared" si="3"/>
        <v>0.35</v>
      </c>
      <c r="M199" s="95">
        <f t="shared" si="3"/>
        <v>0.35</v>
      </c>
      <c r="N199" s="95">
        <f t="shared" si="3"/>
        <v>0.35</v>
      </c>
      <c r="O199" s="96"/>
      <c r="P199" s="95"/>
      <c r="Q199" s="95"/>
      <c r="R199" s="95"/>
      <c r="S199" s="95"/>
      <c r="T199" s="95"/>
      <c r="U199" s="95"/>
      <c r="V199" s="95"/>
      <c r="W199" s="95"/>
      <c r="X199" s="95"/>
      <c r="Y199" s="95"/>
      <c r="Z199" s="95"/>
      <c r="AA199" s="95"/>
      <c r="AB199" s="95"/>
      <c r="AC199" s="95"/>
      <c r="AD199" s="95"/>
      <c r="AE199" s="95"/>
      <c r="AF199" s="95"/>
      <c r="AG199" s="95"/>
      <c r="AH199" s="95"/>
      <c r="AI199" s="95"/>
      <c r="AJ199" s="95"/>
      <c r="AK199" s="95"/>
      <c r="AL199" s="95"/>
      <c r="AM199" s="95"/>
      <c r="AN199" s="97"/>
      <c r="AO199" s="97"/>
      <c r="AP199" s="98"/>
    </row>
    <row r="200" spans="1:42" x14ac:dyDescent="0.25">
      <c r="A200" s="89" t="s">
        <v>608</v>
      </c>
      <c r="B200" s="90"/>
      <c r="C200" s="90"/>
      <c r="D200" s="90"/>
      <c r="E200" s="90"/>
      <c r="F200" s="90"/>
      <c r="G200" s="90"/>
      <c r="H200" s="90"/>
      <c r="I200" s="90"/>
      <c r="J200" s="90"/>
      <c r="K200" s="90"/>
      <c r="L200" s="90"/>
      <c r="M200" s="90"/>
      <c r="N200" s="90"/>
      <c r="O200" s="91"/>
      <c r="P200" s="90">
        <v>0.2</v>
      </c>
      <c r="Q200" s="90"/>
      <c r="R200" s="90"/>
      <c r="S200" s="90"/>
      <c r="T200" s="90"/>
      <c r="U200" s="90"/>
      <c r="V200" s="90"/>
      <c r="W200" s="90"/>
      <c r="X200" s="90"/>
      <c r="Y200" s="90"/>
      <c r="Z200" s="90"/>
      <c r="AA200" s="90"/>
      <c r="AB200" s="90"/>
      <c r="AC200" s="90"/>
      <c r="AD200" s="90"/>
      <c r="AE200" s="90"/>
      <c r="AF200" s="90"/>
      <c r="AG200" s="90"/>
      <c r="AH200" s="90"/>
      <c r="AI200" s="90"/>
      <c r="AJ200" s="90"/>
      <c r="AK200" s="90"/>
      <c r="AL200" s="90"/>
      <c r="AM200" s="90"/>
      <c r="AN200" s="92"/>
      <c r="AO200" s="92"/>
      <c r="AP200" s="93"/>
    </row>
    <row r="201" spans="1:42" x14ac:dyDescent="0.25">
      <c r="A201" s="94" t="s">
        <v>609</v>
      </c>
      <c r="B201" s="95"/>
      <c r="C201" s="95"/>
      <c r="D201" s="95"/>
      <c r="E201" s="95"/>
      <c r="F201" s="95"/>
      <c r="G201" s="95"/>
      <c r="H201" s="95"/>
      <c r="I201" s="95"/>
      <c r="J201" s="95"/>
      <c r="K201" s="95"/>
      <c r="L201" s="95"/>
      <c r="M201" s="95"/>
      <c r="N201" s="95"/>
      <c r="O201" s="96"/>
      <c r="P201" s="95"/>
      <c r="Q201" s="95"/>
      <c r="R201" s="95">
        <f>IF(char4ArtiToggle, 25%, 0)</f>
        <v>0.25</v>
      </c>
      <c r="S201" s="95">
        <f>IF(char4ArtiToggle, 25%, 0)</f>
        <v>0.25</v>
      </c>
      <c r="T201" s="95"/>
      <c r="U201" s="95"/>
      <c r="V201" s="95"/>
      <c r="W201" s="95"/>
      <c r="X201" s="95"/>
      <c r="Y201" s="95"/>
      <c r="Z201" s="95"/>
      <c r="AA201" s="95"/>
      <c r="AB201" s="95"/>
      <c r="AC201" s="95"/>
      <c r="AD201" s="95"/>
      <c r="AE201" s="95"/>
      <c r="AF201" s="95"/>
      <c r="AG201" s="95"/>
      <c r="AH201" s="95"/>
      <c r="AI201" s="95"/>
      <c r="AJ201" s="95"/>
      <c r="AK201" s="95"/>
      <c r="AL201" s="95"/>
      <c r="AM201" s="95"/>
      <c r="AN201" s="97"/>
      <c r="AO201" s="97"/>
      <c r="AP201" s="98"/>
    </row>
    <row r="202" spans="1:42" x14ac:dyDescent="0.25">
      <c r="A202" s="89" t="s">
        <v>610</v>
      </c>
      <c r="B202" s="90">
        <f>IF(char4ArtiToggle, 20%, 0)</f>
        <v>0.2</v>
      </c>
      <c r="C202" s="90"/>
      <c r="D202" s="90"/>
      <c r="E202" s="90"/>
      <c r="F202" s="90"/>
      <c r="G202" s="90"/>
      <c r="H202" s="90"/>
      <c r="I202" s="90"/>
      <c r="J202" s="90"/>
      <c r="K202" s="90"/>
      <c r="L202" s="90"/>
      <c r="M202" s="90"/>
      <c r="N202" s="90"/>
      <c r="O202" s="91"/>
      <c r="P202" s="90"/>
      <c r="Q202" s="90"/>
      <c r="R202" s="90"/>
      <c r="S202" s="90"/>
      <c r="T202" s="90"/>
      <c r="U202" s="90"/>
      <c r="V202" s="90"/>
      <c r="W202" s="90"/>
      <c r="X202" s="90"/>
      <c r="Y202" s="90"/>
      <c r="Z202" s="90"/>
      <c r="AA202" s="90"/>
      <c r="AB202" s="90"/>
      <c r="AC202" s="90"/>
      <c r="AD202" s="90"/>
      <c r="AE202" s="90"/>
      <c r="AF202" s="90"/>
      <c r="AG202" s="90"/>
      <c r="AH202" s="90"/>
      <c r="AI202" s="90"/>
      <c r="AJ202" s="90"/>
      <c r="AK202" s="90"/>
      <c r="AL202" s="90"/>
      <c r="AM202" s="90"/>
      <c r="AN202" s="92"/>
      <c r="AO202" s="92"/>
      <c r="AP202" s="93"/>
    </row>
    <row r="203" spans="1:42" x14ac:dyDescent="0.25">
      <c r="A203" s="94" t="s">
        <v>611</v>
      </c>
      <c r="B203" s="95"/>
      <c r="C203" s="95"/>
      <c r="D203" s="95"/>
      <c r="E203" s="95"/>
      <c r="F203" s="95"/>
      <c r="G203" s="95"/>
      <c r="H203" s="95"/>
      <c r="I203" s="95"/>
      <c r="J203" s="95"/>
      <c r="K203" s="95"/>
      <c r="L203" s="95"/>
      <c r="M203" s="95"/>
      <c r="N203" s="95"/>
      <c r="O203" s="96"/>
      <c r="P203" s="95"/>
      <c r="Q203" s="95"/>
      <c r="R203" s="95">
        <f>IF(char4ArtiToggle, 40%, 0)</f>
        <v>0.4</v>
      </c>
      <c r="S203" s="95">
        <f>IF(char4ArtiToggle, 40%, 0)</f>
        <v>0.4</v>
      </c>
      <c r="T203" s="95"/>
      <c r="U203" s="95"/>
      <c r="V203" s="95"/>
      <c r="W203" s="95"/>
      <c r="X203" s="95"/>
      <c r="Y203" s="95"/>
      <c r="Z203" s="95"/>
      <c r="AA203" s="95"/>
      <c r="AB203" s="95"/>
      <c r="AC203" s="95"/>
      <c r="AD203" s="95"/>
      <c r="AE203" s="95"/>
      <c r="AF203" s="95"/>
      <c r="AG203" s="95"/>
      <c r="AH203" s="95"/>
      <c r="AI203" s="95"/>
      <c r="AJ203" s="95"/>
      <c r="AK203" s="95"/>
      <c r="AL203" s="95"/>
      <c r="AM203" s="95"/>
      <c r="AN203" s="97"/>
      <c r="AO203" s="97"/>
      <c r="AP203" s="98"/>
    </row>
    <row r="204" spans="1:42" x14ac:dyDescent="0.25">
      <c r="A204" s="89" t="s">
        <v>612</v>
      </c>
      <c r="B204" s="90" t="s">
        <v>428</v>
      </c>
      <c r="C204" s="90"/>
      <c r="D204" s="90"/>
      <c r="E204" s="90"/>
      <c r="F204" s="90"/>
      <c r="G204" s="90"/>
      <c r="H204" s="90"/>
      <c r="I204" s="90"/>
      <c r="J204" s="90"/>
      <c r="K204" s="90"/>
      <c r="L204" s="90"/>
      <c r="M204" s="90"/>
      <c r="N204" s="90"/>
      <c r="O204" s="91"/>
      <c r="P204" s="90"/>
      <c r="Q204" s="90"/>
      <c r="R204" s="90"/>
      <c r="S204" s="90"/>
      <c r="T204" s="90"/>
      <c r="U204" s="90"/>
      <c r="V204" s="90"/>
      <c r="W204" s="90"/>
      <c r="X204" s="90"/>
      <c r="Y204" s="90"/>
      <c r="Z204" s="90">
        <v>0.4</v>
      </c>
      <c r="AA204" s="90"/>
      <c r="AB204" s="90">
        <v>0.4</v>
      </c>
      <c r="AC204" s="90">
        <v>0.4</v>
      </c>
      <c r="AD204" s="90"/>
      <c r="AE204" s="90"/>
      <c r="AF204" s="90"/>
      <c r="AG204" s="90"/>
      <c r="AH204" s="90"/>
      <c r="AI204" s="90"/>
      <c r="AJ204" s="90"/>
      <c r="AK204" s="90"/>
      <c r="AL204" s="90"/>
      <c r="AM204" s="90"/>
      <c r="AN204" s="92"/>
      <c r="AO204" s="92"/>
      <c r="AP204" s="93"/>
    </row>
    <row r="205" spans="1:42" x14ac:dyDescent="0.25">
      <c r="A205" s="94" t="s">
        <v>613</v>
      </c>
      <c r="B205" s="95"/>
      <c r="C205" s="95"/>
      <c r="D205" s="95"/>
      <c r="E205" s="95"/>
      <c r="F205" s="95"/>
      <c r="G205" s="95"/>
      <c r="H205" s="95"/>
      <c r="I205" s="95"/>
      <c r="J205" s="95"/>
      <c r="K205" s="95"/>
      <c r="L205" s="95"/>
      <c r="M205" s="95"/>
      <c r="N205" s="95"/>
      <c r="O205" s="96"/>
      <c r="P205" s="95"/>
      <c r="Q205" s="95"/>
      <c r="R205" s="95"/>
      <c r="S205" s="95"/>
      <c r="T205" s="95"/>
      <c r="U205" s="95"/>
      <c r="V205" s="95"/>
      <c r="W205" s="95">
        <f>IF(char4ArtiToggle, 35%, 0)</f>
        <v>0.35</v>
      </c>
      <c r="X205" s="95"/>
      <c r="Y205" s="95"/>
      <c r="Z205" s="95"/>
      <c r="AA205" s="95"/>
      <c r="AB205" s="95"/>
      <c r="AC205" s="95"/>
      <c r="AD205" s="95"/>
      <c r="AE205" s="95"/>
      <c r="AF205" s="95"/>
      <c r="AG205" s="95"/>
      <c r="AH205" s="95"/>
      <c r="AI205" s="95"/>
      <c r="AJ205" s="95"/>
      <c r="AK205" s="95"/>
      <c r="AL205" s="95"/>
      <c r="AM205" s="95"/>
      <c r="AN205" s="97"/>
      <c r="AO205" s="97"/>
      <c r="AP205" s="98"/>
    </row>
    <row r="206" spans="1:42" x14ac:dyDescent="0.25">
      <c r="A206" s="89" t="s">
        <v>614</v>
      </c>
      <c r="B206" s="90"/>
      <c r="C206" s="90"/>
      <c r="D206" s="90"/>
      <c r="E206" s="90"/>
      <c r="F206" s="90"/>
      <c r="G206" s="90"/>
      <c r="H206" s="90"/>
      <c r="I206" s="90"/>
      <c r="J206" s="90"/>
      <c r="K206" s="90"/>
      <c r="L206" s="90"/>
      <c r="M206" s="90"/>
      <c r="N206" s="90"/>
      <c r="O206" s="91"/>
      <c r="P206" s="90"/>
      <c r="Q206" s="90"/>
      <c r="R206" s="90"/>
      <c r="S206" s="90"/>
      <c r="T206" s="90"/>
      <c r="U206" s="90"/>
      <c r="V206" s="90"/>
      <c r="W206" s="90"/>
      <c r="X206" s="90"/>
      <c r="Y206" s="90">
        <v>0.6</v>
      </c>
      <c r="Z206" s="90"/>
      <c r="AA206" s="90"/>
      <c r="AB206" s="90"/>
      <c r="AC206" s="90"/>
      <c r="AD206" s="90"/>
      <c r="AE206" s="90"/>
      <c r="AF206" s="90"/>
      <c r="AG206" s="90"/>
      <c r="AH206" s="90"/>
      <c r="AI206" s="90"/>
      <c r="AJ206" s="90"/>
      <c r="AK206" s="90"/>
      <c r="AL206" s="90"/>
      <c r="AM206" s="90"/>
      <c r="AN206" s="92"/>
      <c r="AO206" s="92"/>
      <c r="AP206" s="93"/>
    </row>
    <row r="207" spans="1:42" x14ac:dyDescent="0.25">
      <c r="A207" s="94" t="s">
        <v>615</v>
      </c>
      <c r="B207" s="95"/>
      <c r="C207" s="95"/>
      <c r="D207" s="95"/>
      <c r="E207" s="95"/>
      <c r="F207" s="95"/>
      <c r="G207" s="95"/>
      <c r="H207" s="95"/>
      <c r="I207" s="95"/>
      <c r="J207" s="95"/>
      <c r="K207" s="95"/>
      <c r="L207" s="95"/>
      <c r="M207" s="95"/>
      <c r="N207" s="95"/>
      <c r="O207" s="96"/>
      <c r="P207" s="95"/>
      <c r="Q207" s="95"/>
      <c r="R207" s="95"/>
      <c r="S207" s="95">
        <f>IF(char4ArtiToggle, 35%, 0)</f>
        <v>0.35</v>
      </c>
      <c r="T207" s="95"/>
      <c r="U207" s="95"/>
      <c r="V207" s="95"/>
      <c r="W207" s="95"/>
      <c r="X207" s="95"/>
      <c r="Y207" s="95"/>
      <c r="Z207" s="95"/>
      <c r="AA207" s="95"/>
      <c r="AB207" s="95"/>
      <c r="AC207" s="95"/>
      <c r="AD207" s="95"/>
      <c r="AE207" s="95"/>
      <c r="AF207" s="95"/>
      <c r="AG207" s="95"/>
      <c r="AH207" s="95"/>
      <c r="AI207" s="95"/>
      <c r="AJ207" s="95"/>
      <c r="AK207" s="95"/>
      <c r="AL207" s="95"/>
      <c r="AM207" s="95"/>
      <c r="AN207" s="97"/>
      <c r="AO207" s="97"/>
      <c r="AP207" s="98"/>
    </row>
    <row r="208" spans="1:42" x14ac:dyDescent="0.25">
      <c r="A208" s="89" t="s">
        <v>616</v>
      </c>
      <c r="B208" s="90"/>
      <c r="C208" s="90"/>
      <c r="D208" s="90"/>
      <c r="E208" s="90">
        <f>char4ArtiStacks*(20%)</f>
        <v>0</v>
      </c>
      <c r="F208" s="90"/>
      <c r="G208" s="90"/>
      <c r="H208" s="90"/>
      <c r="I208" s="90"/>
      <c r="J208" s="90"/>
      <c r="K208" s="90"/>
      <c r="L208" s="90"/>
      <c r="M208" s="90"/>
      <c r="N208" s="90"/>
      <c r="O208" s="91"/>
      <c r="P208" s="90"/>
      <c r="Q208" s="90"/>
      <c r="R208" s="90"/>
      <c r="S208" s="90"/>
      <c r="T208" s="90"/>
      <c r="U208" s="90"/>
      <c r="V208" s="90"/>
      <c r="W208" s="90"/>
      <c r="X208" s="90"/>
      <c r="Y208" s="90"/>
      <c r="Z208" s="90"/>
      <c r="AA208" s="90"/>
      <c r="AB208" s="90"/>
      <c r="AC208" s="90"/>
      <c r="AD208" s="90"/>
      <c r="AE208" s="90"/>
      <c r="AF208" s="90"/>
      <c r="AG208" s="90"/>
      <c r="AH208" s="90"/>
      <c r="AI208" s="90"/>
      <c r="AJ208" s="90"/>
      <c r="AK208" s="90"/>
      <c r="AL208" s="90"/>
      <c r="AM208" s="90"/>
      <c r="AN208" s="92"/>
      <c r="AO208" s="92"/>
      <c r="AP208" s="93"/>
    </row>
    <row r="209" spans="1:42" x14ac:dyDescent="0.25">
      <c r="A209" s="94" t="s">
        <v>617</v>
      </c>
      <c r="B209" s="95"/>
      <c r="C209" s="95"/>
      <c r="D209" s="95"/>
      <c r="E209" s="95"/>
      <c r="F209" s="95"/>
      <c r="G209" s="95"/>
      <c r="H209" s="95"/>
      <c r="I209" s="95"/>
      <c r="J209" s="95"/>
      <c r="K209" s="95"/>
      <c r="L209" s="95"/>
      <c r="M209" s="95"/>
      <c r="N209" s="95"/>
      <c r="O209" s="96"/>
      <c r="P209" s="95"/>
      <c r="Q209" s="95"/>
      <c r="R209" s="95">
        <f>IF(char4ArtiToggle, 30%, 0)</f>
        <v>0.3</v>
      </c>
      <c r="S209" s="95">
        <f>IF(char4ArtiToggle, 30%, 0)</f>
        <v>0.3</v>
      </c>
      <c r="T209" s="95"/>
      <c r="U209" s="95"/>
      <c r="V209" s="95"/>
      <c r="W209" s="95"/>
      <c r="X209" s="95"/>
      <c r="Y209" s="95"/>
      <c r="Z209" s="95"/>
      <c r="AA209" s="95"/>
      <c r="AB209" s="95"/>
      <c r="AC209" s="95"/>
      <c r="AD209" s="95"/>
      <c r="AE209" s="95"/>
      <c r="AF209" s="95"/>
      <c r="AG209" s="95"/>
      <c r="AH209" s="95"/>
      <c r="AI209" s="95"/>
      <c r="AJ209" s="95"/>
      <c r="AK209" s="95"/>
      <c r="AL209" s="95"/>
      <c r="AM209" s="95"/>
      <c r="AN209" s="97"/>
      <c r="AO209" s="97"/>
      <c r="AP209" s="98"/>
    </row>
    <row r="210" spans="1:42" x14ac:dyDescent="0.25">
      <c r="A210" s="89" t="s">
        <v>618</v>
      </c>
      <c r="B210" s="90">
        <f>char4ArtiStacks*9%</f>
        <v>0</v>
      </c>
      <c r="C210" s="90"/>
      <c r="D210" s="90"/>
      <c r="E210" s="90"/>
      <c r="F210" s="90"/>
      <c r="G210" s="90"/>
      <c r="H210" s="90">
        <f>IF(char4ArtiStacks=2, 25%, 0)</f>
        <v>0</v>
      </c>
      <c r="I210" s="90"/>
      <c r="J210" s="90"/>
      <c r="K210" s="90"/>
      <c r="L210" s="90"/>
      <c r="M210" s="90"/>
      <c r="N210" s="90"/>
      <c r="O210" s="91"/>
      <c r="P210" s="90"/>
      <c r="Q210" s="90"/>
      <c r="R210" s="90"/>
      <c r="S210" s="90"/>
      <c r="T210" s="90"/>
      <c r="U210" s="90"/>
      <c r="V210" s="90"/>
      <c r="W210" s="90"/>
      <c r="X210" s="90"/>
      <c r="Y210" s="90"/>
      <c r="Z210" s="90"/>
      <c r="AA210" s="90"/>
      <c r="AB210" s="90"/>
      <c r="AC210" s="90"/>
      <c r="AD210" s="90"/>
      <c r="AE210" s="90"/>
      <c r="AF210" s="90"/>
      <c r="AG210" s="90"/>
      <c r="AH210" s="90"/>
      <c r="AI210" s="90"/>
      <c r="AJ210" s="90"/>
      <c r="AK210" s="90"/>
      <c r="AL210" s="90"/>
      <c r="AM210" s="90"/>
      <c r="AN210" s="92"/>
      <c r="AO210" s="92"/>
      <c r="AP210" s="93"/>
    </row>
    <row r="211" spans="1:42" x14ac:dyDescent="0.25">
      <c r="A211" s="94" t="s">
        <v>619</v>
      </c>
      <c r="B211" s="95">
        <f>IF(char4ArtiToggle, 20%, 0)</f>
        <v>0.2</v>
      </c>
      <c r="C211" s="95"/>
      <c r="D211" s="95"/>
      <c r="E211" s="95"/>
      <c r="F211" s="95"/>
      <c r="G211" s="95"/>
      <c r="H211" s="95"/>
      <c r="I211" s="95"/>
      <c r="J211" s="95"/>
      <c r="K211" s="95"/>
      <c r="L211" s="95"/>
      <c r="M211" s="95"/>
      <c r="N211" s="95"/>
      <c r="O211" s="96"/>
      <c r="P211" s="95"/>
      <c r="Q211" s="95"/>
      <c r="R211" s="95"/>
      <c r="S211" s="95"/>
      <c r="T211" s="95"/>
      <c r="U211" s="95"/>
      <c r="V211" s="95"/>
      <c r="W211" s="95"/>
      <c r="X211" s="95">
        <f>IF(char4ArtiToggle, 30%, 0)</f>
        <v>0.3</v>
      </c>
      <c r="Y211" s="95"/>
      <c r="Z211" s="95"/>
      <c r="AA211" s="95"/>
      <c r="AB211" s="95"/>
      <c r="AC211" s="95"/>
      <c r="AD211" s="95"/>
      <c r="AE211" s="95"/>
      <c r="AF211" s="95"/>
      <c r="AG211" s="95"/>
      <c r="AH211" s="95"/>
      <c r="AI211" s="95"/>
      <c r="AJ211" s="95"/>
      <c r="AK211" s="95"/>
      <c r="AL211" s="95"/>
      <c r="AM211" s="95"/>
      <c r="AN211" s="97"/>
      <c r="AO211" s="97"/>
      <c r="AP211" s="98"/>
    </row>
    <row r="212" spans="1:42" x14ac:dyDescent="0.25">
      <c r="A212" s="89" t="s">
        <v>620</v>
      </c>
      <c r="B212" s="90"/>
      <c r="C212" s="90"/>
      <c r="D212" s="90"/>
      <c r="E212" s="90"/>
      <c r="F212" s="90"/>
      <c r="G212" s="90"/>
      <c r="H212" s="90"/>
      <c r="I212" s="90"/>
      <c r="J212" s="90"/>
      <c r="K212" s="90"/>
      <c r="L212" s="90"/>
      <c r="M212" s="90"/>
      <c r="N212" s="90"/>
      <c r="O212" s="91"/>
      <c r="P212" s="90"/>
      <c r="Q212" s="90"/>
      <c r="R212" s="90">
        <f>IF(char4ArtiToggle, 50%, 0)</f>
        <v>0.5</v>
      </c>
      <c r="S212" s="90">
        <f>IF(char4ArtiToggle, 50%, 0)</f>
        <v>0.5</v>
      </c>
      <c r="T212" s="90">
        <f>IF(char4ArtiToggle, 50%, 0)</f>
        <v>0.5</v>
      </c>
      <c r="U212" s="90"/>
      <c r="V212" s="90"/>
      <c r="W212" s="90"/>
      <c r="X212" s="90"/>
      <c r="Y212" s="90"/>
      <c r="Z212" s="90"/>
      <c r="AA212" s="90"/>
      <c r="AB212" s="90"/>
      <c r="AC212" s="90"/>
      <c r="AD212" s="90"/>
      <c r="AE212" s="90"/>
      <c r="AF212" s="90"/>
      <c r="AG212" s="90"/>
      <c r="AH212" s="90"/>
      <c r="AI212" s="90"/>
      <c r="AJ212" s="90"/>
      <c r="AK212" s="90"/>
      <c r="AL212" s="90"/>
      <c r="AM212" s="90"/>
      <c r="AN212" s="92"/>
      <c r="AO212" s="92"/>
      <c r="AP212" s="93"/>
    </row>
    <row r="213" spans="1:42" x14ac:dyDescent="0.25">
      <c r="A213" s="94" t="s">
        <v>621</v>
      </c>
      <c r="B213" s="95"/>
      <c r="C213" s="95"/>
      <c r="D213" s="95"/>
      <c r="E213" s="95"/>
      <c r="F213" s="95"/>
      <c r="G213" s="95"/>
      <c r="H213" s="95"/>
      <c r="I213" s="95"/>
      <c r="J213" s="95"/>
      <c r="K213" s="95"/>
      <c r="L213" s="95"/>
      <c r="M213" s="95"/>
      <c r="N213" s="95"/>
      <c r="O213" s="96"/>
      <c r="P213" s="95"/>
      <c r="Q213" s="95"/>
      <c r="R213" s="95"/>
      <c r="S213" s="95"/>
      <c r="T213" s="95"/>
      <c r="U213" s="95"/>
      <c r="V213" s="95">
        <f>IF(char4FinalER*25%&gt;75%, 75%,char4FinalER*25%)</f>
        <v>0.45704999999999996</v>
      </c>
      <c r="W213" s="95"/>
      <c r="X213" s="95"/>
      <c r="Y213" s="95"/>
      <c r="Z213" s="95"/>
      <c r="AA213" s="95"/>
      <c r="AB213" s="95"/>
      <c r="AC213" s="95"/>
      <c r="AD213" s="95"/>
      <c r="AE213" s="95"/>
      <c r="AF213" s="95"/>
      <c r="AG213" s="95"/>
      <c r="AH213" s="95"/>
      <c r="AI213" s="95"/>
      <c r="AJ213" s="95"/>
      <c r="AK213" s="95"/>
      <c r="AL213" s="95"/>
      <c r="AM213" s="95"/>
      <c r="AN213" s="97"/>
      <c r="AO213" s="97"/>
      <c r="AP213" s="98"/>
    </row>
    <row r="214" spans="1:42" x14ac:dyDescent="0.25">
      <c r="A214" s="89" t="s">
        <v>622</v>
      </c>
      <c r="B214" s="90"/>
      <c r="C214" s="90"/>
      <c r="D214" s="90"/>
      <c r="E214" s="90"/>
      <c r="F214" s="90"/>
      <c r="G214" s="90"/>
      <c r="H214" s="90"/>
      <c r="I214" s="90"/>
      <c r="J214" s="90"/>
      <c r="K214" s="90"/>
      <c r="L214" s="90"/>
      <c r="M214" s="90"/>
      <c r="N214" s="90"/>
      <c r="O214" s="91"/>
      <c r="P214" s="90"/>
      <c r="Q214" s="90"/>
      <c r="R214" s="90"/>
      <c r="S214" s="90"/>
      <c r="T214" s="90"/>
      <c r="U214" s="90"/>
      <c r="V214" s="90"/>
      <c r="W214" s="90"/>
      <c r="X214" s="90"/>
      <c r="Y214" s="90"/>
      <c r="Z214" s="90"/>
      <c r="AA214" s="90"/>
      <c r="AB214" s="90"/>
      <c r="AC214" s="90"/>
      <c r="AD214" s="90"/>
      <c r="AE214" s="90"/>
      <c r="AF214" s="90"/>
      <c r="AG214" s="90"/>
      <c r="AH214" s="90"/>
      <c r="AI214" s="90"/>
      <c r="AJ214" s="90"/>
      <c r="AK214" s="90"/>
      <c r="AL214" s="90"/>
      <c r="AM214" s="90"/>
      <c r="AN214" s="92"/>
      <c r="AO214" s="92"/>
      <c r="AP214" s="93"/>
    </row>
    <row r="215" spans="1:42" x14ac:dyDescent="0.25">
      <c r="A215" s="84" t="s">
        <v>623</v>
      </c>
      <c r="B215" s="99"/>
      <c r="C215" s="99">
        <f>6%*char4ArtiStacks</f>
        <v>0</v>
      </c>
      <c r="D215" s="99"/>
      <c r="E215" s="99"/>
      <c r="F215" s="99"/>
      <c r="G215" s="99"/>
      <c r="H215" s="99"/>
      <c r="I215" s="99"/>
      <c r="J215" s="99">
        <f>6%*char4ArtiStacks</f>
        <v>0</v>
      </c>
      <c r="K215" s="99"/>
      <c r="L215" s="99"/>
      <c r="M215" s="99"/>
      <c r="N215" s="99"/>
      <c r="O215" s="100"/>
      <c r="P215" s="99"/>
      <c r="Q215" s="99"/>
      <c r="R215" s="99"/>
      <c r="S215" s="99"/>
      <c r="T215" s="99"/>
      <c r="U215" s="99"/>
      <c r="V215" s="99"/>
      <c r="W215" s="99"/>
      <c r="X215" s="99"/>
      <c r="Y215" s="99"/>
      <c r="Z215" s="99"/>
      <c r="AA215" s="99"/>
      <c r="AB215" s="99"/>
      <c r="AC215" s="99"/>
      <c r="AD215" s="99"/>
      <c r="AE215" s="99"/>
      <c r="AF215" s="99"/>
      <c r="AG215" s="99"/>
      <c r="AH215" s="99"/>
      <c r="AI215" s="99"/>
      <c r="AJ215" s="99"/>
      <c r="AK215" s="99"/>
      <c r="AL215" s="99"/>
      <c r="AM215" s="99"/>
      <c r="AN215" s="101"/>
      <c r="AO215" s="101"/>
      <c r="AP215" s="102"/>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008AB7-0DA8-4109-A8AE-35A80E5C0AD4}">
  <dimension ref="A1:AD66"/>
  <sheetViews>
    <sheetView topLeftCell="F41" workbookViewId="0">
      <selection activeCell="Z65" sqref="Z65"/>
    </sheetView>
  </sheetViews>
  <sheetFormatPr defaultRowHeight="15" x14ac:dyDescent="0.25"/>
  <sheetData>
    <row r="1" spans="1:29" x14ac:dyDescent="0.25">
      <c r="A1" t="s">
        <v>102</v>
      </c>
      <c r="B1" t="s">
        <v>435</v>
      </c>
      <c r="C1" t="s">
        <v>436</v>
      </c>
      <c r="D1" t="s">
        <v>437</v>
      </c>
      <c r="F1" t="s">
        <v>795</v>
      </c>
      <c r="G1" t="s">
        <v>64</v>
      </c>
      <c r="H1" t="s">
        <v>62</v>
      </c>
      <c r="I1" t="s">
        <v>67</v>
      </c>
      <c r="J1" t="s">
        <v>65</v>
      </c>
      <c r="K1" t="s">
        <v>66</v>
      </c>
      <c r="L1" t="s">
        <v>70</v>
      </c>
      <c r="M1" t="s">
        <v>73</v>
      </c>
      <c r="N1" t="s">
        <v>74</v>
      </c>
      <c r="O1" t="s">
        <v>75</v>
      </c>
      <c r="P1" t="s">
        <v>71</v>
      </c>
      <c r="Q1" t="s">
        <v>72</v>
      </c>
      <c r="R1" t="s">
        <v>76</v>
      </c>
      <c r="S1" t="s">
        <v>69</v>
      </c>
      <c r="T1" t="s">
        <v>68</v>
      </c>
      <c r="U1" t="s">
        <v>413</v>
      </c>
      <c r="V1" t="s">
        <v>414</v>
      </c>
      <c r="W1" t="s">
        <v>427</v>
      </c>
      <c r="Y1" t="s">
        <v>439</v>
      </c>
    </row>
    <row r="2" spans="1:29" x14ac:dyDescent="0.25">
      <c r="A2" t="s">
        <v>65</v>
      </c>
      <c r="B2" s="44">
        <v>4.9599999999999998E-2</v>
      </c>
      <c r="C2" s="44">
        <v>5.8299999999999998E-2</v>
      </c>
      <c r="D2" s="44">
        <v>4.9749999999999996E-2</v>
      </c>
      <c r="F2">
        <v>0</v>
      </c>
      <c r="G2">
        <v>717</v>
      </c>
      <c r="H2">
        <v>47</v>
      </c>
      <c r="I2">
        <v>7</v>
      </c>
      <c r="J2">
        <v>7</v>
      </c>
      <c r="K2">
        <v>8.6999999999999993</v>
      </c>
      <c r="L2">
        <v>8.6999999999999993</v>
      </c>
      <c r="M2">
        <v>7</v>
      </c>
      <c r="N2">
        <v>7</v>
      </c>
      <c r="O2">
        <v>7</v>
      </c>
      <c r="P2">
        <v>7</v>
      </c>
      <c r="Q2">
        <v>7</v>
      </c>
      <c r="R2">
        <v>7</v>
      </c>
      <c r="S2">
        <v>28</v>
      </c>
      <c r="T2">
        <v>7.8</v>
      </c>
      <c r="U2">
        <v>4.7</v>
      </c>
      <c r="V2">
        <v>9.3000000000000007</v>
      </c>
      <c r="W2">
        <v>5.4</v>
      </c>
      <c r="Y2" t="s">
        <v>441</v>
      </c>
      <c r="Z2" t="s">
        <v>440</v>
      </c>
      <c r="AA2" t="s">
        <v>442</v>
      </c>
    </row>
    <row r="3" spans="1:29" x14ac:dyDescent="0.25">
      <c r="A3" t="s">
        <v>414</v>
      </c>
      <c r="B3" s="44">
        <v>6.6199999999999995E-2</v>
      </c>
      <c r="C3" s="44">
        <v>7.7699999999999991E-2</v>
      </c>
      <c r="D3" s="44">
        <v>6.6000000000000003E-2</v>
      </c>
      <c r="F3">
        <v>1</v>
      </c>
      <c r="G3">
        <v>920</v>
      </c>
      <c r="H3">
        <v>60</v>
      </c>
      <c r="I3">
        <v>9</v>
      </c>
      <c r="J3">
        <v>9</v>
      </c>
      <c r="K3">
        <v>11.2</v>
      </c>
      <c r="L3">
        <v>11.2</v>
      </c>
      <c r="M3">
        <v>9</v>
      </c>
      <c r="N3">
        <v>9</v>
      </c>
      <c r="O3">
        <v>9</v>
      </c>
      <c r="P3">
        <v>9</v>
      </c>
      <c r="Q3">
        <v>9</v>
      </c>
      <c r="R3">
        <v>9</v>
      </c>
      <c r="S3">
        <v>36</v>
      </c>
      <c r="T3">
        <v>10</v>
      </c>
      <c r="U3">
        <v>6</v>
      </c>
      <c r="V3">
        <v>11.9</v>
      </c>
      <c r="W3">
        <v>6.9</v>
      </c>
      <c r="Y3" t="s">
        <v>67</v>
      </c>
      <c r="Z3" t="s">
        <v>67</v>
      </c>
      <c r="AA3" t="s">
        <v>67</v>
      </c>
    </row>
    <row r="4" spans="1:29" x14ac:dyDescent="0.25">
      <c r="A4" t="s">
        <v>413</v>
      </c>
      <c r="B4" s="44">
        <v>3.3099999999999997E-2</v>
      </c>
      <c r="C4" s="44">
        <v>3.8900000000000004E-2</v>
      </c>
      <c r="D4" s="44">
        <v>3.3000000000000002E-2</v>
      </c>
      <c r="F4">
        <v>2</v>
      </c>
      <c r="G4">
        <v>1123</v>
      </c>
      <c r="H4">
        <v>73</v>
      </c>
      <c r="I4">
        <v>11</v>
      </c>
      <c r="J4">
        <v>11</v>
      </c>
      <c r="K4">
        <v>13.7</v>
      </c>
      <c r="L4">
        <v>13.7</v>
      </c>
      <c r="M4">
        <v>11</v>
      </c>
      <c r="N4">
        <v>11</v>
      </c>
      <c r="O4">
        <v>11</v>
      </c>
      <c r="P4">
        <v>11</v>
      </c>
      <c r="Q4">
        <v>11</v>
      </c>
      <c r="R4">
        <v>11</v>
      </c>
      <c r="S4">
        <v>44</v>
      </c>
      <c r="T4">
        <v>12.2</v>
      </c>
      <c r="U4">
        <v>7.4</v>
      </c>
      <c r="V4">
        <v>14.6</v>
      </c>
      <c r="W4">
        <v>8.4</v>
      </c>
      <c r="Y4" t="s">
        <v>65</v>
      </c>
      <c r="Z4" t="s">
        <v>65</v>
      </c>
      <c r="AA4" t="s">
        <v>65</v>
      </c>
    </row>
    <row r="5" spans="1:29" x14ac:dyDescent="0.25">
      <c r="A5" t="s">
        <v>66</v>
      </c>
      <c r="B5" s="29">
        <v>6.2E-2</v>
      </c>
      <c r="C5" s="29">
        <v>7.2900000000000006E-2</v>
      </c>
      <c r="D5" s="44">
        <v>6.2E-2</v>
      </c>
      <c r="F5">
        <v>3</v>
      </c>
      <c r="G5">
        <v>1326</v>
      </c>
      <c r="H5">
        <v>86</v>
      </c>
      <c r="I5">
        <v>12.9</v>
      </c>
      <c r="J5">
        <v>12.9</v>
      </c>
      <c r="K5">
        <v>16.2</v>
      </c>
      <c r="L5">
        <v>16.2</v>
      </c>
      <c r="M5">
        <v>12.9</v>
      </c>
      <c r="N5">
        <v>12.9</v>
      </c>
      <c r="O5">
        <v>12.9</v>
      </c>
      <c r="P5">
        <v>12.9</v>
      </c>
      <c r="Q5">
        <v>12.9</v>
      </c>
      <c r="R5">
        <v>12.9</v>
      </c>
      <c r="S5">
        <v>52</v>
      </c>
      <c r="T5">
        <v>14.4</v>
      </c>
      <c r="U5">
        <v>8.6999999999999993</v>
      </c>
      <c r="V5">
        <v>17.2</v>
      </c>
      <c r="W5">
        <v>10</v>
      </c>
      <c r="Y5" t="s">
        <v>66</v>
      </c>
      <c r="Z5" t="s">
        <v>66</v>
      </c>
      <c r="AA5" t="s">
        <v>66</v>
      </c>
    </row>
    <row r="6" spans="1:29" x14ac:dyDescent="0.25">
      <c r="A6" t="s">
        <v>67</v>
      </c>
      <c r="B6" s="29">
        <v>4.9599999999999998E-2</v>
      </c>
      <c r="C6" s="29">
        <v>5.8299999999999998E-2</v>
      </c>
      <c r="D6" s="44">
        <v>0.05</v>
      </c>
      <c r="F6">
        <v>4</v>
      </c>
      <c r="G6">
        <v>1530</v>
      </c>
      <c r="H6">
        <v>100</v>
      </c>
      <c r="I6">
        <v>14.9</v>
      </c>
      <c r="J6">
        <v>14.9</v>
      </c>
      <c r="K6">
        <v>18.600000000000001</v>
      </c>
      <c r="L6">
        <v>16.2</v>
      </c>
      <c r="M6">
        <v>14.9</v>
      </c>
      <c r="N6">
        <v>14.9</v>
      </c>
      <c r="O6">
        <v>14.9</v>
      </c>
      <c r="P6">
        <v>14.9</v>
      </c>
      <c r="Q6">
        <v>14.9</v>
      </c>
      <c r="R6">
        <v>14.9</v>
      </c>
      <c r="S6">
        <v>60</v>
      </c>
      <c r="T6">
        <v>16.600000000000001</v>
      </c>
      <c r="U6">
        <v>10</v>
      </c>
      <c r="V6">
        <v>19.899999999999999</v>
      </c>
      <c r="W6">
        <v>11.5</v>
      </c>
      <c r="Y6" t="s">
        <v>69</v>
      </c>
      <c r="Z6" t="s">
        <v>69</v>
      </c>
      <c r="AA6" t="s">
        <v>69</v>
      </c>
    </row>
    <row r="7" spans="1:29" x14ac:dyDescent="0.25">
      <c r="A7" t="s">
        <v>68</v>
      </c>
      <c r="B7" s="29">
        <v>5.5100000000000003E-2</v>
      </c>
      <c r="C7" s="29">
        <v>6.4799999999999996E-2</v>
      </c>
      <c r="D7" s="44">
        <v>5.5E-2</v>
      </c>
      <c r="F7">
        <v>5</v>
      </c>
      <c r="G7">
        <v>1733</v>
      </c>
      <c r="H7">
        <v>113</v>
      </c>
      <c r="I7">
        <v>16.899999999999999</v>
      </c>
      <c r="J7">
        <v>16.899999999999999</v>
      </c>
      <c r="K7">
        <v>21.1</v>
      </c>
      <c r="L7">
        <v>21.1</v>
      </c>
      <c r="M7">
        <v>16.899999999999999</v>
      </c>
      <c r="N7">
        <v>16.899999999999999</v>
      </c>
      <c r="O7">
        <v>16.899999999999999</v>
      </c>
      <c r="P7">
        <v>16.899999999999999</v>
      </c>
      <c r="Q7">
        <v>16.899999999999999</v>
      </c>
      <c r="R7">
        <v>16.899999999999999</v>
      </c>
      <c r="S7">
        <v>68</v>
      </c>
      <c r="T7">
        <v>18.8</v>
      </c>
      <c r="U7">
        <v>11.4</v>
      </c>
      <c r="V7">
        <v>22.5</v>
      </c>
      <c r="W7">
        <v>13</v>
      </c>
      <c r="Y7" t="s">
        <v>68</v>
      </c>
      <c r="Z7" t="s">
        <v>70</v>
      </c>
      <c r="AA7" t="s">
        <v>413</v>
      </c>
    </row>
    <row r="8" spans="1:29" x14ac:dyDescent="0.25">
      <c r="A8" t="s">
        <v>62</v>
      </c>
      <c r="B8">
        <v>16.54</v>
      </c>
      <c r="C8">
        <v>19.45</v>
      </c>
      <c r="D8">
        <v>17</v>
      </c>
      <c r="F8">
        <v>6</v>
      </c>
      <c r="G8">
        <v>1936</v>
      </c>
      <c r="H8">
        <v>126</v>
      </c>
      <c r="I8">
        <v>18.899999999999999</v>
      </c>
      <c r="J8">
        <v>18.899999999999999</v>
      </c>
      <c r="K8">
        <v>23.6</v>
      </c>
      <c r="L8">
        <v>23.6</v>
      </c>
      <c r="M8">
        <v>18.899999999999999</v>
      </c>
      <c r="N8">
        <v>18.899999999999999</v>
      </c>
      <c r="O8">
        <v>18.899999999999999</v>
      </c>
      <c r="P8">
        <v>18.899999999999999</v>
      </c>
      <c r="Q8">
        <v>18.899999999999999</v>
      </c>
      <c r="R8">
        <v>18.899999999999999</v>
      </c>
      <c r="S8">
        <v>76</v>
      </c>
      <c r="T8">
        <v>21</v>
      </c>
      <c r="U8">
        <v>12.7</v>
      </c>
      <c r="V8">
        <v>25.2</v>
      </c>
      <c r="W8">
        <v>14.5</v>
      </c>
      <c r="Z8" t="s">
        <v>73</v>
      </c>
      <c r="AA8" t="s">
        <v>414</v>
      </c>
    </row>
    <row r="9" spans="1:29" x14ac:dyDescent="0.25">
      <c r="A9" t="s">
        <v>63</v>
      </c>
      <c r="B9">
        <v>19.68</v>
      </c>
      <c r="C9">
        <v>23.15</v>
      </c>
      <c r="D9">
        <v>20</v>
      </c>
      <c r="F9">
        <v>7</v>
      </c>
      <c r="G9">
        <v>2139</v>
      </c>
      <c r="H9">
        <v>139</v>
      </c>
      <c r="I9">
        <v>20.9</v>
      </c>
      <c r="J9">
        <v>20.9</v>
      </c>
      <c r="K9">
        <v>26.1</v>
      </c>
      <c r="L9">
        <v>26.1</v>
      </c>
      <c r="M9">
        <v>20.9</v>
      </c>
      <c r="N9">
        <v>20.9</v>
      </c>
      <c r="O9">
        <v>20.9</v>
      </c>
      <c r="P9">
        <v>20.9</v>
      </c>
      <c r="Q9">
        <v>20.9</v>
      </c>
      <c r="R9">
        <v>20.9</v>
      </c>
      <c r="S9">
        <v>84</v>
      </c>
      <c r="T9">
        <v>23.2</v>
      </c>
      <c r="U9">
        <v>14</v>
      </c>
      <c r="V9">
        <v>27.8</v>
      </c>
      <c r="W9">
        <v>16.100000000000001</v>
      </c>
      <c r="Z9" t="s">
        <v>74</v>
      </c>
      <c r="AA9" t="s">
        <v>427</v>
      </c>
    </row>
    <row r="10" spans="1:29" x14ac:dyDescent="0.25">
      <c r="A10" t="s">
        <v>64</v>
      </c>
      <c r="B10">
        <v>253.94</v>
      </c>
      <c r="C10">
        <v>298.75</v>
      </c>
      <c r="D10">
        <v>254</v>
      </c>
      <c r="F10">
        <v>8</v>
      </c>
      <c r="G10">
        <v>2342</v>
      </c>
      <c r="H10">
        <v>152</v>
      </c>
      <c r="I10">
        <v>22.8</v>
      </c>
      <c r="J10">
        <v>22.8</v>
      </c>
      <c r="K10">
        <v>28.6</v>
      </c>
      <c r="L10">
        <v>28.6</v>
      </c>
      <c r="M10">
        <v>22.8</v>
      </c>
      <c r="N10">
        <v>22.8</v>
      </c>
      <c r="O10">
        <v>22.8</v>
      </c>
      <c r="P10">
        <v>22.8</v>
      </c>
      <c r="Q10">
        <v>22.8</v>
      </c>
      <c r="R10">
        <v>22.8</v>
      </c>
      <c r="S10">
        <v>91</v>
      </c>
      <c r="T10">
        <v>25.4</v>
      </c>
      <c r="U10">
        <v>15.4</v>
      </c>
      <c r="V10">
        <v>30.5</v>
      </c>
      <c r="W10">
        <v>17.600000000000001</v>
      </c>
      <c r="Z10" t="s">
        <v>75</v>
      </c>
    </row>
    <row r="11" spans="1:29" x14ac:dyDescent="0.25">
      <c r="A11" t="s">
        <v>69</v>
      </c>
      <c r="B11">
        <v>19.82</v>
      </c>
      <c r="C11">
        <v>23.31</v>
      </c>
      <c r="D11">
        <v>19.75</v>
      </c>
      <c r="F11">
        <v>9</v>
      </c>
      <c r="G11">
        <v>2545</v>
      </c>
      <c r="H11">
        <v>166</v>
      </c>
      <c r="I11">
        <v>24.8</v>
      </c>
      <c r="J11">
        <v>24.8</v>
      </c>
      <c r="K11">
        <v>31</v>
      </c>
      <c r="L11">
        <v>31</v>
      </c>
      <c r="M11">
        <v>24.8</v>
      </c>
      <c r="N11">
        <v>24.8</v>
      </c>
      <c r="O11">
        <v>24.8</v>
      </c>
      <c r="P11">
        <v>24.8</v>
      </c>
      <c r="Q11">
        <v>24.8</v>
      </c>
      <c r="R11">
        <v>24.8</v>
      </c>
      <c r="S11">
        <v>99</v>
      </c>
      <c r="T11">
        <v>27.6</v>
      </c>
      <c r="U11">
        <v>16.7</v>
      </c>
      <c r="V11">
        <v>33.1</v>
      </c>
      <c r="W11">
        <v>19.100000000000001</v>
      </c>
      <c r="Z11" t="s">
        <v>76</v>
      </c>
    </row>
    <row r="12" spans="1:29" x14ac:dyDescent="0.25">
      <c r="F12">
        <v>10</v>
      </c>
      <c r="G12">
        <v>2749</v>
      </c>
      <c r="H12">
        <v>179</v>
      </c>
      <c r="I12">
        <v>26.8</v>
      </c>
      <c r="J12">
        <v>26.8</v>
      </c>
      <c r="K12">
        <v>33.5</v>
      </c>
      <c r="L12">
        <v>33.5</v>
      </c>
      <c r="M12">
        <v>26.8</v>
      </c>
      <c r="N12">
        <v>26.8</v>
      </c>
      <c r="O12">
        <v>26.8</v>
      </c>
      <c r="P12">
        <v>26.8</v>
      </c>
      <c r="Q12">
        <v>26.8</v>
      </c>
      <c r="R12">
        <v>26.8</v>
      </c>
      <c r="S12">
        <v>107</v>
      </c>
      <c r="T12">
        <v>29.8</v>
      </c>
      <c r="U12">
        <v>18</v>
      </c>
      <c r="V12">
        <v>35.799999999999997</v>
      </c>
      <c r="W12">
        <v>20.6</v>
      </c>
      <c r="Z12" t="s">
        <v>71</v>
      </c>
    </row>
    <row r="13" spans="1:29" x14ac:dyDescent="0.25">
      <c r="F13">
        <v>11</v>
      </c>
      <c r="G13">
        <v>2952</v>
      </c>
      <c r="H13">
        <v>192</v>
      </c>
      <c r="I13">
        <v>28.8</v>
      </c>
      <c r="J13">
        <v>28.8</v>
      </c>
      <c r="K13">
        <v>36</v>
      </c>
      <c r="L13">
        <v>36</v>
      </c>
      <c r="M13">
        <v>28.8</v>
      </c>
      <c r="N13">
        <v>28.8</v>
      </c>
      <c r="O13">
        <v>28.8</v>
      </c>
      <c r="P13">
        <v>28.8</v>
      </c>
      <c r="Q13">
        <v>28.8</v>
      </c>
      <c r="R13">
        <v>28.8</v>
      </c>
      <c r="S13">
        <v>115</v>
      </c>
      <c r="T13">
        <v>32</v>
      </c>
      <c r="U13">
        <v>19.3</v>
      </c>
      <c r="V13">
        <v>38.4</v>
      </c>
      <c r="W13">
        <v>22.2</v>
      </c>
      <c r="Z13" t="s">
        <v>72</v>
      </c>
    </row>
    <row r="14" spans="1:29" x14ac:dyDescent="0.25">
      <c r="F14">
        <v>12</v>
      </c>
      <c r="G14">
        <v>3155</v>
      </c>
      <c r="H14">
        <v>205</v>
      </c>
      <c r="I14">
        <v>30.8</v>
      </c>
      <c r="J14">
        <v>30.8</v>
      </c>
      <c r="K14">
        <v>38.5</v>
      </c>
      <c r="L14">
        <v>38.5</v>
      </c>
      <c r="M14">
        <v>30.8</v>
      </c>
      <c r="N14">
        <v>30.8</v>
      </c>
      <c r="O14">
        <v>30.8</v>
      </c>
      <c r="P14">
        <v>30.8</v>
      </c>
      <c r="Q14">
        <v>30.8</v>
      </c>
      <c r="R14">
        <v>30.8</v>
      </c>
      <c r="S14">
        <v>123</v>
      </c>
      <c r="T14">
        <v>34.200000000000003</v>
      </c>
      <c r="U14">
        <v>20.7</v>
      </c>
      <c r="V14">
        <v>41.1</v>
      </c>
      <c r="W14">
        <v>23.7</v>
      </c>
    </row>
    <row r="15" spans="1:29" x14ac:dyDescent="0.25">
      <c r="F15">
        <v>13</v>
      </c>
      <c r="G15">
        <v>3358</v>
      </c>
      <c r="H15">
        <v>219</v>
      </c>
      <c r="I15">
        <v>32.799999999999997</v>
      </c>
      <c r="J15">
        <v>32.799999999999997</v>
      </c>
      <c r="K15">
        <v>40.9</v>
      </c>
      <c r="L15">
        <v>40.9</v>
      </c>
      <c r="M15">
        <v>32.799999999999997</v>
      </c>
      <c r="N15">
        <v>32.799999999999997</v>
      </c>
      <c r="O15">
        <v>32.799999999999997</v>
      </c>
      <c r="P15">
        <v>32.799999999999997</v>
      </c>
      <c r="Q15">
        <v>32.799999999999997</v>
      </c>
      <c r="R15">
        <v>32.799999999999997</v>
      </c>
      <c r="S15">
        <v>131</v>
      </c>
      <c r="T15">
        <v>36.4</v>
      </c>
      <c r="U15">
        <v>22</v>
      </c>
      <c r="V15">
        <v>43.7</v>
      </c>
      <c r="W15">
        <v>25.2</v>
      </c>
      <c r="Y15" t="s">
        <v>443</v>
      </c>
    </row>
    <row r="16" spans="1:29" x14ac:dyDescent="0.25">
      <c r="F16">
        <v>14</v>
      </c>
      <c r="G16">
        <v>3561</v>
      </c>
      <c r="H16">
        <v>232</v>
      </c>
      <c r="I16">
        <v>34.700000000000003</v>
      </c>
      <c r="J16">
        <v>34.700000000000003</v>
      </c>
      <c r="K16">
        <v>43.4</v>
      </c>
      <c r="L16">
        <v>43.4</v>
      </c>
      <c r="M16">
        <v>34.700000000000003</v>
      </c>
      <c r="N16">
        <v>34.700000000000003</v>
      </c>
      <c r="O16">
        <v>34.700000000000003</v>
      </c>
      <c r="P16">
        <v>34.700000000000003</v>
      </c>
      <c r="Q16">
        <v>34.700000000000003</v>
      </c>
      <c r="R16">
        <v>34.700000000000003</v>
      </c>
      <c r="S16">
        <v>139</v>
      </c>
      <c r="T16">
        <v>38.6</v>
      </c>
      <c r="U16">
        <v>23.3</v>
      </c>
      <c r="V16">
        <v>46.3</v>
      </c>
      <c r="W16">
        <v>26.7</v>
      </c>
      <c r="Y16" t="s">
        <v>800</v>
      </c>
      <c r="Z16" t="s">
        <v>801</v>
      </c>
      <c r="AA16" t="s">
        <v>802</v>
      </c>
      <c r="AB16" t="s">
        <v>803</v>
      </c>
      <c r="AC16" t="s">
        <v>804</v>
      </c>
    </row>
    <row r="17" spans="6:29" x14ac:dyDescent="0.25">
      <c r="F17">
        <v>15</v>
      </c>
      <c r="G17">
        <v>3764</v>
      </c>
      <c r="H17">
        <v>245</v>
      </c>
      <c r="I17">
        <v>36.700000000000003</v>
      </c>
      <c r="J17">
        <v>36.700000000000003</v>
      </c>
      <c r="K17">
        <v>45.9</v>
      </c>
      <c r="L17">
        <v>45.9</v>
      </c>
      <c r="M17">
        <v>36.700000000000003</v>
      </c>
      <c r="N17">
        <v>36.700000000000003</v>
      </c>
      <c r="O17">
        <v>36.700000000000003</v>
      </c>
      <c r="P17">
        <v>36.700000000000003</v>
      </c>
      <c r="Q17">
        <v>36.700000000000003</v>
      </c>
      <c r="R17">
        <v>36.700000000000003</v>
      </c>
      <c r="S17">
        <v>147</v>
      </c>
      <c r="T17">
        <v>40.799999999999997</v>
      </c>
      <c r="U17">
        <v>24.7</v>
      </c>
      <c r="V17">
        <v>49</v>
      </c>
      <c r="W17">
        <v>28.3</v>
      </c>
      <c r="Y17">
        <v>1</v>
      </c>
      <c r="Z17">
        <v>1</v>
      </c>
      <c r="AA17">
        <v>1</v>
      </c>
      <c r="AB17">
        <v>1</v>
      </c>
      <c r="AC17">
        <v>1</v>
      </c>
    </row>
    <row r="18" spans="6:29" x14ac:dyDescent="0.25">
      <c r="F18">
        <v>16</v>
      </c>
      <c r="G18">
        <v>3967</v>
      </c>
      <c r="H18">
        <v>258</v>
      </c>
      <c r="I18">
        <v>38.700000000000003</v>
      </c>
      <c r="J18">
        <v>38.700000000000003</v>
      </c>
      <c r="K18">
        <v>48.4</v>
      </c>
      <c r="L18">
        <v>48.4</v>
      </c>
      <c r="M18">
        <v>38.700000000000003</v>
      </c>
      <c r="N18">
        <v>38.700000000000003</v>
      </c>
      <c r="O18">
        <v>38.700000000000003</v>
      </c>
      <c r="P18">
        <v>38.700000000000003</v>
      </c>
      <c r="Q18">
        <v>38.700000000000003</v>
      </c>
      <c r="R18">
        <v>38.700000000000003</v>
      </c>
      <c r="S18">
        <v>155</v>
      </c>
      <c r="T18">
        <v>43</v>
      </c>
      <c r="U18">
        <v>26</v>
      </c>
      <c r="V18">
        <v>51.6</v>
      </c>
      <c r="W18">
        <v>29.8</v>
      </c>
      <c r="Y18">
        <v>2</v>
      </c>
      <c r="Z18">
        <v>2</v>
      </c>
      <c r="AA18">
        <v>2</v>
      </c>
      <c r="AB18">
        <v>2</v>
      </c>
      <c r="AC18">
        <v>2</v>
      </c>
    </row>
    <row r="19" spans="6:29" x14ac:dyDescent="0.25">
      <c r="F19">
        <v>17</v>
      </c>
      <c r="G19">
        <v>4171</v>
      </c>
      <c r="H19">
        <v>272</v>
      </c>
      <c r="I19">
        <v>40.700000000000003</v>
      </c>
      <c r="J19">
        <v>40.700000000000003</v>
      </c>
      <c r="K19">
        <v>50.8</v>
      </c>
      <c r="L19">
        <v>50.8</v>
      </c>
      <c r="M19">
        <v>40.700000000000003</v>
      </c>
      <c r="N19">
        <v>40.700000000000003</v>
      </c>
      <c r="O19">
        <v>40.700000000000003</v>
      </c>
      <c r="P19">
        <v>40.700000000000003</v>
      </c>
      <c r="Q19">
        <v>40.700000000000003</v>
      </c>
      <c r="R19">
        <v>40.700000000000003</v>
      </c>
      <c r="S19">
        <v>163</v>
      </c>
      <c r="T19">
        <v>45.2</v>
      </c>
      <c r="U19">
        <v>27.3</v>
      </c>
      <c r="V19">
        <v>54.3</v>
      </c>
      <c r="W19">
        <v>31.3</v>
      </c>
      <c r="Y19">
        <v>3</v>
      </c>
      <c r="Z19">
        <v>3</v>
      </c>
      <c r="AA19">
        <v>3</v>
      </c>
      <c r="AB19">
        <v>3</v>
      </c>
      <c r="AC19">
        <v>3</v>
      </c>
    </row>
    <row r="20" spans="6:29" x14ac:dyDescent="0.25">
      <c r="F20">
        <v>18</v>
      </c>
      <c r="G20">
        <v>4374</v>
      </c>
      <c r="H20">
        <v>285</v>
      </c>
      <c r="I20">
        <v>42.7</v>
      </c>
      <c r="J20">
        <v>42.7</v>
      </c>
      <c r="K20">
        <v>53.3</v>
      </c>
      <c r="L20">
        <v>53.3</v>
      </c>
      <c r="M20">
        <v>42.7</v>
      </c>
      <c r="N20">
        <v>42.7</v>
      </c>
      <c r="O20">
        <v>42.7</v>
      </c>
      <c r="P20">
        <v>42.7</v>
      </c>
      <c r="Q20">
        <v>42.7</v>
      </c>
      <c r="R20">
        <v>42.7</v>
      </c>
      <c r="S20">
        <v>171</v>
      </c>
      <c r="T20">
        <v>47.4</v>
      </c>
      <c r="U20">
        <v>28.7</v>
      </c>
      <c r="V20">
        <v>56.9</v>
      </c>
      <c r="W20">
        <v>32.799999999999997</v>
      </c>
      <c r="Y20">
        <v>4</v>
      </c>
      <c r="Z20">
        <v>4</v>
      </c>
      <c r="AA20">
        <v>4</v>
      </c>
      <c r="AB20">
        <v>4</v>
      </c>
      <c r="AC20">
        <v>4</v>
      </c>
    </row>
    <row r="21" spans="6:29" x14ac:dyDescent="0.25">
      <c r="F21">
        <v>19</v>
      </c>
      <c r="G21">
        <v>4577</v>
      </c>
      <c r="H21">
        <v>298</v>
      </c>
      <c r="I21">
        <v>44.6</v>
      </c>
      <c r="J21">
        <v>44.6</v>
      </c>
      <c r="K21">
        <v>55.8</v>
      </c>
      <c r="L21">
        <v>55.8</v>
      </c>
      <c r="M21">
        <v>44.6</v>
      </c>
      <c r="N21">
        <v>44.6</v>
      </c>
      <c r="O21">
        <v>44.6</v>
      </c>
      <c r="P21">
        <v>44.6</v>
      </c>
      <c r="Q21">
        <v>44.6</v>
      </c>
      <c r="R21">
        <v>44.6</v>
      </c>
      <c r="S21">
        <v>179</v>
      </c>
      <c r="T21">
        <v>49.6</v>
      </c>
      <c r="U21">
        <v>30</v>
      </c>
      <c r="V21">
        <v>59.6</v>
      </c>
      <c r="W21">
        <v>34.4</v>
      </c>
      <c r="Y21">
        <v>5</v>
      </c>
      <c r="Z21">
        <v>5</v>
      </c>
      <c r="AA21">
        <v>5</v>
      </c>
    </row>
    <row r="22" spans="6:29" x14ac:dyDescent="0.25">
      <c r="F22">
        <v>20</v>
      </c>
      <c r="G22">
        <v>4780</v>
      </c>
      <c r="H22">
        <v>311</v>
      </c>
      <c r="I22">
        <v>46.6</v>
      </c>
      <c r="J22">
        <v>46.6</v>
      </c>
      <c r="K22">
        <v>58.3</v>
      </c>
      <c r="L22">
        <v>58.3</v>
      </c>
      <c r="M22">
        <v>46.6</v>
      </c>
      <c r="N22">
        <v>46.6</v>
      </c>
      <c r="O22">
        <v>46.6</v>
      </c>
      <c r="P22">
        <v>46.6</v>
      </c>
      <c r="Q22">
        <v>46.6</v>
      </c>
      <c r="R22">
        <v>46.6</v>
      </c>
      <c r="S22">
        <v>187</v>
      </c>
      <c r="T22">
        <v>51.8</v>
      </c>
      <c r="U22">
        <v>31.1</v>
      </c>
      <c r="V22">
        <v>62.2</v>
      </c>
      <c r="W22">
        <v>35.9</v>
      </c>
      <c r="Y22">
        <v>6</v>
      </c>
      <c r="Z22">
        <v>6</v>
      </c>
      <c r="AA22">
        <v>6</v>
      </c>
    </row>
    <row r="23" spans="6:29" x14ac:dyDescent="0.25">
      <c r="F23" t="s">
        <v>796</v>
      </c>
      <c r="G23" t="s">
        <v>226</v>
      </c>
      <c r="H23" t="s">
        <v>127</v>
      </c>
      <c r="I23" t="s">
        <v>67</v>
      </c>
      <c r="J23" t="s">
        <v>65</v>
      </c>
      <c r="K23" t="s">
        <v>66</v>
      </c>
      <c r="L23" t="s">
        <v>70</v>
      </c>
      <c r="M23" t="s">
        <v>73</v>
      </c>
      <c r="N23" t="s">
        <v>74</v>
      </c>
      <c r="O23" t="s">
        <v>75</v>
      </c>
      <c r="P23" t="s">
        <v>71</v>
      </c>
      <c r="Q23" t="s">
        <v>72</v>
      </c>
      <c r="R23" t="s">
        <v>76</v>
      </c>
      <c r="S23" t="s">
        <v>69</v>
      </c>
      <c r="T23" t="s">
        <v>68</v>
      </c>
      <c r="U23" t="s">
        <v>413</v>
      </c>
      <c r="V23" t="s">
        <v>414</v>
      </c>
      <c r="W23" t="s">
        <v>427</v>
      </c>
      <c r="Y23">
        <v>7</v>
      </c>
      <c r="Z23">
        <v>7</v>
      </c>
      <c r="AA23">
        <v>7</v>
      </c>
    </row>
    <row r="24" spans="6:29" x14ac:dyDescent="0.25">
      <c r="F24">
        <v>0</v>
      </c>
      <c r="G24">
        <v>645</v>
      </c>
      <c r="H24">
        <v>42</v>
      </c>
      <c r="I24">
        <v>6.3</v>
      </c>
      <c r="J24">
        <v>6.3</v>
      </c>
      <c r="K24">
        <v>7.9</v>
      </c>
      <c r="L24">
        <v>7.9</v>
      </c>
      <c r="M24">
        <v>6.3</v>
      </c>
      <c r="N24">
        <v>6.3</v>
      </c>
      <c r="O24">
        <v>6.3</v>
      </c>
      <c r="P24">
        <v>6.3</v>
      </c>
      <c r="Q24">
        <v>6.3</v>
      </c>
      <c r="R24">
        <v>6.3</v>
      </c>
      <c r="S24">
        <v>25</v>
      </c>
      <c r="T24">
        <v>7</v>
      </c>
      <c r="U24">
        <v>4.2</v>
      </c>
      <c r="V24">
        <v>8.4</v>
      </c>
      <c r="W24">
        <v>4.8</v>
      </c>
      <c r="Y24">
        <v>8</v>
      </c>
      <c r="Z24">
        <v>8</v>
      </c>
      <c r="AA24">
        <v>8</v>
      </c>
    </row>
    <row r="25" spans="6:29" x14ac:dyDescent="0.25">
      <c r="F25">
        <v>1</v>
      </c>
      <c r="G25">
        <v>828</v>
      </c>
      <c r="H25">
        <v>54</v>
      </c>
      <c r="I25">
        <v>8.1</v>
      </c>
      <c r="J25">
        <v>8.1</v>
      </c>
      <c r="K25">
        <v>10.1</v>
      </c>
      <c r="L25">
        <v>10.1</v>
      </c>
      <c r="M25">
        <v>8.1</v>
      </c>
      <c r="N25">
        <v>8.1</v>
      </c>
      <c r="O25">
        <v>8.1</v>
      </c>
      <c r="P25">
        <v>8.1</v>
      </c>
      <c r="Q25">
        <v>8.1</v>
      </c>
      <c r="R25">
        <v>8.1</v>
      </c>
      <c r="S25">
        <v>32</v>
      </c>
      <c r="T25">
        <v>9</v>
      </c>
      <c r="U25">
        <v>5.4</v>
      </c>
      <c r="V25">
        <v>10.8</v>
      </c>
      <c r="W25">
        <v>6.2</v>
      </c>
      <c r="Y25">
        <v>9</v>
      </c>
      <c r="Z25">
        <v>9</v>
      </c>
      <c r="AA25">
        <v>9</v>
      </c>
    </row>
    <row r="26" spans="6:29" x14ac:dyDescent="0.25">
      <c r="F26">
        <v>2</v>
      </c>
      <c r="G26">
        <v>1011</v>
      </c>
      <c r="H26">
        <v>66</v>
      </c>
      <c r="I26">
        <v>9.9</v>
      </c>
      <c r="J26">
        <v>9.9</v>
      </c>
      <c r="K26">
        <v>12.3</v>
      </c>
      <c r="L26">
        <v>12.3</v>
      </c>
      <c r="M26">
        <v>9.9</v>
      </c>
      <c r="N26">
        <v>9.9</v>
      </c>
      <c r="O26">
        <v>9.9</v>
      </c>
      <c r="P26">
        <v>9.9</v>
      </c>
      <c r="Q26">
        <v>9.9</v>
      </c>
      <c r="R26">
        <v>9.9</v>
      </c>
      <c r="S26">
        <v>39</v>
      </c>
      <c r="T26">
        <v>11</v>
      </c>
      <c r="U26">
        <v>6.6</v>
      </c>
      <c r="V26">
        <v>13.1</v>
      </c>
      <c r="W26">
        <v>7.6</v>
      </c>
      <c r="Y26">
        <v>10</v>
      </c>
      <c r="Z26">
        <v>10</v>
      </c>
      <c r="AA26">
        <v>10</v>
      </c>
    </row>
    <row r="27" spans="6:29" x14ac:dyDescent="0.25">
      <c r="F27">
        <v>3</v>
      </c>
      <c r="G27">
        <v>1194</v>
      </c>
      <c r="H27">
        <v>78</v>
      </c>
      <c r="I27">
        <v>11.6</v>
      </c>
      <c r="J27">
        <v>11.6</v>
      </c>
      <c r="K27">
        <v>14.6</v>
      </c>
      <c r="L27">
        <v>14.6</v>
      </c>
      <c r="M27">
        <v>11.6</v>
      </c>
      <c r="N27">
        <v>11.6</v>
      </c>
      <c r="O27">
        <v>11.6</v>
      </c>
      <c r="P27">
        <v>11.6</v>
      </c>
      <c r="Q27">
        <v>11.6</v>
      </c>
      <c r="R27">
        <v>11.6</v>
      </c>
      <c r="S27">
        <v>47</v>
      </c>
      <c r="T27">
        <v>12.9</v>
      </c>
      <c r="U27">
        <v>7.8</v>
      </c>
      <c r="V27">
        <v>15.5</v>
      </c>
      <c r="W27">
        <v>9</v>
      </c>
      <c r="Y27">
        <v>11</v>
      </c>
      <c r="Z27">
        <v>11</v>
      </c>
      <c r="AA27">
        <v>11</v>
      </c>
    </row>
    <row r="28" spans="6:29" x14ac:dyDescent="0.25">
      <c r="F28">
        <v>4</v>
      </c>
      <c r="G28">
        <v>1377</v>
      </c>
      <c r="H28">
        <v>90</v>
      </c>
      <c r="I28">
        <v>13.4</v>
      </c>
      <c r="J28">
        <v>13.4</v>
      </c>
      <c r="K28">
        <v>16.8</v>
      </c>
      <c r="L28">
        <v>16.8</v>
      </c>
      <c r="M28">
        <v>13.4</v>
      </c>
      <c r="N28">
        <v>13.4</v>
      </c>
      <c r="O28">
        <v>13.4</v>
      </c>
      <c r="P28">
        <v>13.4</v>
      </c>
      <c r="Q28">
        <v>13.4</v>
      </c>
      <c r="R28">
        <v>13.4</v>
      </c>
      <c r="S28">
        <v>54</v>
      </c>
      <c r="T28">
        <v>14.9</v>
      </c>
      <c r="U28">
        <v>9</v>
      </c>
      <c r="V28">
        <v>17.899999999999999</v>
      </c>
      <c r="W28">
        <v>10.3</v>
      </c>
      <c r="Y28">
        <v>12</v>
      </c>
      <c r="Z28">
        <v>12</v>
      </c>
      <c r="AA28">
        <v>12</v>
      </c>
    </row>
    <row r="29" spans="6:29" x14ac:dyDescent="0.25">
      <c r="F29">
        <v>5</v>
      </c>
      <c r="G29">
        <v>1559</v>
      </c>
      <c r="H29">
        <v>102</v>
      </c>
      <c r="I29">
        <v>15.2</v>
      </c>
      <c r="J29">
        <v>15.2</v>
      </c>
      <c r="K29">
        <v>19</v>
      </c>
      <c r="L29">
        <v>19</v>
      </c>
      <c r="M29">
        <v>15.2</v>
      </c>
      <c r="N29">
        <v>15.2</v>
      </c>
      <c r="O29">
        <v>15.2</v>
      </c>
      <c r="P29">
        <v>15.2</v>
      </c>
      <c r="Q29">
        <v>15.2</v>
      </c>
      <c r="R29">
        <v>15.2</v>
      </c>
      <c r="S29">
        <v>61</v>
      </c>
      <c r="T29">
        <v>16.899999999999999</v>
      </c>
      <c r="U29">
        <v>10.1</v>
      </c>
      <c r="V29">
        <v>20.3</v>
      </c>
      <c r="W29">
        <v>11.7</v>
      </c>
      <c r="Y29">
        <v>13</v>
      </c>
      <c r="Z29">
        <v>13</v>
      </c>
    </row>
    <row r="30" spans="6:29" x14ac:dyDescent="0.25">
      <c r="F30">
        <v>6</v>
      </c>
      <c r="G30">
        <v>1742</v>
      </c>
      <c r="H30">
        <v>113</v>
      </c>
      <c r="I30">
        <v>17</v>
      </c>
      <c r="J30">
        <v>17</v>
      </c>
      <c r="K30">
        <v>21.2</v>
      </c>
      <c r="L30">
        <v>21.2</v>
      </c>
      <c r="M30">
        <v>17</v>
      </c>
      <c r="N30">
        <v>17</v>
      </c>
      <c r="O30">
        <v>17</v>
      </c>
      <c r="P30">
        <v>17</v>
      </c>
      <c r="Q30">
        <v>17</v>
      </c>
      <c r="R30">
        <v>17</v>
      </c>
      <c r="S30">
        <v>68</v>
      </c>
      <c r="T30">
        <v>18.899999999999999</v>
      </c>
      <c r="U30">
        <v>11.3</v>
      </c>
      <c r="V30">
        <v>22.7</v>
      </c>
      <c r="W30">
        <v>13.1</v>
      </c>
      <c r="Y30">
        <v>14</v>
      </c>
      <c r="Z30">
        <v>14</v>
      </c>
    </row>
    <row r="31" spans="6:29" x14ac:dyDescent="0.25">
      <c r="F31">
        <v>7</v>
      </c>
      <c r="G31">
        <v>1925</v>
      </c>
      <c r="H31">
        <v>125</v>
      </c>
      <c r="I31">
        <v>18.8</v>
      </c>
      <c r="J31">
        <v>18.8</v>
      </c>
      <c r="K31">
        <v>23.5</v>
      </c>
      <c r="L31">
        <v>23.5</v>
      </c>
      <c r="M31">
        <v>18.8</v>
      </c>
      <c r="N31">
        <v>18.8</v>
      </c>
      <c r="O31">
        <v>18.8</v>
      </c>
      <c r="P31">
        <v>18.8</v>
      </c>
      <c r="Q31">
        <v>18.8</v>
      </c>
      <c r="R31">
        <v>18.8</v>
      </c>
      <c r="S31">
        <v>75</v>
      </c>
      <c r="T31">
        <v>20.9</v>
      </c>
      <c r="U31">
        <v>12.5</v>
      </c>
      <c r="V31">
        <v>25</v>
      </c>
      <c r="W31">
        <v>14.4</v>
      </c>
      <c r="Y31">
        <v>15</v>
      </c>
      <c r="Z31">
        <v>15</v>
      </c>
    </row>
    <row r="32" spans="6:29" x14ac:dyDescent="0.25">
      <c r="F32">
        <v>8</v>
      </c>
      <c r="G32">
        <v>2108</v>
      </c>
      <c r="H32">
        <v>137</v>
      </c>
      <c r="I32">
        <v>20.6</v>
      </c>
      <c r="J32">
        <v>20.6</v>
      </c>
      <c r="K32">
        <v>25.7</v>
      </c>
      <c r="L32">
        <v>25.7</v>
      </c>
      <c r="M32">
        <v>20.6</v>
      </c>
      <c r="N32">
        <v>20.6</v>
      </c>
      <c r="O32">
        <v>20.6</v>
      </c>
      <c r="P32">
        <v>20.6</v>
      </c>
      <c r="Q32">
        <v>20.6</v>
      </c>
      <c r="R32">
        <v>20.6</v>
      </c>
      <c r="S32">
        <v>82</v>
      </c>
      <c r="T32">
        <v>22.8</v>
      </c>
      <c r="U32">
        <v>13.7</v>
      </c>
      <c r="V32">
        <v>27.4</v>
      </c>
      <c r="W32">
        <v>15.8</v>
      </c>
      <c r="Y32">
        <v>16</v>
      </c>
      <c r="Z32">
        <v>16</v>
      </c>
    </row>
    <row r="33" spans="6:26" x14ac:dyDescent="0.25">
      <c r="F33">
        <v>9</v>
      </c>
      <c r="G33">
        <v>2291</v>
      </c>
      <c r="H33">
        <v>149</v>
      </c>
      <c r="I33">
        <v>22.3</v>
      </c>
      <c r="J33">
        <v>22.3</v>
      </c>
      <c r="K33">
        <v>27.9</v>
      </c>
      <c r="L33">
        <v>27.9</v>
      </c>
      <c r="M33">
        <v>22.3</v>
      </c>
      <c r="N33">
        <v>22.3</v>
      </c>
      <c r="O33">
        <v>22.3</v>
      </c>
      <c r="P33">
        <v>22.3</v>
      </c>
      <c r="Q33">
        <v>22.3</v>
      </c>
      <c r="R33">
        <v>22.3</v>
      </c>
      <c r="S33">
        <v>89</v>
      </c>
      <c r="T33">
        <v>24.8</v>
      </c>
      <c r="U33">
        <v>14.9</v>
      </c>
      <c r="V33">
        <v>29.8</v>
      </c>
      <c r="W33">
        <v>17.2</v>
      </c>
      <c r="Y33">
        <v>17</v>
      </c>
    </row>
    <row r="34" spans="6:26" x14ac:dyDescent="0.25">
      <c r="F34">
        <v>10</v>
      </c>
      <c r="G34">
        <v>2474</v>
      </c>
      <c r="H34">
        <v>161</v>
      </c>
      <c r="I34">
        <v>24.1</v>
      </c>
      <c r="J34">
        <v>24.1</v>
      </c>
      <c r="K34">
        <v>30.2</v>
      </c>
      <c r="L34">
        <v>30.2</v>
      </c>
      <c r="M34">
        <v>24.1</v>
      </c>
      <c r="N34">
        <v>24.1</v>
      </c>
      <c r="O34">
        <v>24.1</v>
      </c>
      <c r="P34">
        <v>24.1</v>
      </c>
      <c r="Q34">
        <v>24.1</v>
      </c>
      <c r="R34">
        <v>24.1</v>
      </c>
      <c r="S34">
        <v>97</v>
      </c>
      <c r="T34">
        <v>26.8</v>
      </c>
      <c r="U34">
        <v>16.100000000000001</v>
      </c>
      <c r="V34">
        <v>32.200000000000003</v>
      </c>
      <c r="W34">
        <v>18.600000000000001</v>
      </c>
      <c r="Y34">
        <v>18</v>
      </c>
    </row>
    <row r="35" spans="6:26" x14ac:dyDescent="0.25">
      <c r="F35">
        <v>11</v>
      </c>
      <c r="G35">
        <v>2657</v>
      </c>
      <c r="H35">
        <v>173</v>
      </c>
      <c r="I35">
        <v>25.9</v>
      </c>
      <c r="J35">
        <v>25.9</v>
      </c>
      <c r="K35">
        <v>32.4</v>
      </c>
      <c r="L35">
        <v>32.4</v>
      </c>
      <c r="M35">
        <v>25.9</v>
      </c>
      <c r="N35">
        <v>25.9</v>
      </c>
      <c r="O35">
        <v>25.9</v>
      </c>
      <c r="P35">
        <v>25.9</v>
      </c>
      <c r="Q35">
        <v>25.9</v>
      </c>
      <c r="R35">
        <v>25.9</v>
      </c>
      <c r="S35">
        <v>104</v>
      </c>
      <c r="T35">
        <v>28.8</v>
      </c>
      <c r="U35">
        <v>17.3</v>
      </c>
      <c r="V35">
        <v>34.5</v>
      </c>
      <c r="W35">
        <v>19.899999999999999</v>
      </c>
      <c r="Y35">
        <v>19</v>
      </c>
    </row>
    <row r="36" spans="6:26" x14ac:dyDescent="0.25">
      <c r="F36">
        <v>12</v>
      </c>
      <c r="G36">
        <v>2839</v>
      </c>
      <c r="H36">
        <v>185</v>
      </c>
      <c r="I36">
        <v>27.7</v>
      </c>
      <c r="J36">
        <v>27.7</v>
      </c>
      <c r="K36">
        <v>34.6</v>
      </c>
      <c r="L36">
        <v>34.6</v>
      </c>
      <c r="M36">
        <v>27.7</v>
      </c>
      <c r="N36">
        <v>27.7</v>
      </c>
      <c r="O36">
        <v>27.7</v>
      </c>
      <c r="P36">
        <v>27.7</v>
      </c>
      <c r="Q36">
        <v>27.7</v>
      </c>
      <c r="R36">
        <v>27.7</v>
      </c>
      <c r="S36">
        <v>111</v>
      </c>
      <c r="T36">
        <v>30.8</v>
      </c>
      <c r="U36">
        <v>18.5</v>
      </c>
      <c r="V36">
        <v>36.9</v>
      </c>
      <c r="W36">
        <v>21.3</v>
      </c>
      <c r="Y36">
        <v>20</v>
      </c>
    </row>
    <row r="37" spans="6:26" x14ac:dyDescent="0.25">
      <c r="F37">
        <v>13</v>
      </c>
      <c r="G37">
        <v>3022</v>
      </c>
      <c r="H37">
        <v>197</v>
      </c>
      <c r="I37">
        <v>29.5</v>
      </c>
      <c r="J37">
        <v>29.5</v>
      </c>
      <c r="K37">
        <v>36.799999999999997</v>
      </c>
      <c r="L37">
        <v>36.799999999999997</v>
      </c>
      <c r="M37">
        <v>29.5</v>
      </c>
      <c r="N37">
        <v>29.5</v>
      </c>
      <c r="O37">
        <v>29.5</v>
      </c>
      <c r="P37">
        <v>29.5</v>
      </c>
      <c r="Q37">
        <v>29.5</v>
      </c>
      <c r="R37">
        <v>29.5</v>
      </c>
      <c r="S37">
        <v>118</v>
      </c>
      <c r="T37">
        <v>32.799999999999997</v>
      </c>
      <c r="U37">
        <v>19.7</v>
      </c>
      <c r="V37">
        <v>39.299999999999997</v>
      </c>
      <c r="W37">
        <v>22.7</v>
      </c>
    </row>
    <row r="38" spans="6:26" x14ac:dyDescent="0.25">
      <c r="F38">
        <v>14</v>
      </c>
      <c r="G38">
        <v>3205</v>
      </c>
      <c r="H38">
        <v>209</v>
      </c>
      <c r="I38">
        <v>31.3</v>
      </c>
      <c r="J38">
        <v>31.3</v>
      </c>
      <c r="K38">
        <v>39.1</v>
      </c>
      <c r="L38">
        <v>39.1</v>
      </c>
      <c r="M38">
        <v>31.3</v>
      </c>
      <c r="N38">
        <v>31.3</v>
      </c>
      <c r="O38">
        <v>31.3</v>
      </c>
      <c r="P38">
        <v>31.3</v>
      </c>
      <c r="Q38">
        <v>31.3</v>
      </c>
      <c r="R38">
        <v>31.3</v>
      </c>
      <c r="S38">
        <v>125</v>
      </c>
      <c r="T38">
        <v>34.700000000000003</v>
      </c>
      <c r="U38">
        <v>20.8</v>
      </c>
      <c r="V38">
        <v>41.7</v>
      </c>
      <c r="W38">
        <v>24</v>
      </c>
      <c r="Y38" t="s">
        <v>451</v>
      </c>
    </row>
    <row r="39" spans="6:26" x14ac:dyDescent="0.25">
      <c r="F39">
        <v>15</v>
      </c>
      <c r="G39">
        <v>3388</v>
      </c>
      <c r="H39">
        <v>221</v>
      </c>
      <c r="I39">
        <v>33</v>
      </c>
      <c r="J39">
        <v>33</v>
      </c>
      <c r="K39">
        <v>41.3</v>
      </c>
      <c r="L39">
        <v>41.3</v>
      </c>
      <c r="M39">
        <v>33</v>
      </c>
      <c r="N39">
        <v>33</v>
      </c>
      <c r="O39">
        <v>33</v>
      </c>
      <c r="P39">
        <v>33</v>
      </c>
      <c r="Q39">
        <v>33</v>
      </c>
      <c r="R39">
        <v>33</v>
      </c>
      <c r="S39">
        <v>132</v>
      </c>
      <c r="T39">
        <v>36.700000000000003</v>
      </c>
      <c r="U39">
        <v>22</v>
      </c>
      <c r="V39">
        <v>44.1</v>
      </c>
      <c r="W39">
        <v>25.4</v>
      </c>
      <c r="Y39" t="s">
        <v>804</v>
      </c>
      <c r="Z39" t="s">
        <v>452</v>
      </c>
    </row>
    <row r="40" spans="6:26" x14ac:dyDescent="0.25">
      <c r="F40">
        <v>16</v>
      </c>
      <c r="G40">
        <v>3571</v>
      </c>
      <c r="H40">
        <v>232</v>
      </c>
      <c r="I40">
        <v>34.799999999999997</v>
      </c>
      <c r="J40">
        <v>34.799999999999997</v>
      </c>
      <c r="K40">
        <v>43.5</v>
      </c>
      <c r="L40">
        <v>43.5</v>
      </c>
      <c r="M40">
        <v>34.799999999999997</v>
      </c>
      <c r="N40">
        <v>34.799999999999997</v>
      </c>
      <c r="O40">
        <v>34.799999999999997</v>
      </c>
      <c r="P40">
        <v>34.799999999999997</v>
      </c>
      <c r="Q40">
        <v>34.799999999999997</v>
      </c>
      <c r="R40">
        <v>34.799999999999997</v>
      </c>
      <c r="S40">
        <v>139</v>
      </c>
      <c r="T40">
        <v>38.700000000000003</v>
      </c>
      <c r="U40">
        <v>23.2</v>
      </c>
      <c r="V40">
        <v>46.4</v>
      </c>
      <c r="W40">
        <v>26.8</v>
      </c>
      <c r="Y40" t="s">
        <v>803</v>
      </c>
      <c r="Z40" t="s">
        <v>453</v>
      </c>
    </row>
    <row r="41" spans="6:26" x14ac:dyDescent="0.25">
      <c r="F41" t="s">
        <v>797</v>
      </c>
      <c r="G41" t="s">
        <v>226</v>
      </c>
      <c r="H41" t="s">
        <v>127</v>
      </c>
      <c r="I41" t="s">
        <v>67</v>
      </c>
      <c r="J41" t="s">
        <v>65</v>
      </c>
      <c r="K41" t="s">
        <v>66</v>
      </c>
      <c r="L41" t="s">
        <v>444</v>
      </c>
      <c r="M41" t="s">
        <v>73</v>
      </c>
      <c r="N41" t="s">
        <v>74</v>
      </c>
      <c r="O41" t="s">
        <v>75</v>
      </c>
      <c r="P41" t="s">
        <v>71</v>
      </c>
      <c r="Q41" t="s">
        <v>72</v>
      </c>
      <c r="R41" t="s">
        <v>76</v>
      </c>
      <c r="S41" t="s">
        <v>445</v>
      </c>
      <c r="T41" t="s">
        <v>446</v>
      </c>
      <c r="U41" t="s">
        <v>447</v>
      </c>
      <c r="V41" t="s">
        <v>448</v>
      </c>
      <c r="W41" t="s">
        <v>427</v>
      </c>
      <c r="Y41" t="s">
        <v>802</v>
      </c>
      <c r="Z41" t="s">
        <v>454</v>
      </c>
    </row>
    <row r="42" spans="6:26" x14ac:dyDescent="0.25">
      <c r="F42">
        <v>0</v>
      </c>
      <c r="G42">
        <v>430</v>
      </c>
      <c r="H42">
        <v>28</v>
      </c>
      <c r="I42">
        <v>5.2</v>
      </c>
      <c r="J42">
        <v>5.2</v>
      </c>
      <c r="K42">
        <v>6.6</v>
      </c>
      <c r="L42">
        <v>6.6</v>
      </c>
      <c r="M42">
        <v>5.2</v>
      </c>
      <c r="N42">
        <v>5.2</v>
      </c>
      <c r="O42">
        <v>5.2</v>
      </c>
      <c r="P42">
        <v>5.2</v>
      </c>
      <c r="Q42">
        <v>5.2</v>
      </c>
      <c r="R42">
        <v>5.2</v>
      </c>
      <c r="S42">
        <v>21</v>
      </c>
      <c r="T42">
        <v>5.8</v>
      </c>
      <c r="U42">
        <v>3.5</v>
      </c>
      <c r="V42">
        <v>7</v>
      </c>
      <c r="W42">
        <v>4</v>
      </c>
      <c r="Y42" t="s">
        <v>801</v>
      </c>
      <c r="Z42" t="s">
        <v>455</v>
      </c>
    </row>
    <row r="43" spans="6:26" x14ac:dyDescent="0.25">
      <c r="F43">
        <v>1</v>
      </c>
      <c r="G43">
        <v>552</v>
      </c>
      <c r="H43">
        <v>36</v>
      </c>
      <c r="I43">
        <v>6.7</v>
      </c>
      <c r="J43">
        <v>6.7</v>
      </c>
      <c r="K43">
        <v>8.4</v>
      </c>
      <c r="L43">
        <v>8.4</v>
      </c>
      <c r="M43">
        <v>6.7</v>
      </c>
      <c r="N43">
        <v>6.7</v>
      </c>
      <c r="O43">
        <v>6.7</v>
      </c>
      <c r="P43">
        <v>6.7</v>
      </c>
      <c r="Q43">
        <v>6.7</v>
      </c>
      <c r="R43">
        <v>6.7</v>
      </c>
      <c r="S43">
        <v>27</v>
      </c>
      <c r="T43">
        <v>7.5</v>
      </c>
      <c r="U43">
        <v>4.5</v>
      </c>
      <c r="V43">
        <v>9</v>
      </c>
      <c r="W43">
        <v>5.2</v>
      </c>
      <c r="Y43" t="s">
        <v>800</v>
      </c>
      <c r="Z43" t="s">
        <v>456</v>
      </c>
    </row>
    <row r="44" spans="6:26" x14ac:dyDescent="0.25">
      <c r="F44">
        <v>2</v>
      </c>
      <c r="G44">
        <v>674</v>
      </c>
      <c r="H44">
        <v>44</v>
      </c>
      <c r="I44">
        <v>8.1999999999999993</v>
      </c>
      <c r="J44">
        <v>8.1999999999999993</v>
      </c>
      <c r="K44">
        <v>10.3</v>
      </c>
      <c r="L44">
        <v>10.3</v>
      </c>
      <c r="M44">
        <v>8.1999999999999993</v>
      </c>
      <c r="N44">
        <v>8.1999999999999993</v>
      </c>
      <c r="O44">
        <v>8.1999999999999993</v>
      </c>
      <c r="P44">
        <v>8.1999999999999993</v>
      </c>
      <c r="Q44">
        <v>8.1999999999999993</v>
      </c>
      <c r="R44">
        <v>8.1999999999999993</v>
      </c>
      <c r="S44">
        <v>33</v>
      </c>
      <c r="T44">
        <v>9.1</v>
      </c>
      <c r="U44">
        <v>5.5</v>
      </c>
      <c r="V44">
        <v>11</v>
      </c>
      <c r="W44">
        <v>6.3</v>
      </c>
    </row>
    <row r="45" spans="6:26" x14ac:dyDescent="0.25">
      <c r="F45">
        <v>3</v>
      </c>
      <c r="G45">
        <v>796</v>
      </c>
      <c r="H45">
        <v>52</v>
      </c>
      <c r="I45">
        <v>9.6999999999999993</v>
      </c>
      <c r="J45">
        <v>9.6999999999999993</v>
      </c>
      <c r="K45">
        <v>12.1</v>
      </c>
      <c r="L45">
        <v>12.1</v>
      </c>
      <c r="M45">
        <v>9.6999999999999993</v>
      </c>
      <c r="N45">
        <v>9.6999999999999993</v>
      </c>
      <c r="O45">
        <v>9.6999999999999993</v>
      </c>
      <c r="P45">
        <v>9.6999999999999993</v>
      </c>
      <c r="Q45">
        <v>9.6999999999999993</v>
      </c>
      <c r="R45">
        <v>9.6999999999999993</v>
      </c>
      <c r="S45">
        <v>39</v>
      </c>
      <c r="T45">
        <v>10.8</v>
      </c>
      <c r="U45">
        <v>6.5</v>
      </c>
      <c r="V45">
        <v>12.9</v>
      </c>
      <c r="W45">
        <v>7.5</v>
      </c>
      <c r="Y45" t="s">
        <v>564</v>
      </c>
    </row>
    <row r="46" spans="6:26" x14ac:dyDescent="0.25">
      <c r="F46">
        <v>4</v>
      </c>
      <c r="G46">
        <v>918</v>
      </c>
      <c r="H46">
        <v>60</v>
      </c>
      <c r="I46">
        <v>11.2</v>
      </c>
      <c r="J46">
        <v>11.2</v>
      </c>
      <c r="K46">
        <v>14</v>
      </c>
      <c r="L46">
        <v>14</v>
      </c>
      <c r="M46">
        <v>11.2</v>
      </c>
      <c r="N46">
        <v>11.2</v>
      </c>
      <c r="O46">
        <v>11.2</v>
      </c>
      <c r="P46">
        <v>11.2</v>
      </c>
      <c r="Q46">
        <v>11.2</v>
      </c>
      <c r="R46">
        <v>11.2</v>
      </c>
      <c r="S46">
        <v>45</v>
      </c>
      <c r="T46">
        <v>12.4</v>
      </c>
      <c r="U46">
        <v>7.5</v>
      </c>
      <c r="V46">
        <v>14.9</v>
      </c>
      <c r="W46">
        <v>8.6</v>
      </c>
      <c r="Y46" t="s">
        <v>804</v>
      </c>
      <c r="Z46" t="s">
        <v>565</v>
      </c>
    </row>
    <row r="47" spans="6:26" x14ac:dyDescent="0.25">
      <c r="F47">
        <v>5</v>
      </c>
      <c r="G47">
        <v>1040</v>
      </c>
      <c r="H47">
        <v>68</v>
      </c>
      <c r="I47">
        <v>12.7</v>
      </c>
      <c r="J47">
        <v>12.7</v>
      </c>
      <c r="K47">
        <v>15.8</v>
      </c>
      <c r="L47">
        <v>15.8</v>
      </c>
      <c r="M47">
        <v>12.7</v>
      </c>
      <c r="N47">
        <v>12.7</v>
      </c>
      <c r="O47">
        <v>12.7</v>
      </c>
      <c r="P47">
        <v>12.7</v>
      </c>
      <c r="Q47">
        <v>12.7</v>
      </c>
      <c r="R47">
        <v>12.7</v>
      </c>
      <c r="S47">
        <v>51</v>
      </c>
      <c r="T47">
        <v>14.1</v>
      </c>
      <c r="U47">
        <v>8.4</v>
      </c>
      <c r="V47">
        <v>16.899999999999999</v>
      </c>
      <c r="W47">
        <v>9.8000000000000007</v>
      </c>
      <c r="Y47" t="s">
        <v>803</v>
      </c>
      <c r="Z47" t="s">
        <v>566</v>
      </c>
    </row>
    <row r="48" spans="6:26" x14ac:dyDescent="0.25">
      <c r="F48">
        <v>6</v>
      </c>
      <c r="G48">
        <v>1162</v>
      </c>
      <c r="H48">
        <v>76</v>
      </c>
      <c r="I48">
        <v>14.2</v>
      </c>
      <c r="J48">
        <v>14.2</v>
      </c>
      <c r="K48">
        <v>17.7</v>
      </c>
      <c r="L48">
        <v>17.7</v>
      </c>
      <c r="M48">
        <v>14.2</v>
      </c>
      <c r="N48">
        <v>14.2</v>
      </c>
      <c r="O48">
        <v>14.2</v>
      </c>
      <c r="P48">
        <v>14.2</v>
      </c>
      <c r="Q48">
        <v>14.2</v>
      </c>
      <c r="R48">
        <v>14.2</v>
      </c>
      <c r="S48">
        <v>57</v>
      </c>
      <c r="T48">
        <v>15.7</v>
      </c>
      <c r="U48">
        <v>9.4</v>
      </c>
      <c r="V48">
        <v>18.899999999999999</v>
      </c>
      <c r="W48">
        <v>10.9</v>
      </c>
      <c r="Y48" t="s">
        <v>802</v>
      </c>
      <c r="Z48" t="s">
        <v>567</v>
      </c>
    </row>
    <row r="49" spans="6:30" x14ac:dyDescent="0.25">
      <c r="F49">
        <v>7</v>
      </c>
      <c r="G49">
        <v>1283</v>
      </c>
      <c r="H49">
        <v>84</v>
      </c>
      <c r="I49">
        <v>15.6</v>
      </c>
      <c r="J49">
        <v>15.6</v>
      </c>
      <c r="K49">
        <v>19.600000000000001</v>
      </c>
      <c r="L49">
        <v>19.600000000000001</v>
      </c>
      <c r="M49">
        <v>15.6</v>
      </c>
      <c r="N49">
        <v>15.6</v>
      </c>
      <c r="O49">
        <v>15.6</v>
      </c>
      <c r="P49">
        <v>15.6</v>
      </c>
      <c r="Q49">
        <v>15.6</v>
      </c>
      <c r="R49">
        <v>15.6</v>
      </c>
      <c r="S49">
        <v>63</v>
      </c>
      <c r="T49">
        <v>17.399999999999999</v>
      </c>
      <c r="U49">
        <v>10.4</v>
      </c>
      <c r="V49">
        <v>20.9</v>
      </c>
      <c r="W49">
        <v>12</v>
      </c>
      <c r="Y49" t="s">
        <v>801</v>
      </c>
      <c r="Z49" t="s">
        <v>568</v>
      </c>
    </row>
    <row r="50" spans="6:30" x14ac:dyDescent="0.25">
      <c r="F50">
        <v>8</v>
      </c>
      <c r="G50">
        <v>1405</v>
      </c>
      <c r="H50">
        <v>91</v>
      </c>
      <c r="I50">
        <v>17.100000000000001</v>
      </c>
      <c r="J50">
        <v>17.100000000000001</v>
      </c>
      <c r="K50">
        <v>21.4</v>
      </c>
      <c r="L50">
        <v>21.4</v>
      </c>
      <c r="M50">
        <v>17.100000000000001</v>
      </c>
      <c r="N50">
        <v>17.100000000000001</v>
      </c>
      <c r="O50">
        <v>17.100000000000001</v>
      </c>
      <c r="P50">
        <v>17.100000000000001</v>
      </c>
      <c r="Q50">
        <v>17.100000000000001</v>
      </c>
      <c r="R50">
        <v>17.100000000000001</v>
      </c>
      <c r="S50">
        <v>69</v>
      </c>
      <c r="T50">
        <v>19</v>
      </c>
      <c r="U50">
        <v>11.4</v>
      </c>
      <c r="V50">
        <v>22.8</v>
      </c>
      <c r="W50">
        <v>13.2</v>
      </c>
      <c r="Y50" t="s">
        <v>800</v>
      </c>
      <c r="Z50" t="s">
        <v>569</v>
      </c>
    </row>
    <row r="51" spans="6:30" x14ac:dyDescent="0.25">
      <c r="F51">
        <v>9</v>
      </c>
      <c r="G51">
        <v>1527</v>
      </c>
      <c r="H51">
        <v>99</v>
      </c>
      <c r="I51">
        <v>18.600000000000001</v>
      </c>
      <c r="J51">
        <v>18.600000000000001</v>
      </c>
      <c r="K51">
        <v>23.3</v>
      </c>
      <c r="L51">
        <v>23.3</v>
      </c>
      <c r="M51">
        <v>18.600000000000001</v>
      </c>
      <c r="N51">
        <v>18.600000000000001</v>
      </c>
      <c r="O51">
        <v>18.600000000000001</v>
      </c>
      <c r="P51">
        <v>18.600000000000001</v>
      </c>
      <c r="Q51">
        <v>18.600000000000001</v>
      </c>
      <c r="R51">
        <v>18.600000000000001</v>
      </c>
      <c r="S51">
        <v>75</v>
      </c>
      <c r="T51">
        <v>20.7</v>
      </c>
      <c r="U51">
        <v>12.4</v>
      </c>
      <c r="V51">
        <v>24.8</v>
      </c>
      <c r="W51">
        <v>14.3</v>
      </c>
    </row>
    <row r="52" spans="6:30" x14ac:dyDescent="0.25">
      <c r="F52">
        <v>10</v>
      </c>
      <c r="G52">
        <v>1649</v>
      </c>
      <c r="H52">
        <v>107</v>
      </c>
      <c r="I52">
        <v>20.100000000000001</v>
      </c>
      <c r="J52">
        <v>20.100000000000001</v>
      </c>
      <c r="K52">
        <v>25.1</v>
      </c>
      <c r="L52">
        <v>25.1</v>
      </c>
      <c r="M52">
        <v>20.100000000000001</v>
      </c>
      <c r="N52">
        <v>20.100000000000001</v>
      </c>
      <c r="O52">
        <v>20.100000000000001</v>
      </c>
      <c r="P52">
        <v>20.100000000000001</v>
      </c>
      <c r="Q52">
        <v>20.100000000000001</v>
      </c>
      <c r="R52">
        <v>20.100000000000001</v>
      </c>
      <c r="S52">
        <v>80</v>
      </c>
      <c r="T52">
        <v>22.3</v>
      </c>
      <c r="U52">
        <v>13.4</v>
      </c>
      <c r="V52">
        <v>26.8</v>
      </c>
      <c r="W52">
        <v>15.5</v>
      </c>
    </row>
    <row r="53" spans="6:30" x14ac:dyDescent="0.25">
      <c r="F53">
        <v>11</v>
      </c>
      <c r="G53">
        <v>1771</v>
      </c>
      <c r="H53">
        <v>115</v>
      </c>
      <c r="I53">
        <v>21.6</v>
      </c>
      <c r="J53">
        <v>21.6</v>
      </c>
      <c r="K53">
        <v>27</v>
      </c>
      <c r="L53">
        <v>27</v>
      </c>
      <c r="M53">
        <v>21.6</v>
      </c>
      <c r="N53">
        <v>21.6</v>
      </c>
      <c r="O53">
        <v>21.6</v>
      </c>
      <c r="P53">
        <v>21.6</v>
      </c>
      <c r="Q53">
        <v>21.6</v>
      </c>
      <c r="R53">
        <v>21.6</v>
      </c>
      <c r="S53">
        <v>86</v>
      </c>
      <c r="T53">
        <v>24</v>
      </c>
      <c r="U53">
        <v>14.4</v>
      </c>
      <c r="V53">
        <v>28.8</v>
      </c>
      <c r="W53">
        <v>16.600000000000001</v>
      </c>
      <c r="Y53" t="s">
        <v>809</v>
      </c>
    </row>
    <row r="54" spans="6:30" x14ac:dyDescent="0.25">
      <c r="F54">
        <v>12</v>
      </c>
      <c r="G54">
        <v>1893</v>
      </c>
      <c r="H54">
        <v>123</v>
      </c>
      <c r="I54">
        <v>23.1</v>
      </c>
      <c r="J54">
        <v>23.1</v>
      </c>
      <c r="K54">
        <v>28.8</v>
      </c>
      <c r="L54">
        <v>28.8</v>
      </c>
      <c r="M54">
        <v>23.1</v>
      </c>
      <c r="N54">
        <v>23.1</v>
      </c>
      <c r="O54">
        <v>23.1</v>
      </c>
      <c r="P54">
        <v>23.1</v>
      </c>
      <c r="Q54">
        <v>23.1</v>
      </c>
      <c r="R54">
        <v>23.1</v>
      </c>
      <c r="S54">
        <v>92</v>
      </c>
      <c r="T54">
        <v>25.6</v>
      </c>
      <c r="U54">
        <v>15.4</v>
      </c>
      <c r="V54">
        <v>30.8</v>
      </c>
      <c r="W54">
        <v>17.8</v>
      </c>
      <c r="Y54" t="s">
        <v>800</v>
      </c>
      <c r="Z54">
        <v>20</v>
      </c>
    </row>
    <row r="55" spans="6:30" x14ac:dyDescent="0.25">
      <c r="F55" t="s">
        <v>798</v>
      </c>
      <c r="G55" t="s">
        <v>226</v>
      </c>
      <c r="H55" t="s">
        <v>127</v>
      </c>
      <c r="I55" t="s">
        <v>67</v>
      </c>
      <c r="J55" t="s">
        <v>65</v>
      </c>
      <c r="K55" t="s">
        <v>66</v>
      </c>
      <c r="L55" t="s">
        <v>444</v>
      </c>
      <c r="M55" t="s">
        <v>73</v>
      </c>
      <c r="N55" t="s">
        <v>74</v>
      </c>
      <c r="O55" t="s">
        <v>75</v>
      </c>
      <c r="P55" t="s">
        <v>71</v>
      </c>
      <c r="Q55" t="s">
        <v>72</v>
      </c>
      <c r="R55" t="s">
        <v>76</v>
      </c>
      <c r="S55" t="s">
        <v>445</v>
      </c>
      <c r="T55" t="s">
        <v>446</v>
      </c>
      <c r="U55" t="s">
        <v>449</v>
      </c>
      <c r="V55" t="s">
        <v>450</v>
      </c>
      <c r="W55" t="s">
        <v>427</v>
      </c>
      <c r="Y55" t="s">
        <v>801</v>
      </c>
      <c r="Z55">
        <v>16</v>
      </c>
    </row>
    <row r="56" spans="6:30" x14ac:dyDescent="0.25">
      <c r="F56">
        <v>0</v>
      </c>
      <c r="G56">
        <v>258</v>
      </c>
      <c r="H56">
        <v>17</v>
      </c>
      <c r="I56">
        <v>4.2</v>
      </c>
      <c r="J56">
        <v>4.2</v>
      </c>
      <c r="K56">
        <v>5.2</v>
      </c>
      <c r="L56">
        <v>5.2</v>
      </c>
      <c r="M56">
        <v>4.2</v>
      </c>
      <c r="N56">
        <v>4.2</v>
      </c>
      <c r="O56">
        <v>4.2</v>
      </c>
      <c r="P56">
        <v>4.2</v>
      </c>
      <c r="Q56">
        <v>4.2</v>
      </c>
      <c r="R56">
        <v>4.2</v>
      </c>
      <c r="S56">
        <v>17</v>
      </c>
      <c r="T56">
        <v>4.7</v>
      </c>
      <c r="U56">
        <v>2.8</v>
      </c>
      <c r="V56">
        <v>5.6</v>
      </c>
      <c r="W56">
        <v>3.2</v>
      </c>
      <c r="Y56" t="s">
        <v>802</v>
      </c>
      <c r="Z56">
        <v>12</v>
      </c>
    </row>
    <row r="57" spans="6:30" x14ac:dyDescent="0.25">
      <c r="F57">
        <v>1</v>
      </c>
      <c r="G57">
        <v>331</v>
      </c>
      <c r="H57">
        <v>22</v>
      </c>
      <c r="I57">
        <v>5.4</v>
      </c>
      <c r="J57">
        <v>5.4</v>
      </c>
      <c r="K57">
        <v>6.7</v>
      </c>
      <c r="L57">
        <v>6.7</v>
      </c>
      <c r="M57">
        <v>5.4</v>
      </c>
      <c r="N57">
        <v>5.4</v>
      </c>
      <c r="O57">
        <v>5.4</v>
      </c>
      <c r="P57">
        <v>5.4</v>
      </c>
      <c r="Q57">
        <v>5.4</v>
      </c>
      <c r="R57">
        <v>5.4</v>
      </c>
      <c r="S57">
        <v>22</v>
      </c>
      <c r="T57">
        <v>6</v>
      </c>
      <c r="U57">
        <v>3.6</v>
      </c>
      <c r="V57">
        <v>7.2</v>
      </c>
      <c r="W57">
        <v>4.0999999999999996</v>
      </c>
      <c r="Y57" t="s">
        <v>803</v>
      </c>
      <c r="Z57">
        <v>4</v>
      </c>
    </row>
    <row r="58" spans="6:30" x14ac:dyDescent="0.25">
      <c r="F58">
        <v>2</v>
      </c>
      <c r="G58">
        <v>404</v>
      </c>
      <c r="H58">
        <v>26</v>
      </c>
      <c r="I58">
        <v>6.6</v>
      </c>
      <c r="J58">
        <v>6.6</v>
      </c>
      <c r="K58">
        <v>8.1999999999999993</v>
      </c>
      <c r="L58">
        <v>8.1999999999999993</v>
      </c>
      <c r="M58">
        <v>6.6</v>
      </c>
      <c r="N58">
        <v>6.6</v>
      </c>
      <c r="O58">
        <v>6.6</v>
      </c>
      <c r="P58">
        <v>6.6</v>
      </c>
      <c r="Q58">
        <v>6.6</v>
      </c>
      <c r="R58">
        <v>6.6</v>
      </c>
      <c r="S58">
        <v>26</v>
      </c>
      <c r="T58">
        <v>7.3</v>
      </c>
      <c r="U58">
        <v>4.4000000000000004</v>
      </c>
      <c r="V58">
        <v>8.8000000000000007</v>
      </c>
      <c r="W58">
        <v>5.0999999999999996</v>
      </c>
      <c r="Y58" t="s">
        <v>804</v>
      </c>
      <c r="Z58">
        <v>4</v>
      </c>
    </row>
    <row r="59" spans="6:30" x14ac:dyDescent="0.25">
      <c r="F59">
        <v>3</v>
      </c>
      <c r="G59">
        <v>478</v>
      </c>
      <c r="H59">
        <v>31</v>
      </c>
      <c r="I59">
        <v>7.8</v>
      </c>
      <c r="J59">
        <v>7.8</v>
      </c>
      <c r="K59">
        <v>9.6999999999999993</v>
      </c>
      <c r="L59">
        <v>9.6999999999999993</v>
      </c>
      <c r="M59">
        <v>7.8</v>
      </c>
      <c r="N59">
        <v>7.8</v>
      </c>
      <c r="O59">
        <v>7.8</v>
      </c>
      <c r="P59">
        <v>7.8</v>
      </c>
      <c r="Q59">
        <v>7.8</v>
      </c>
      <c r="R59">
        <v>7.8</v>
      </c>
      <c r="S59">
        <v>31</v>
      </c>
      <c r="T59">
        <v>8.6</v>
      </c>
      <c r="U59">
        <v>5.2</v>
      </c>
      <c r="V59">
        <v>10.4</v>
      </c>
      <c r="W59">
        <v>6</v>
      </c>
    </row>
    <row r="60" spans="6:30" x14ac:dyDescent="0.25">
      <c r="F60">
        <v>4</v>
      </c>
      <c r="G60">
        <v>551</v>
      </c>
      <c r="H60">
        <v>36</v>
      </c>
      <c r="I60">
        <v>9</v>
      </c>
      <c r="J60">
        <v>9</v>
      </c>
      <c r="K60">
        <v>11.2</v>
      </c>
      <c r="L60">
        <v>11.2</v>
      </c>
      <c r="M60">
        <v>9</v>
      </c>
      <c r="N60">
        <v>9</v>
      </c>
      <c r="O60">
        <v>9</v>
      </c>
      <c r="P60">
        <v>9</v>
      </c>
      <c r="Q60">
        <v>9</v>
      </c>
      <c r="R60">
        <v>9</v>
      </c>
      <c r="S60">
        <v>36</v>
      </c>
      <c r="T60">
        <v>9.9</v>
      </c>
      <c r="U60">
        <v>6</v>
      </c>
      <c r="V60">
        <v>11.9</v>
      </c>
      <c r="W60">
        <v>6.9</v>
      </c>
      <c r="Y60" t="s">
        <v>808</v>
      </c>
      <c r="Z60" t="s">
        <v>792</v>
      </c>
      <c r="AA60" t="s">
        <v>793</v>
      </c>
      <c r="AB60" t="s">
        <v>441</v>
      </c>
      <c r="AC60" t="s">
        <v>440</v>
      </c>
      <c r="AD60" t="s">
        <v>442</v>
      </c>
    </row>
    <row r="61" spans="6:30" x14ac:dyDescent="0.25">
      <c r="F61" t="s">
        <v>799</v>
      </c>
      <c r="G61" t="s">
        <v>226</v>
      </c>
      <c r="H61" t="s">
        <v>127</v>
      </c>
      <c r="I61" t="s">
        <v>67</v>
      </c>
      <c r="J61" t="s">
        <v>65</v>
      </c>
      <c r="K61" t="s">
        <v>66</v>
      </c>
      <c r="L61" t="s">
        <v>444</v>
      </c>
      <c r="M61" t="s">
        <v>73</v>
      </c>
      <c r="N61" t="s">
        <v>74</v>
      </c>
      <c r="O61" t="s">
        <v>75</v>
      </c>
      <c r="P61" t="s">
        <v>71</v>
      </c>
      <c r="Q61" t="s">
        <v>72</v>
      </c>
      <c r="R61" t="s">
        <v>76</v>
      </c>
      <c r="S61" t="s">
        <v>445</v>
      </c>
      <c r="T61" t="s">
        <v>446</v>
      </c>
      <c r="U61" t="s">
        <v>449</v>
      </c>
      <c r="V61" t="s">
        <v>450</v>
      </c>
      <c r="W61" t="s">
        <v>427</v>
      </c>
      <c r="Y61" t="s">
        <v>631</v>
      </c>
      <c r="Z61">
        <f>VLOOKUP('Character 1'!$L$24, 'Artifact Database'!$Y$54:$Z$58, 2, 0)</f>
        <v>20</v>
      </c>
      <c r="AA61">
        <f>VLOOKUP('Character 1'!$L$26, 'Artifact Database'!$Y$54:$Z$58, 2, 0)</f>
        <v>20</v>
      </c>
      <c r="AB61">
        <f>VLOOKUP('Character 1'!$L$29, 'Artifact Database'!$Y$54:$Z$58, 2, 0)</f>
        <v>20</v>
      </c>
      <c r="AC61">
        <f>VLOOKUP('Character 1'!$L$32, 'Artifact Database'!$Y$54:$Z$58, 2, 0)</f>
        <v>20</v>
      </c>
      <c r="AD61">
        <f>VLOOKUP('Character 1'!$L$35, 'Artifact Database'!$Y$54:$Z$58, 2, 0)</f>
        <v>20</v>
      </c>
    </row>
    <row r="62" spans="6:30" x14ac:dyDescent="0.25">
      <c r="F62">
        <v>0</v>
      </c>
      <c r="G62">
        <v>129</v>
      </c>
      <c r="H62">
        <v>8</v>
      </c>
      <c r="I62">
        <v>3.1</v>
      </c>
      <c r="J62">
        <v>3.1</v>
      </c>
      <c r="K62">
        <v>3.9</v>
      </c>
      <c r="L62">
        <v>3.9</v>
      </c>
      <c r="M62">
        <v>3.1</v>
      </c>
      <c r="N62">
        <v>3.1</v>
      </c>
      <c r="O62">
        <v>3.1</v>
      </c>
      <c r="P62">
        <v>3.1</v>
      </c>
      <c r="Q62">
        <v>3.1</v>
      </c>
      <c r="R62">
        <v>3.1</v>
      </c>
      <c r="S62">
        <v>13</v>
      </c>
      <c r="T62">
        <v>3.5</v>
      </c>
      <c r="U62">
        <v>2.1</v>
      </c>
      <c r="V62">
        <v>4.2</v>
      </c>
      <c r="W62">
        <v>2.4</v>
      </c>
      <c r="Y62" t="s">
        <v>632</v>
      </c>
      <c r="Z62">
        <f>VLOOKUP('Character 2'!$L$24, 'Artifact Database'!$Y$54:$Z$58, 2, 0)</f>
        <v>20</v>
      </c>
      <c r="AA62">
        <f>VLOOKUP('Character 2'!$L$26, 'Artifact Database'!$Y$54:$Z$58, 2, 0)</f>
        <v>20</v>
      </c>
      <c r="AB62">
        <f>VLOOKUP('Character 2'!$L$29, 'Artifact Database'!$Y$54:$Z$58, 2, 0)</f>
        <v>20</v>
      </c>
      <c r="AC62">
        <f>VLOOKUP('Character 2'!$L$32, 'Artifact Database'!$Y$54:$Z$58, 2, 0)</f>
        <v>20</v>
      </c>
      <c r="AD62">
        <f>VLOOKUP('Character 2'!$L$35, 'Artifact Database'!$Y$54:$Z$58, 2, 0)</f>
        <v>20</v>
      </c>
    </row>
    <row r="63" spans="6:30" x14ac:dyDescent="0.25">
      <c r="F63">
        <v>1</v>
      </c>
      <c r="G63">
        <v>178</v>
      </c>
      <c r="H63">
        <v>12</v>
      </c>
      <c r="I63">
        <v>4.3</v>
      </c>
      <c r="J63">
        <v>4.3</v>
      </c>
      <c r="K63">
        <v>5.4</v>
      </c>
      <c r="L63">
        <v>5.4</v>
      </c>
      <c r="M63">
        <v>4.3</v>
      </c>
      <c r="N63">
        <v>4.3</v>
      </c>
      <c r="O63">
        <v>4.3</v>
      </c>
      <c r="P63">
        <v>4.3</v>
      </c>
      <c r="Q63">
        <v>4.3</v>
      </c>
      <c r="R63">
        <v>4.3</v>
      </c>
      <c r="S63">
        <v>17</v>
      </c>
      <c r="T63">
        <v>4.8</v>
      </c>
      <c r="U63">
        <v>2.9</v>
      </c>
      <c r="V63">
        <v>5.8</v>
      </c>
      <c r="W63">
        <v>3.3</v>
      </c>
      <c r="Y63" t="s">
        <v>633</v>
      </c>
      <c r="Z63">
        <f>VLOOKUP('Character 3'!$L$24, 'Artifact Database'!$Y$54:$Z$58, 2, 0)</f>
        <v>20</v>
      </c>
      <c r="AA63">
        <f>VLOOKUP('Character 3'!$L$26, 'Artifact Database'!$Y$54:$Z$58, 2, 0)</f>
        <v>20</v>
      </c>
      <c r="AB63">
        <f>VLOOKUP('Character 3'!$L$29, 'Artifact Database'!$Y$54:$Z$58, 2, 0)</f>
        <v>20</v>
      </c>
      <c r="AC63">
        <f>VLOOKUP('Character 3'!$L$32, 'Artifact Database'!$Y$54:$Z$58, 2, 0)</f>
        <v>20</v>
      </c>
      <c r="AD63">
        <f>VLOOKUP('Character 3'!$L$35, 'Artifact Database'!$Y$54:$Z$58, 2, 0)</f>
        <v>20</v>
      </c>
    </row>
    <row r="64" spans="6:30" x14ac:dyDescent="0.25">
      <c r="F64">
        <v>2</v>
      </c>
      <c r="G64">
        <v>227</v>
      </c>
      <c r="H64">
        <v>15</v>
      </c>
      <c r="I64">
        <v>5.5</v>
      </c>
      <c r="J64">
        <v>5.5</v>
      </c>
      <c r="K64">
        <v>6.9</v>
      </c>
      <c r="L64">
        <v>6.9</v>
      </c>
      <c r="M64">
        <v>5.5</v>
      </c>
      <c r="N64">
        <v>5.5</v>
      </c>
      <c r="O64">
        <v>5.5</v>
      </c>
      <c r="P64">
        <v>5.5</v>
      </c>
      <c r="Q64">
        <v>5.5</v>
      </c>
      <c r="R64">
        <v>5.5</v>
      </c>
      <c r="S64">
        <v>22</v>
      </c>
      <c r="T64">
        <v>6.1</v>
      </c>
      <c r="U64">
        <v>3.7</v>
      </c>
      <c r="V64">
        <v>7.4</v>
      </c>
      <c r="W64">
        <v>4.3</v>
      </c>
      <c r="Y64" t="s">
        <v>634</v>
      </c>
      <c r="Z64">
        <f>VLOOKUP('Character 4'!$L$24, 'Artifact Database'!$Y$54:$Z$58, 2, 0)</f>
        <v>20</v>
      </c>
      <c r="AA64">
        <f>VLOOKUP('Character 4'!$L$26, 'Artifact Database'!$Y$54:$Z$58, 2, 0)</f>
        <v>20</v>
      </c>
      <c r="AB64">
        <f>VLOOKUP('Character 4'!$L$29, 'Artifact Database'!$Y$54:$Z$58, 2, 0)</f>
        <v>20</v>
      </c>
      <c r="AC64">
        <f>VLOOKUP('Character 4'!$L$32, 'Artifact Database'!$Y$54:$Z$58, 2, 0)</f>
        <v>20</v>
      </c>
      <c r="AD64">
        <f>VLOOKUP('Character 4'!$L$35, 'Artifact Database'!$Y$54:$Z$58, 2, 0)</f>
        <v>20</v>
      </c>
    </row>
    <row r="65" spans="6:23" x14ac:dyDescent="0.25">
      <c r="F65">
        <v>3</v>
      </c>
      <c r="G65">
        <v>275</v>
      </c>
      <c r="H65">
        <v>18</v>
      </c>
      <c r="I65">
        <v>6.7</v>
      </c>
      <c r="J65">
        <v>6.7</v>
      </c>
      <c r="K65">
        <v>8.4</v>
      </c>
      <c r="L65">
        <v>8.4</v>
      </c>
      <c r="M65">
        <v>6.7</v>
      </c>
      <c r="N65">
        <v>6.7</v>
      </c>
      <c r="O65">
        <v>6.7</v>
      </c>
      <c r="P65">
        <v>6.7</v>
      </c>
      <c r="Q65">
        <v>6.7</v>
      </c>
      <c r="R65">
        <v>6.7</v>
      </c>
      <c r="S65">
        <v>27</v>
      </c>
      <c r="T65">
        <v>7.5</v>
      </c>
      <c r="U65">
        <v>4.5</v>
      </c>
      <c r="V65">
        <v>9</v>
      </c>
      <c r="W65">
        <v>5.2</v>
      </c>
    </row>
    <row r="66" spans="6:23" x14ac:dyDescent="0.25">
      <c r="F66">
        <v>4</v>
      </c>
      <c r="G66">
        <v>324</v>
      </c>
      <c r="H66">
        <v>21</v>
      </c>
      <c r="I66">
        <v>7.9</v>
      </c>
      <c r="J66">
        <v>7.9</v>
      </c>
      <c r="K66">
        <v>9.9</v>
      </c>
      <c r="L66">
        <v>9.9</v>
      </c>
      <c r="M66">
        <v>7.9</v>
      </c>
      <c r="N66">
        <v>7.9</v>
      </c>
      <c r="O66">
        <v>7.9</v>
      </c>
      <c r="P66">
        <v>7.9</v>
      </c>
      <c r="Q66">
        <v>7.9</v>
      </c>
      <c r="R66">
        <v>7.9</v>
      </c>
      <c r="S66">
        <v>32</v>
      </c>
      <c r="T66">
        <v>8.8000000000000007</v>
      </c>
      <c r="U66">
        <v>5.3</v>
      </c>
      <c r="V66">
        <v>10.5</v>
      </c>
      <c r="W66">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360</vt:i4>
      </vt:variant>
    </vt:vector>
  </HeadingPairs>
  <TitlesOfParts>
    <vt:vector size="373" baseType="lpstr">
      <vt:lpstr>Front Page</vt:lpstr>
      <vt:lpstr>Character 1</vt:lpstr>
      <vt:lpstr>Character 2</vt:lpstr>
      <vt:lpstr>Character 3</vt:lpstr>
      <vt:lpstr>Character 4</vt:lpstr>
      <vt:lpstr>Data Val</vt:lpstr>
      <vt:lpstr>Rotation Assembler</vt:lpstr>
      <vt:lpstr>Calculations</vt:lpstr>
      <vt:lpstr>MVs</vt:lpstr>
      <vt:lpstr>Char Stats</vt:lpstr>
      <vt:lpstr>weaponsDB</vt:lpstr>
      <vt:lpstr>artisDB</vt:lpstr>
      <vt:lpstr>Artifact Database</vt:lpstr>
      <vt:lpstr>albedoBaseStats</vt:lpstr>
      <vt:lpstr>albedoTalentScalings</vt:lpstr>
      <vt:lpstr>aloyBaseStats</vt:lpstr>
      <vt:lpstr>amberBaseStats</vt:lpstr>
      <vt:lpstr>amberTalentScalings</vt:lpstr>
      <vt:lpstr>amcBaseStats</vt:lpstr>
      <vt:lpstr>amcTalentScalings</vt:lpstr>
      <vt:lpstr>artifactSubstatValues</vt:lpstr>
      <vt:lpstr>ayakaBaseStats</vt:lpstr>
      <vt:lpstr>ayakaTalentScalings</vt:lpstr>
      <vt:lpstr>barbaraBaseStats</vt:lpstr>
      <vt:lpstr>beidouBaseStats</vt:lpstr>
      <vt:lpstr>beidouTalentScalings</vt:lpstr>
      <vt:lpstr>bennettBaseStats</vt:lpstr>
      <vt:lpstr>bennettTalentScalings</vt:lpstr>
      <vt:lpstr>char1ArtiSetStats</vt:lpstr>
      <vt:lpstr>char1ArtiStacks</vt:lpstr>
      <vt:lpstr>char1ArtiToggle</vt:lpstr>
      <vt:lpstr>char1BaseATK</vt:lpstr>
      <vt:lpstr>char1BaseDEF</vt:lpstr>
      <vt:lpstr>char1BaseHP</vt:lpstr>
      <vt:lpstr>char1BurstEchoDMGType</vt:lpstr>
      <vt:lpstr>char1BurstEchoElement</vt:lpstr>
      <vt:lpstr>char1BurstElement</vt:lpstr>
      <vt:lpstr>char1BurstTalentLevel</vt:lpstr>
      <vt:lpstr>char1CAElement</vt:lpstr>
      <vt:lpstr>char1FinalAnemoDMG</vt:lpstr>
      <vt:lpstr>char1FinalAnemoRes</vt:lpstr>
      <vt:lpstr>char1FinalATK</vt:lpstr>
      <vt:lpstr>char1FinalATKPercent</vt:lpstr>
      <vt:lpstr>char1FinalBurstCDMG</vt:lpstr>
      <vt:lpstr>char1FinalBurstCR</vt:lpstr>
      <vt:lpstr>char1FinalBurstDMG</vt:lpstr>
      <vt:lpstr>char1FinalCDMG</vt:lpstr>
      <vt:lpstr>char1FinalChargedDMG</vt:lpstr>
      <vt:lpstr>char1FinalCR</vt:lpstr>
      <vt:lpstr>char1FinalCryoDMG</vt:lpstr>
      <vt:lpstr>char1FinalCryoRes</vt:lpstr>
      <vt:lpstr>char1FinalCrystallizeBonus</vt:lpstr>
      <vt:lpstr>char1FinalDEF</vt:lpstr>
      <vt:lpstr>char1FinalDefMult</vt:lpstr>
      <vt:lpstr>char1FinalDEFPercent</vt:lpstr>
      <vt:lpstr>char1FinalDEFShred</vt:lpstr>
      <vt:lpstr>char1FinalDMGPercent</vt:lpstr>
      <vt:lpstr>char1FinalElectrochargedBonus</vt:lpstr>
      <vt:lpstr>char1FinalElectroDMG</vt:lpstr>
      <vt:lpstr>char1FinalElectroRes</vt:lpstr>
      <vt:lpstr>char1FinalEM</vt:lpstr>
      <vt:lpstr>char1FinalER</vt:lpstr>
      <vt:lpstr>char1FinalFlatATK</vt:lpstr>
      <vt:lpstr>char1FinalFlatDEF</vt:lpstr>
      <vt:lpstr>char1FinalFlatHP</vt:lpstr>
      <vt:lpstr>char1FinalGeoDMG</vt:lpstr>
      <vt:lpstr>char1FinalGeoRes</vt:lpstr>
      <vt:lpstr>char1FinalHealingBonus</vt:lpstr>
      <vt:lpstr>char1FinalHealingReceived</vt:lpstr>
      <vt:lpstr>char1FinalHP</vt:lpstr>
      <vt:lpstr>char1FinalHPPercent</vt:lpstr>
      <vt:lpstr>char1FinalHydroDMG</vt:lpstr>
      <vt:lpstr>char1FinalHydroRes</vt:lpstr>
      <vt:lpstr>char1FinalMeltBonus</vt:lpstr>
      <vt:lpstr>char1FinalNormalDMG</vt:lpstr>
      <vt:lpstr>char1FinalOverloadBonus</vt:lpstr>
      <vt:lpstr>char1FinalPhysDMG</vt:lpstr>
      <vt:lpstr>char1FinalPhysRes</vt:lpstr>
      <vt:lpstr>char1FinalPlungingDMG</vt:lpstr>
      <vt:lpstr>char1FinalPyroDMG</vt:lpstr>
      <vt:lpstr>char1FinalPyroRes</vt:lpstr>
      <vt:lpstr>char1FinalShatterBonus</vt:lpstr>
      <vt:lpstr>char1FinalShieldStrength</vt:lpstr>
      <vt:lpstr>char1FinalSkillCDMG</vt:lpstr>
      <vt:lpstr>char1FinalSkillCR</vt:lpstr>
      <vt:lpstr>char1FinalSkillDMG</vt:lpstr>
      <vt:lpstr>char1FinalSuperconductBonus</vt:lpstr>
      <vt:lpstr>char1FinalSwirlBonus</vt:lpstr>
      <vt:lpstr>char1FinalVaporizeBonus</vt:lpstr>
      <vt:lpstr>char1Level</vt:lpstr>
      <vt:lpstr>char1LevelNum</vt:lpstr>
      <vt:lpstr>char1NAElement</vt:lpstr>
      <vt:lpstr>char1Name</vt:lpstr>
      <vt:lpstr>char1NATalentLevel</vt:lpstr>
      <vt:lpstr>char1PlungeElement</vt:lpstr>
      <vt:lpstr>char1Refine</vt:lpstr>
      <vt:lpstr>char1SkillEchoDMGType</vt:lpstr>
      <vt:lpstr>char1SkillEchoElement</vt:lpstr>
      <vt:lpstr>char1SkillElement</vt:lpstr>
      <vt:lpstr>char1SkillTalentLevel</vt:lpstr>
      <vt:lpstr>char1Stats</vt:lpstr>
      <vt:lpstr>char1TransformativeMult</vt:lpstr>
      <vt:lpstr>char1WeaponBaseATK</vt:lpstr>
      <vt:lpstr>char1WeaponName</vt:lpstr>
      <vt:lpstr>char1WeaponProcTable</vt:lpstr>
      <vt:lpstr>char1Weapons</vt:lpstr>
      <vt:lpstr>char1WeapStacks</vt:lpstr>
      <vt:lpstr>char1WeapToggle</vt:lpstr>
      <vt:lpstr>char2ArtiSetStats</vt:lpstr>
      <vt:lpstr>char2ArtiStacks</vt:lpstr>
      <vt:lpstr>char2ArtiToggle</vt:lpstr>
      <vt:lpstr>char2BaseATK</vt:lpstr>
      <vt:lpstr>char2BaseDEF</vt:lpstr>
      <vt:lpstr>char2BaseHP</vt:lpstr>
      <vt:lpstr>char2BurstEchoDamageType</vt:lpstr>
      <vt:lpstr>char2BurstEchoDMGType</vt:lpstr>
      <vt:lpstr>char2BurstEchoElement</vt:lpstr>
      <vt:lpstr>char2BurstElement</vt:lpstr>
      <vt:lpstr>char2BurstTalentLevel</vt:lpstr>
      <vt:lpstr>char2CAElement</vt:lpstr>
      <vt:lpstr>char2FinalAnemoDMG</vt:lpstr>
      <vt:lpstr>char2FinalAnemoRes</vt:lpstr>
      <vt:lpstr>char2FinalATK</vt:lpstr>
      <vt:lpstr>char2FinalATKPercent</vt:lpstr>
      <vt:lpstr>char2FinalBurstCDMG</vt:lpstr>
      <vt:lpstr>char2FinalBurstCR</vt:lpstr>
      <vt:lpstr>char2FinalBurstDMG</vt:lpstr>
      <vt:lpstr>char2FinalCDMG</vt:lpstr>
      <vt:lpstr>char2FinalChargedDMG</vt:lpstr>
      <vt:lpstr>char2FinalCR</vt:lpstr>
      <vt:lpstr>char2FinalCryoDMG</vt:lpstr>
      <vt:lpstr>char2FinalCryoRes</vt:lpstr>
      <vt:lpstr>char2FinalCrystallizeBonus</vt:lpstr>
      <vt:lpstr>char2FinalDEF</vt:lpstr>
      <vt:lpstr>char2FinalDefMult</vt:lpstr>
      <vt:lpstr>char2FinalDEFPercent</vt:lpstr>
      <vt:lpstr>char2FinalDEFShred</vt:lpstr>
      <vt:lpstr>char2FinalDMGPercent</vt:lpstr>
      <vt:lpstr>char2FinalElectrochargedBonus</vt:lpstr>
      <vt:lpstr>char2FinalElectroDMG</vt:lpstr>
      <vt:lpstr>char2FinalElectroRes</vt:lpstr>
      <vt:lpstr>char2FinalEM</vt:lpstr>
      <vt:lpstr>char2FinalER</vt:lpstr>
      <vt:lpstr>char2FinalFlatATK</vt:lpstr>
      <vt:lpstr>char2FinalFlatDEF</vt:lpstr>
      <vt:lpstr>char2FinalFlatHP</vt:lpstr>
      <vt:lpstr>char2FinalGeoDMG</vt:lpstr>
      <vt:lpstr>char2FinalGeoRes</vt:lpstr>
      <vt:lpstr>char2FinalHealingBonus</vt:lpstr>
      <vt:lpstr>char2FinalHealingReceived</vt:lpstr>
      <vt:lpstr>char2FinalHP</vt:lpstr>
      <vt:lpstr>char2FinalHPPercent</vt:lpstr>
      <vt:lpstr>char2FinalHydroDMG</vt:lpstr>
      <vt:lpstr>char2FinalHydroRes</vt:lpstr>
      <vt:lpstr>char2FinalMeltBonus</vt:lpstr>
      <vt:lpstr>char2FinalNormalDMG</vt:lpstr>
      <vt:lpstr>char2FinalOverloadBonus</vt:lpstr>
      <vt:lpstr>char2FinalPhysDMG</vt:lpstr>
      <vt:lpstr>char2FinalPhysRes</vt:lpstr>
      <vt:lpstr>char2FinalPlungingDMG</vt:lpstr>
      <vt:lpstr>char2FinalPyroDMG</vt:lpstr>
      <vt:lpstr>char2FinalPyroRes</vt:lpstr>
      <vt:lpstr>char2FinalShatterBonus</vt:lpstr>
      <vt:lpstr>char2FinalShieldStrength</vt:lpstr>
      <vt:lpstr>char2FinalSkillCDMG</vt:lpstr>
      <vt:lpstr>char2FinalSkillCR</vt:lpstr>
      <vt:lpstr>char2FinalSkillDMG</vt:lpstr>
      <vt:lpstr>char2FinalSuperconductBonus</vt:lpstr>
      <vt:lpstr>char2FinalSwirlBonus</vt:lpstr>
      <vt:lpstr>char2FinalVapeBonus</vt:lpstr>
      <vt:lpstr>char2Level</vt:lpstr>
      <vt:lpstr>char2LevelNum</vt:lpstr>
      <vt:lpstr>char2NAElement</vt:lpstr>
      <vt:lpstr>char2Name</vt:lpstr>
      <vt:lpstr>char2NATalentLevel</vt:lpstr>
      <vt:lpstr>char2PlungeElement</vt:lpstr>
      <vt:lpstr>char2Refine</vt:lpstr>
      <vt:lpstr>char2SkillEchoDamageType</vt:lpstr>
      <vt:lpstr>char2SkillEchoElement</vt:lpstr>
      <vt:lpstr>char2SkillElement</vt:lpstr>
      <vt:lpstr>char2SkillTalentLevel</vt:lpstr>
      <vt:lpstr>char2Stats</vt:lpstr>
      <vt:lpstr>char2TransformativeMult</vt:lpstr>
      <vt:lpstr>char2WeaponBaseATK</vt:lpstr>
      <vt:lpstr>char2WeaponName</vt:lpstr>
      <vt:lpstr>char2WeaponProcTable</vt:lpstr>
      <vt:lpstr>char2Weapons</vt:lpstr>
      <vt:lpstr>char2WeapStacks</vt:lpstr>
      <vt:lpstr>char2WeapToggle</vt:lpstr>
      <vt:lpstr>char3ArtiSetStats</vt:lpstr>
      <vt:lpstr>char3ArtiStacks</vt:lpstr>
      <vt:lpstr>char3ArtiToggle</vt:lpstr>
      <vt:lpstr>char3BaseATK</vt:lpstr>
      <vt:lpstr>char3BaseDEF</vt:lpstr>
      <vt:lpstr>char3BaseHP</vt:lpstr>
      <vt:lpstr>char3BurstEchoDamageType</vt:lpstr>
      <vt:lpstr>char3BurstEchoDMGType</vt:lpstr>
      <vt:lpstr>char3BurstEchoElement</vt:lpstr>
      <vt:lpstr>char3BurstElement</vt:lpstr>
      <vt:lpstr>char3BurstTalentLevel</vt:lpstr>
      <vt:lpstr>char3CAElement</vt:lpstr>
      <vt:lpstr>char3FinalATK</vt:lpstr>
      <vt:lpstr>char3FinalATKPercent</vt:lpstr>
      <vt:lpstr>char3FinalDEF</vt:lpstr>
      <vt:lpstr>char3FinalDefMult</vt:lpstr>
      <vt:lpstr>char3FinalDEFPercent</vt:lpstr>
      <vt:lpstr>char3FinalEM</vt:lpstr>
      <vt:lpstr>char3FinalER</vt:lpstr>
      <vt:lpstr>char3FinalFlatATK</vt:lpstr>
      <vt:lpstr>char3FinalFlatDEF</vt:lpstr>
      <vt:lpstr>char3FinalFlatHP</vt:lpstr>
      <vt:lpstr>char3FinalHealingBonus</vt:lpstr>
      <vt:lpstr>char3FinalHealingReceived</vt:lpstr>
      <vt:lpstr>char3FinalHP</vt:lpstr>
      <vt:lpstr>char3FinalHPPercent</vt:lpstr>
      <vt:lpstr>char3Level</vt:lpstr>
      <vt:lpstr>char3LevelNum</vt:lpstr>
      <vt:lpstr>char3NAElement</vt:lpstr>
      <vt:lpstr>char3Name</vt:lpstr>
      <vt:lpstr>char3NATalentLevel</vt:lpstr>
      <vt:lpstr>char3PlungeElement</vt:lpstr>
      <vt:lpstr>char3Refine</vt:lpstr>
      <vt:lpstr>char3SkillEchoDamageType</vt:lpstr>
      <vt:lpstr>char3SkillEchoElement</vt:lpstr>
      <vt:lpstr>char3SkillElement</vt:lpstr>
      <vt:lpstr>char3SkillTalentLevel</vt:lpstr>
      <vt:lpstr>char3Stats</vt:lpstr>
      <vt:lpstr>char3TransformativeMult</vt:lpstr>
      <vt:lpstr>char3WeaponBaseATK</vt:lpstr>
      <vt:lpstr>char3WeaponName</vt:lpstr>
      <vt:lpstr>char3WeaponProcTable</vt:lpstr>
      <vt:lpstr>char3Weapons</vt:lpstr>
      <vt:lpstr>char3WeapStacks</vt:lpstr>
      <vt:lpstr>char3WeapToggle</vt:lpstr>
      <vt:lpstr>char4ArtiSetStats</vt:lpstr>
      <vt:lpstr>char4ArtiStacks</vt:lpstr>
      <vt:lpstr>char4ArtiToggle</vt:lpstr>
      <vt:lpstr>char4BaseATK</vt:lpstr>
      <vt:lpstr>char4BaseDEF</vt:lpstr>
      <vt:lpstr>char4BaseHP</vt:lpstr>
      <vt:lpstr>char4BurstEchoDamageType</vt:lpstr>
      <vt:lpstr>char4BurstEchoDMGType</vt:lpstr>
      <vt:lpstr>char4BurstEchoElement</vt:lpstr>
      <vt:lpstr>char4BurstElement</vt:lpstr>
      <vt:lpstr>char4BurstTalentLevel</vt:lpstr>
      <vt:lpstr>char4CAElement</vt:lpstr>
      <vt:lpstr>char4FinalATK</vt:lpstr>
      <vt:lpstr>char4FinalATKPercent</vt:lpstr>
      <vt:lpstr>char4FinalDEF</vt:lpstr>
      <vt:lpstr>char4FinalDefMult</vt:lpstr>
      <vt:lpstr>char4FinalDEFPercent</vt:lpstr>
      <vt:lpstr>char4FinalEM</vt:lpstr>
      <vt:lpstr>char4FinalER</vt:lpstr>
      <vt:lpstr>char4FinalFlatATK</vt:lpstr>
      <vt:lpstr>char4FinalFlatDEF</vt:lpstr>
      <vt:lpstr>char4FinalFlatHP</vt:lpstr>
      <vt:lpstr>char4FinalHealingBonus</vt:lpstr>
      <vt:lpstr>char4FinalHealingReceived</vt:lpstr>
      <vt:lpstr>char4FinalHP</vt:lpstr>
      <vt:lpstr>char4FinalHPPercent</vt:lpstr>
      <vt:lpstr>char4Level</vt:lpstr>
      <vt:lpstr>char4LevelNum</vt:lpstr>
      <vt:lpstr>char4NAElement</vt:lpstr>
      <vt:lpstr>char4Name</vt:lpstr>
      <vt:lpstr>char4NATalentLevel</vt:lpstr>
      <vt:lpstr>char4PlungeElement</vt:lpstr>
      <vt:lpstr>char4Refine</vt:lpstr>
      <vt:lpstr>char4SkillEchoDamageType</vt:lpstr>
      <vt:lpstr>char4SkillEchoElement</vt:lpstr>
      <vt:lpstr>char4SkillElement</vt:lpstr>
      <vt:lpstr>char4SkillTalentLevel</vt:lpstr>
      <vt:lpstr>char4Stats</vt:lpstr>
      <vt:lpstr>char4TransformativeMult</vt:lpstr>
      <vt:lpstr>char4WeaponBaseATK</vt:lpstr>
      <vt:lpstr>char4WeaponName</vt:lpstr>
      <vt:lpstr>char4WeaponProcTable</vt:lpstr>
      <vt:lpstr>char4Weapons</vt:lpstr>
      <vt:lpstr>char4WeapStacks</vt:lpstr>
      <vt:lpstr>char4WeapToggle</vt:lpstr>
      <vt:lpstr>childeBaseStats</vt:lpstr>
      <vt:lpstr>childeTalentScalings</vt:lpstr>
      <vt:lpstr>chongyunBaseStats</vt:lpstr>
      <vt:lpstr>chongyunTalentScalings</vt:lpstr>
      <vt:lpstr>dilucBaseStats</vt:lpstr>
      <vt:lpstr>dilucTalentScalings</vt:lpstr>
      <vt:lpstr>dionaBaseStats</vt:lpstr>
      <vt:lpstr>dionaTalentScalings</vt:lpstr>
      <vt:lpstr>emcBaseStats</vt:lpstr>
      <vt:lpstr>emcTalentScalings</vt:lpstr>
      <vt:lpstr>enemyAnemoRes</vt:lpstr>
      <vt:lpstr>enemyCryoRes</vt:lpstr>
      <vt:lpstr>enemyDendroRes</vt:lpstr>
      <vt:lpstr>enemyElectroRes</vt:lpstr>
      <vt:lpstr>enemyGeoRes</vt:lpstr>
      <vt:lpstr>enemyHydroRes</vt:lpstr>
      <vt:lpstr>enemyLevel</vt:lpstr>
      <vt:lpstr>enemyPhysRes</vt:lpstr>
      <vt:lpstr>enemyPyroRes</vt:lpstr>
      <vt:lpstr>eulaBaseStats</vt:lpstr>
      <vt:lpstr>eulaTalentScalings</vt:lpstr>
      <vt:lpstr>fischlBaseStats</vt:lpstr>
      <vt:lpstr>fischlTalentScalings</vt:lpstr>
      <vt:lpstr>fiveStarArtiLevels</vt:lpstr>
      <vt:lpstr>fiveStarArtiStats</vt:lpstr>
      <vt:lpstr>fourStarArtiLevels</vt:lpstr>
      <vt:lpstr>fourStarArtiStats</vt:lpstr>
      <vt:lpstr>ganyuBaseStats</vt:lpstr>
      <vt:lpstr>ganyuTalentScalings</vt:lpstr>
      <vt:lpstr>gmcBaseStats</vt:lpstr>
      <vt:lpstr>gmcTalentScalings</vt:lpstr>
      <vt:lpstr>gorouBaseStats</vt:lpstr>
      <vt:lpstr>gorouTalentscalings</vt:lpstr>
      <vt:lpstr>hutaoBaseStats</vt:lpstr>
      <vt:lpstr>hutaoTalentScalings</vt:lpstr>
      <vt:lpstr>ittoBaseStats</vt:lpstr>
      <vt:lpstr>ittoTalentScalings</vt:lpstr>
      <vt:lpstr>jeanBaseStats</vt:lpstr>
      <vt:lpstr>jeanTalentScalings</vt:lpstr>
      <vt:lpstr>kaeyaBaseStats</vt:lpstr>
      <vt:lpstr>kaeyaTalentScalings</vt:lpstr>
      <vt:lpstr>kazuhaBaseStats</vt:lpstr>
      <vt:lpstr>kazuhaTalentScalings</vt:lpstr>
      <vt:lpstr>keqingBaseStats</vt:lpstr>
      <vt:lpstr>keqingTalentScalings</vt:lpstr>
      <vt:lpstr>kleeBaseStats</vt:lpstr>
      <vt:lpstr>kleeTalentScalings</vt:lpstr>
      <vt:lpstr>kokomiBaseStats</vt:lpstr>
      <vt:lpstr>kokomiTalentScalings</vt:lpstr>
      <vt:lpstr>lisaBaseStats</vt:lpstr>
      <vt:lpstr>lisaTalentScalings</vt:lpstr>
      <vt:lpstr>monaBaseStats</vt:lpstr>
      <vt:lpstr>monaTalentScalings</vt:lpstr>
      <vt:lpstr>mvLookupTable</vt:lpstr>
      <vt:lpstr>ningguangBaseStats</vt:lpstr>
      <vt:lpstr>ningguangTalentScalings</vt:lpstr>
      <vt:lpstr>noelleBaseStats</vt:lpstr>
      <vt:lpstr>noelleTalentScalings</vt:lpstr>
      <vt:lpstr>oneStarArtiLevels</vt:lpstr>
      <vt:lpstr>oneStarArtiStats</vt:lpstr>
      <vt:lpstr>qiqiBaseStats</vt:lpstr>
      <vt:lpstr>qiqiTalentScalings</vt:lpstr>
      <vt:lpstr>raidenBaseStats</vt:lpstr>
      <vt:lpstr>raidenTalentScalings</vt:lpstr>
      <vt:lpstr>razorBaseStats</vt:lpstr>
      <vt:lpstr>razorTalentScalings</vt:lpstr>
      <vt:lpstr>rosariaBaseStats</vt:lpstr>
      <vt:lpstr>rosariaTalentScalings</vt:lpstr>
      <vt:lpstr>saraTalentScalings</vt:lpstr>
      <vt:lpstr>sayuBaseStats</vt:lpstr>
      <vt:lpstr>sayuTalentScalings</vt:lpstr>
      <vt:lpstr>sucroseBaseStats</vt:lpstr>
      <vt:lpstr>sucroseTalentScalings</vt:lpstr>
      <vt:lpstr>threeStarArtiLevels</vt:lpstr>
      <vt:lpstr>threeStarArtiStats</vt:lpstr>
      <vt:lpstr>twoStarArtiLevels</vt:lpstr>
      <vt:lpstr>twoStarArtiStats</vt:lpstr>
      <vt:lpstr>ventiBaseStats</vt:lpstr>
      <vt:lpstr>ventiTalentScalings</vt:lpstr>
      <vt:lpstr>weapProcTable</vt:lpstr>
      <vt:lpstr>xianglingBaseStats</vt:lpstr>
      <vt:lpstr>xianglingTalentScalings</vt:lpstr>
      <vt:lpstr>xiaoBaseStats</vt:lpstr>
      <vt:lpstr>xiaoTalentScalings</vt:lpstr>
      <vt:lpstr>xingqiuBaseStats</vt:lpstr>
      <vt:lpstr>xingqiuTalentScalings</vt:lpstr>
      <vt:lpstr>xinyanBaseStats</vt:lpstr>
      <vt:lpstr>xinyanTalentScalings</vt:lpstr>
      <vt:lpstr>yanfeiBaseStats</vt:lpstr>
      <vt:lpstr>yanfeiTalentScalings</vt:lpstr>
      <vt:lpstr>yoimiyaBaseStats</vt:lpstr>
      <vt:lpstr>yoimiyaTalentScalings</vt:lpstr>
      <vt:lpstr>zhongliBaseStats</vt:lpstr>
      <vt:lpstr>zhongliTalentScalings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Lee</dc:creator>
  <cp:lastModifiedBy>Andrew Lee</cp:lastModifiedBy>
  <dcterms:created xsi:type="dcterms:W3CDTF">2021-10-31T05:52:45Z</dcterms:created>
  <dcterms:modified xsi:type="dcterms:W3CDTF">2022-03-17T22:26:03Z</dcterms:modified>
</cp:coreProperties>
</file>